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300" windowWidth="11565" windowHeight="9345" tabRatio="877" firstSheet="14"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基本情况表" sheetId="69"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state="hidden" r:id="rId32"/>
    <sheet name="成本逼近法" sheetId="11" state="hidden" r:id="rId33"/>
    <sheet name="不动产比较法-loft公寓" sheetId="70" r:id="rId34"/>
    <sheet name="不动产比较法-住宅" sheetId="21" r:id="rId35"/>
    <sheet name="不动产比较法-商业" sheetId="33" state="hidden" r:id="rId36"/>
    <sheet name="不动产比较法-办公" sheetId="34" state="hidden" r:id="rId37"/>
    <sheet name="土地案例" sheetId="68"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s>
  <definedNames>
    <definedName name="_xlnm._FilterDatabase" localSheetId="21" hidden="1">'比较法-工业'!$A$1:$L$45</definedName>
    <definedName name="_xlnm._FilterDatabase" localSheetId="20" hidden="1">'比较法-住宅、综合'!$A$1:$L$50</definedName>
    <definedName name="_xlnm._FilterDatabase" localSheetId="33" hidden="1">'不动产比较法-loft公寓'!$A$1:$L$49</definedName>
    <definedName name="_xlnm._FilterDatabase" localSheetId="36"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'不动产比较法-loft公寓'!$B$88:$M$88</definedName>
    <definedName name="住宅朝向">'不动产比较法-住宅'!$B$88:$M$88</definedName>
    <definedName name="住宅房型" localSheetId="33">'不动产比较法-loft公寓'!$B$118:$M$118</definedName>
    <definedName name="住宅房型">'不动产比较法-住宅'!$B$118:$M$118</definedName>
    <definedName name="住宅公共部分装修" localSheetId="33">'不动产比较法-loft公寓'!$B$109:$M$109</definedName>
    <definedName name="住宅公共部分装修">'不动产比较法-住宅'!$B$109:$M$109</definedName>
    <definedName name="住宅基础设施水平" localSheetId="33">'不动产比较法-loft公寓'!$B$116:$M$116</definedName>
    <definedName name="住宅基础设施水平">'不动产比较法-住宅'!$B$116:$M$116</definedName>
    <definedName name="住宅建筑结构" localSheetId="33">'不动产比较法-loft公寓'!$B$105:$M$105</definedName>
    <definedName name="住宅建筑结构">'不动产比较法-住宅'!$B$105:$M$105</definedName>
    <definedName name="住宅建筑类型" localSheetId="33">'不动产比较法-loft公寓'!$B$100:$M$100</definedName>
    <definedName name="住宅建筑类型">'不动产比较法-住宅'!$B$100:$M$100</definedName>
    <definedName name="住宅建筑品质" localSheetId="33">'不动产比较法-loft公寓'!$B$107:$M$107</definedName>
    <definedName name="住宅建筑品质">'不动产比较法-住宅'!$B$107:$M$107</definedName>
    <definedName name="住宅交易情况" localSheetId="33">'不动产比较法-loft公寓'!$A$61:$M$61</definedName>
    <definedName name="住宅交易情况">'不动产比较法-住宅'!$A$61:$M$61</definedName>
    <definedName name="住宅楼层" localSheetId="33">'不动产比较法-loft公寓'!$B$86:$M$86</definedName>
    <definedName name="住宅楼层">'不动产比较法-住宅'!$B$86:$M$86</definedName>
    <definedName name="住宅内部装修" localSheetId="33">'不动产比较法-loft公寓'!$B$122:$M$122</definedName>
    <definedName name="住宅内部装修">'不动产比较法-住宅'!$B$122:$M$122</definedName>
    <definedName name="住宅物业管理" localSheetId="33">'不动产比较法-loft公寓'!$B$114:$M$114</definedName>
    <definedName name="住宅物业管理">'不动产比较法-住宅'!$B$114:$M$114</definedName>
    <definedName name="住宅用途" localSheetId="33">'不动产比较法-loft公寓'!$B$63:$M$63</definedName>
    <definedName name="住宅用途">'不动产比较法-住宅'!$B$63:$M$63</definedName>
    <definedName name="住宅主力户型面积" localSheetId="33">'不动产比较法-loft公寓'!$B$120:$M$120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79" i="70" l="1"/>
  <c r="E79" i="70"/>
  <c r="F17" i="70"/>
  <c r="AA17" i="70"/>
  <c r="D85" i="70"/>
  <c r="E85" i="70"/>
  <c r="F23" i="70"/>
  <c r="AA23" i="70"/>
  <c r="D77" i="70"/>
  <c r="E77" i="70"/>
  <c r="F15" i="70"/>
  <c r="AA15" i="70"/>
  <c r="R48" i="70"/>
  <c r="H17" i="70"/>
  <c r="AB17" i="70"/>
  <c r="H23" i="70"/>
  <c r="AB23" i="70"/>
  <c r="H15" i="70"/>
  <c r="AB15" i="70"/>
  <c r="T48" i="70"/>
  <c r="J17" i="70"/>
  <c r="AC17" i="70"/>
  <c r="J23" i="70"/>
  <c r="AC23" i="70"/>
  <c r="J15" i="70"/>
  <c r="AC15" i="70"/>
  <c r="V48" i="70"/>
  <c r="R49" i="70"/>
  <c r="C49" i="70"/>
  <c r="B3" i="70"/>
  <c r="C8" i="12"/>
  <c r="B2" i="70"/>
  <c r="C10" i="12"/>
  <c r="D79" i="21"/>
  <c r="E79" i="21"/>
  <c r="F17" i="21"/>
  <c r="AA17" i="21"/>
  <c r="D85" i="21"/>
  <c r="E85" i="21"/>
  <c r="F23" i="21"/>
  <c r="AA23" i="21"/>
  <c r="D77" i="21"/>
  <c r="E77" i="21"/>
  <c r="F15" i="21"/>
  <c r="AA15" i="21"/>
  <c r="R48" i="21"/>
  <c r="H17" i="21"/>
  <c r="AB17" i="21"/>
  <c r="H23" i="21"/>
  <c r="AB23" i="21"/>
  <c r="H15" i="21"/>
  <c r="AB15" i="21"/>
  <c r="T48" i="21"/>
  <c r="J17" i="21"/>
  <c r="AC17" i="21"/>
  <c r="J23" i="21"/>
  <c r="AC23" i="21"/>
  <c r="J15" i="21"/>
  <c r="AC15" i="21"/>
  <c r="V48" i="21"/>
  <c r="R49" i="21"/>
  <c r="C49" i="21"/>
  <c r="B3" i="21"/>
  <c r="B2" i="21"/>
  <c r="E10" i="12"/>
  <c r="E8" i="12"/>
  <c r="D15" i="66"/>
  <c r="C15" i="66"/>
  <c r="B15" i="66"/>
  <c r="G15" i="66"/>
  <c r="I15" i="66"/>
  <c r="C19" i="9"/>
  <c r="F6" i="15"/>
  <c r="F8" i="15"/>
  <c r="F7" i="15"/>
  <c r="F9" i="15"/>
  <c r="C6" i="15"/>
  <c r="N4" i="65"/>
  <c r="C4" i="65"/>
  <c r="B39" i="1"/>
  <c r="F11" i="15"/>
  <c r="C10" i="15"/>
  <c r="C5" i="15"/>
  <c r="C32" i="15"/>
  <c r="C33" i="15"/>
  <c r="F35" i="15"/>
  <c r="C34" i="15"/>
  <c r="C31" i="15"/>
  <c r="C14" i="15"/>
  <c r="C15" i="15"/>
  <c r="F16" i="15"/>
  <c r="C16" i="15"/>
  <c r="F43" i="15"/>
  <c r="C17" i="15"/>
  <c r="C18" i="15"/>
  <c r="C19" i="15"/>
  <c r="C20" i="15"/>
  <c r="I5" i="65"/>
  <c r="E2" i="65"/>
  <c r="B40" i="1"/>
  <c r="F24" i="15"/>
  <c r="C23" i="15"/>
  <c r="F26" i="15"/>
  <c r="C26" i="15"/>
  <c r="C24" i="15"/>
  <c r="C27" i="15"/>
  <c r="C29"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B2" i="15"/>
  <c r="D10" i="12"/>
  <c r="C6" i="12"/>
  <c r="C13" i="12"/>
  <c r="C14" i="12"/>
  <c r="C15" i="12"/>
  <c r="D16" i="12"/>
  <c r="C16" i="12"/>
  <c r="C17" i="12"/>
  <c r="C18" i="12"/>
  <c r="D19" i="12"/>
  <c r="E19" i="12"/>
  <c r="C19" i="12"/>
  <c r="D21" i="12"/>
  <c r="C21" i="12"/>
  <c r="D22" i="12"/>
  <c r="C22" i="12"/>
  <c r="C20" i="12"/>
  <c r="C23" i="12"/>
  <c r="C24" i="12"/>
  <c r="F26" i="12"/>
  <c r="C28" i="12"/>
  <c r="C26" i="12"/>
  <c r="C29" i="12"/>
  <c r="C31" i="12"/>
  <c r="C30" i="12"/>
  <c r="F33" i="12"/>
  <c r="C35" i="12"/>
  <c r="C33" i="12"/>
  <c r="C27" i="12"/>
  <c r="D26" i="12"/>
  <c r="C32" i="12"/>
  <c r="D30" i="12"/>
  <c r="C34" i="12"/>
  <c r="D33" i="12"/>
  <c r="C36" i="12"/>
  <c r="B2" i="12"/>
  <c r="D19" i="9"/>
  <c r="G19" i="9"/>
  <c r="C32" i="9"/>
  <c r="C42" i="9"/>
  <c r="C44" i="9"/>
  <c r="G14" i="66"/>
  <c r="D14" i="66"/>
  <c r="N69" i="9"/>
  <c r="D63" i="9"/>
  <c r="D71" i="9"/>
  <c r="D66" i="9"/>
  <c r="N72" i="9"/>
  <c r="D73" i="9"/>
  <c r="N73" i="9"/>
  <c r="C103" i="9"/>
  <c r="C111" i="9"/>
  <c r="C104" i="9"/>
  <c r="C113" i="9"/>
  <c r="C114" i="9"/>
  <c r="C115" i="9"/>
  <c r="D76" i="9"/>
  <c r="D74" i="9"/>
  <c r="N74" i="9"/>
  <c r="O77" i="9"/>
  <c r="O79" i="9"/>
  <c r="C46" i="9"/>
  <c r="I14" i="66"/>
  <c r="J140" i="70"/>
  <c r="C145" i="70"/>
  <c r="K139" i="70"/>
  <c r="K145" i="70"/>
  <c r="K144" i="70"/>
  <c r="K143" i="70"/>
  <c r="J142" i="70"/>
  <c r="K141" i="70"/>
  <c r="B130" i="70"/>
  <c r="B128" i="70"/>
  <c r="B126" i="70"/>
  <c r="D125" i="70"/>
  <c r="E125" i="70"/>
  <c r="F125" i="70"/>
  <c r="G125" i="70"/>
  <c r="D123" i="70"/>
  <c r="E123" i="70"/>
  <c r="F123" i="70"/>
  <c r="G123" i="70"/>
  <c r="H123" i="70"/>
  <c r="I123" i="70"/>
  <c r="J123" i="70"/>
  <c r="K123" i="70"/>
  <c r="L123" i="70"/>
  <c r="M123" i="70"/>
  <c r="D119" i="70"/>
  <c r="E119" i="70"/>
  <c r="F119" i="70"/>
  <c r="G119" i="70"/>
  <c r="H119" i="70"/>
  <c r="I119" i="70"/>
  <c r="J119" i="70"/>
  <c r="K119" i="70"/>
  <c r="L119" i="70"/>
  <c r="M119" i="70"/>
  <c r="D117" i="70"/>
  <c r="E117" i="70"/>
  <c r="F117" i="70"/>
  <c r="G117" i="70"/>
  <c r="D115" i="70"/>
  <c r="E115" i="70"/>
  <c r="F115" i="70"/>
  <c r="G115" i="70"/>
  <c r="H115" i="70"/>
  <c r="I115" i="70"/>
  <c r="J115" i="70"/>
  <c r="K115" i="70"/>
  <c r="L115" i="70"/>
  <c r="M115" i="70"/>
  <c r="D113" i="70"/>
  <c r="E113" i="70"/>
  <c r="F113" i="70"/>
  <c r="G113" i="70"/>
  <c r="H113" i="70"/>
  <c r="H111" i="70"/>
  <c r="G111" i="70"/>
  <c r="F111" i="70"/>
  <c r="E111" i="70"/>
  <c r="D111" i="70"/>
  <c r="C111" i="70"/>
  <c r="D110" i="70"/>
  <c r="E110" i="70"/>
  <c r="F110" i="70"/>
  <c r="G110" i="70"/>
  <c r="H110" i="70"/>
  <c r="I110" i="70"/>
  <c r="J110" i="70"/>
  <c r="K110" i="70"/>
  <c r="L110" i="70"/>
  <c r="M110" i="70"/>
  <c r="D108" i="70"/>
  <c r="E108" i="70"/>
  <c r="F108" i="70"/>
  <c r="G108" i="70"/>
  <c r="H108" i="70"/>
  <c r="I108" i="70"/>
  <c r="J108" i="70"/>
  <c r="K108" i="70"/>
  <c r="L108" i="70"/>
  <c r="M108" i="70"/>
  <c r="D106" i="70"/>
  <c r="E106" i="70"/>
  <c r="F106" i="70"/>
  <c r="G106" i="70"/>
  <c r="H106" i="70"/>
  <c r="I106" i="70"/>
  <c r="J106" i="70"/>
  <c r="K106" i="70"/>
  <c r="L106" i="70"/>
  <c r="M106" i="70"/>
  <c r="M102" i="70"/>
  <c r="L102" i="70"/>
  <c r="K102" i="70"/>
  <c r="J102" i="70"/>
  <c r="I102" i="70"/>
  <c r="H102" i="70"/>
  <c r="G102" i="70"/>
  <c r="F102" i="70"/>
  <c r="E102" i="70"/>
  <c r="D102" i="70"/>
  <c r="C102" i="70"/>
  <c r="D101" i="70"/>
  <c r="E101" i="70"/>
  <c r="F101" i="70"/>
  <c r="G101" i="70"/>
  <c r="H101" i="70"/>
  <c r="I101" i="70"/>
  <c r="J101" i="70"/>
  <c r="K101" i="70"/>
  <c r="L101" i="70"/>
  <c r="M101" i="70"/>
  <c r="B98" i="70"/>
  <c r="B96" i="70"/>
  <c r="B94" i="70"/>
  <c r="B92" i="70"/>
  <c r="B90" i="70"/>
  <c r="D89" i="70"/>
  <c r="E89" i="70"/>
  <c r="F89" i="70"/>
  <c r="G89" i="70"/>
  <c r="H89" i="70"/>
  <c r="I89" i="70"/>
  <c r="J89" i="70"/>
  <c r="K89" i="70"/>
  <c r="L89" i="70"/>
  <c r="M89" i="70"/>
  <c r="M87" i="70"/>
  <c r="L87" i="70"/>
  <c r="K87" i="70"/>
  <c r="J87" i="70"/>
  <c r="I87" i="70"/>
  <c r="H87" i="70"/>
  <c r="G87" i="70"/>
  <c r="F87" i="70"/>
  <c r="E87" i="70"/>
  <c r="D87" i="70"/>
  <c r="F85" i="70"/>
  <c r="G85" i="70"/>
  <c r="D83" i="70"/>
  <c r="E83" i="70"/>
  <c r="F83" i="70"/>
  <c r="G83" i="70"/>
  <c r="D81" i="70"/>
  <c r="E81" i="70"/>
  <c r="F81" i="70"/>
  <c r="G81" i="70"/>
  <c r="F79" i="70"/>
  <c r="G79" i="70"/>
  <c r="F77" i="70"/>
  <c r="G77" i="70"/>
  <c r="B74" i="70"/>
  <c r="B72" i="70"/>
  <c r="B70" i="70"/>
  <c r="D69" i="70"/>
  <c r="E69" i="70"/>
  <c r="F69" i="70"/>
  <c r="G69" i="70"/>
  <c r="H69" i="70"/>
  <c r="I69" i="70"/>
  <c r="J69" i="70"/>
  <c r="K69" i="70"/>
  <c r="L69" i="70"/>
  <c r="M69" i="70"/>
  <c r="M67" i="70"/>
  <c r="L67" i="70"/>
  <c r="K67" i="70"/>
  <c r="J67" i="70"/>
  <c r="I67" i="70"/>
  <c r="H67" i="70"/>
  <c r="G67" i="70"/>
  <c r="F67" i="70"/>
  <c r="E67" i="70"/>
  <c r="D67" i="70"/>
  <c r="C67" i="70"/>
  <c r="D66" i="70"/>
  <c r="E66" i="70"/>
  <c r="F66" i="70"/>
  <c r="G66" i="70"/>
  <c r="H66" i="70"/>
  <c r="I66" i="70"/>
  <c r="C63" i="70"/>
  <c r="C7" i="70"/>
  <c r="C58" i="70"/>
  <c r="D58" i="70"/>
  <c r="E58" i="70"/>
  <c r="F58" i="70"/>
  <c r="G58" i="70"/>
  <c r="H58" i="70"/>
  <c r="I58" i="70"/>
  <c r="J58" i="70"/>
  <c r="K58" i="70"/>
  <c r="L58" i="70"/>
  <c r="M58" i="70"/>
  <c r="N58" i="70"/>
  <c r="O58" i="70"/>
  <c r="I54" i="70"/>
  <c r="J54" i="70"/>
  <c r="G54" i="70"/>
  <c r="H54" i="70"/>
  <c r="E54" i="70"/>
  <c r="F54" i="70"/>
  <c r="V47" i="70"/>
  <c r="J7" i="70"/>
  <c r="AC7" i="70"/>
  <c r="J8" i="70"/>
  <c r="AC8" i="70"/>
  <c r="J9" i="70"/>
  <c r="AC9" i="70"/>
  <c r="J10" i="70"/>
  <c r="AC10" i="70"/>
  <c r="C11" i="70"/>
  <c r="J11" i="70"/>
  <c r="AC11" i="70"/>
  <c r="J12" i="70"/>
  <c r="AC12" i="70"/>
  <c r="J13" i="70"/>
  <c r="AC13" i="70"/>
  <c r="J14" i="70"/>
  <c r="AC14" i="70"/>
  <c r="J19" i="70"/>
  <c r="AC19" i="70"/>
  <c r="J21" i="70"/>
  <c r="AC21" i="70"/>
  <c r="J25" i="70"/>
  <c r="AC25" i="70"/>
  <c r="J26" i="70"/>
  <c r="AC26" i="70"/>
  <c r="J27" i="70"/>
  <c r="AC27" i="70"/>
  <c r="J28" i="70"/>
  <c r="AC28" i="70"/>
  <c r="J29" i="70"/>
  <c r="AC29" i="70"/>
  <c r="J30" i="70"/>
  <c r="AC30" i="70"/>
  <c r="J31" i="70"/>
  <c r="AC31" i="70"/>
  <c r="J32" i="70"/>
  <c r="AC32" i="70"/>
  <c r="C33" i="70"/>
  <c r="J33" i="70"/>
  <c r="AC33" i="70"/>
  <c r="J34" i="70"/>
  <c r="AC34" i="70"/>
  <c r="J35" i="70"/>
  <c r="AC35" i="70"/>
  <c r="J36" i="70"/>
  <c r="AC36" i="70"/>
  <c r="J37" i="70"/>
  <c r="AC37" i="70"/>
  <c r="J38" i="70"/>
  <c r="AC38" i="70"/>
  <c r="J39" i="70"/>
  <c r="AC39" i="70"/>
  <c r="J40" i="70"/>
  <c r="AC40" i="70"/>
  <c r="J41" i="70"/>
  <c r="AC41" i="70"/>
  <c r="J42" i="70"/>
  <c r="AC42" i="70"/>
  <c r="J43" i="70"/>
  <c r="AC43" i="70"/>
  <c r="J44" i="70"/>
  <c r="AC44" i="70"/>
  <c r="J45" i="70"/>
  <c r="AC45" i="70"/>
  <c r="J46" i="70"/>
  <c r="AC46" i="70"/>
  <c r="I48" i="70"/>
  <c r="R47" i="70"/>
  <c r="F7" i="70"/>
  <c r="AA7" i="70"/>
  <c r="F8" i="70"/>
  <c r="AA8" i="70"/>
  <c r="F9" i="70"/>
  <c r="AA9" i="70"/>
  <c r="F10" i="70"/>
  <c r="AA10" i="70"/>
  <c r="F11" i="70"/>
  <c r="AA11" i="70"/>
  <c r="F12" i="70"/>
  <c r="AA12" i="70"/>
  <c r="F13" i="70"/>
  <c r="AA13" i="70"/>
  <c r="F14" i="70"/>
  <c r="AA14" i="70"/>
  <c r="F19" i="70"/>
  <c r="AA19" i="70"/>
  <c r="F21" i="70"/>
  <c r="AA21" i="70"/>
  <c r="F25" i="70"/>
  <c r="AA25" i="70"/>
  <c r="F26" i="70"/>
  <c r="AA26" i="70"/>
  <c r="F27" i="70"/>
  <c r="AA27" i="70"/>
  <c r="F28" i="70"/>
  <c r="AA28" i="70"/>
  <c r="F29" i="70"/>
  <c r="AA29" i="70"/>
  <c r="F30" i="70"/>
  <c r="AA30" i="70"/>
  <c r="F31" i="70"/>
  <c r="AA31" i="70"/>
  <c r="F32" i="70"/>
  <c r="AA32" i="70"/>
  <c r="F33" i="70"/>
  <c r="AA33" i="70"/>
  <c r="F34" i="70"/>
  <c r="AA34" i="70"/>
  <c r="F35" i="70"/>
  <c r="AA35" i="70"/>
  <c r="F36" i="70"/>
  <c r="AA36" i="70"/>
  <c r="F37" i="70"/>
  <c r="AA37" i="70"/>
  <c r="F38" i="70"/>
  <c r="AA38" i="70"/>
  <c r="F39" i="70"/>
  <c r="AA39" i="70"/>
  <c r="F40" i="70"/>
  <c r="AA40" i="70"/>
  <c r="F41" i="70"/>
  <c r="AA41" i="70"/>
  <c r="F42" i="70"/>
  <c r="AA42" i="70"/>
  <c r="F43" i="70"/>
  <c r="AA43" i="70"/>
  <c r="F44" i="70"/>
  <c r="AA44" i="70"/>
  <c r="F45" i="70"/>
  <c r="AA45" i="70"/>
  <c r="F46" i="70"/>
  <c r="AA46" i="70"/>
  <c r="E48" i="70"/>
  <c r="I53" i="70"/>
  <c r="J53" i="70"/>
  <c r="T47" i="70"/>
  <c r="H7" i="70"/>
  <c r="AB7" i="70"/>
  <c r="H8" i="70"/>
  <c r="AB8" i="70"/>
  <c r="H9" i="70"/>
  <c r="AB9" i="70"/>
  <c r="H10" i="70"/>
  <c r="AB10" i="70"/>
  <c r="H11" i="70"/>
  <c r="AB11" i="70"/>
  <c r="H12" i="70"/>
  <c r="AB12" i="70"/>
  <c r="H13" i="70"/>
  <c r="AB13" i="70"/>
  <c r="H14" i="70"/>
  <c r="AB14" i="70"/>
  <c r="H19" i="70"/>
  <c r="AB19" i="70"/>
  <c r="H21" i="70"/>
  <c r="AB21" i="70"/>
  <c r="H25" i="70"/>
  <c r="AB25" i="70"/>
  <c r="H26" i="70"/>
  <c r="AB26" i="70"/>
  <c r="H27" i="70"/>
  <c r="AB27" i="70"/>
  <c r="H28" i="70"/>
  <c r="AB28" i="70"/>
  <c r="H29" i="70"/>
  <c r="AB29" i="70"/>
  <c r="H30" i="70"/>
  <c r="AB30" i="70"/>
  <c r="H31" i="70"/>
  <c r="AB31" i="70"/>
  <c r="H32" i="70"/>
  <c r="AB32" i="70"/>
  <c r="H33" i="70"/>
  <c r="AB33" i="70"/>
  <c r="H34" i="70"/>
  <c r="AB34" i="70"/>
  <c r="H35" i="70"/>
  <c r="AB35" i="70"/>
  <c r="H36" i="70"/>
  <c r="AB36" i="70"/>
  <c r="H37" i="70"/>
  <c r="AB37" i="70"/>
  <c r="H38" i="70"/>
  <c r="AB38" i="70"/>
  <c r="H39" i="70"/>
  <c r="AB39" i="70"/>
  <c r="H40" i="70"/>
  <c r="AB40" i="70"/>
  <c r="H41" i="70"/>
  <c r="AB41" i="70"/>
  <c r="H42" i="70"/>
  <c r="AB42" i="70"/>
  <c r="H43" i="70"/>
  <c r="AB43" i="70"/>
  <c r="H44" i="70"/>
  <c r="AB44" i="70"/>
  <c r="H45" i="70"/>
  <c r="AB45" i="70"/>
  <c r="H46" i="70"/>
  <c r="AB46" i="70"/>
  <c r="G48" i="70"/>
  <c r="G53" i="70"/>
  <c r="H53" i="70"/>
  <c r="E53" i="70"/>
  <c r="F53" i="70"/>
  <c r="I52" i="70"/>
  <c r="J52" i="70"/>
  <c r="G52" i="70"/>
  <c r="H52" i="70"/>
  <c r="E52" i="70"/>
  <c r="F52" i="70"/>
  <c r="P49" i="70"/>
  <c r="P48" i="70"/>
  <c r="C48" i="70"/>
  <c r="P47" i="70"/>
  <c r="Q46" i="70"/>
  <c r="Z46" i="70"/>
  <c r="W46" i="70"/>
  <c r="U46" i="70"/>
  <c r="S46" i="70"/>
  <c r="Q45" i="70"/>
  <c r="Z45" i="70"/>
  <c r="W45" i="70"/>
  <c r="U45" i="70"/>
  <c r="S45" i="70"/>
  <c r="Q44" i="70"/>
  <c r="Z44" i="70"/>
  <c r="W44" i="70"/>
  <c r="U44" i="70"/>
  <c r="S44" i="70"/>
  <c r="Q43" i="70"/>
  <c r="Z43" i="70"/>
  <c r="W43" i="70"/>
  <c r="U43" i="70"/>
  <c r="S43" i="70"/>
  <c r="Q42" i="70"/>
  <c r="Z42" i="70"/>
  <c r="W42" i="70"/>
  <c r="U42" i="70"/>
  <c r="S42" i="70"/>
  <c r="Q41" i="70"/>
  <c r="Z41" i="70"/>
  <c r="W41" i="70"/>
  <c r="U41" i="70"/>
  <c r="S41" i="70"/>
  <c r="Q40" i="70"/>
  <c r="Z40" i="70"/>
  <c r="W40" i="70"/>
  <c r="U40" i="70"/>
  <c r="S40" i="70"/>
  <c r="Q39" i="70"/>
  <c r="Z39" i="70"/>
  <c r="W39" i="70"/>
  <c r="U39" i="70"/>
  <c r="S39" i="70"/>
  <c r="Q38" i="70"/>
  <c r="Z38" i="70"/>
  <c r="W38" i="70"/>
  <c r="U38" i="70"/>
  <c r="S38" i="70"/>
  <c r="Q37" i="70"/>
  <c r="Z37" i="70"/>
  <c r="W37" i="70"/>
  <c r="U37" i="70"/>
  <c r="S37" i="70"/>
  <c r="Q36" i="70"/>
  <c r="Z36" i="70"/>
  <c r="W36" i="70"/>
  <c r="U36" i="70"/>
  <c r="S36" i="70"/>
  <c r="Q35" i="70"/>
  <c r="Z35" i="70"/>
  <c r="W35" i="70"/>
  <c r="U35" i="70"/>
  <c r="S35" i="70"/>
  <c r="Q34" i="70"/>
  <c r="Z34" i="70"/>
  <c r="W34" i="70"/>
  <c r="U34" i="70"/>
  <c r="S34" i="70"/>
  <c r="Q33" i="70"/>
  <c r="Z33" i="70"/>
  <c r="W33" i="70"/>
  <c r="U33" i="70"/>
  <c r="S33" i="70"/>
  <c r="Q32" i="70"/>
  <c r="Z32" i="70"/>
  <c r="W32" i="70"/>
  <c r="U32" i="70"/>
  <c r="S32" i="70"/>
  <c r="Q31" i="70"/>
  <c r="Z31" i="70"/>
  <c r="W31" i="70"/>
  <c r="U31" i="70"/>
  <c r="S31" i="70"/>
  <c r="Q30" i="70"/>
  <c r="Z30" i="70"/>
  <c r="W30" i="70"/>
  <c r="U30" i="70"/>
  <c r="S30" i="70"/>
  <c r="Q29" i="70"/>
  <c r="Z29" i="70"/>
  <c r="W29" i="70"/>
  <c r="U29" i="70"/>
  <c r="S29" i="70"/>
  <c r="Q28" i="70"/>
  <c r="Z28" i="70"/>
  <c r="W28" i="70"/>
  <c r="U28" i="70"/>
  <c r="S28" i="70"/>
  <c r="Q27" i="70"/>
  <c r="Z27" i="70"/>
  <c r="W27" i="70"/>
  <c r="U27" i="70"/>
  <c r="S27" i="70"/>
  <c r="Q26" i="70"/>
  <c r="Z26" i="70"/>
  <c r="W26" i="70"/>
  <c r="U26" i="70"/>
  <c r="S26" i="70"/>
  <c r="Q25" i="70"/>
  <c r="Z25" i="70"/>
  <c r="W25" i="70"/>
  <c r="U25" i="70"/>
  <c r="S25" i="70"/>
  <c r="Q23" i="70"/>
  <c r="Z23" i="70"/>
  <c r="W23" i="70"/>
  <c r="U23" i="70"/>
  <c r="S23" i="70"/>
  <c r="C23" i="70"/>
  <c r="Q21" i="70"/>
  <c r="Z21" i="70"/>
  <c r="W21" i="70"/>
  <c r="U21" i="70"/>
  <c r="S21" i="70"/>
  <c r="C21" i="70"/>
  <c r="Q19" i="70"/>
  <c r="Z19" i="70"/>
  <c r="W19" i="70"/>
  <c r="U19" i="70"/>
  <c r="S19" i="70"/>
  <c r="C19" i="70"/>
  <c r="Q17" i="70"/>
  <c r="Z17" i="70"/>
  <c r="W17" i="70"/>
  <c r="U17" i="70"/>
  <c r="S17" i="70"/>
  <c r="C17" i="70"/>
  <c r="Q15" i="70"/>
  <c r="Z15" i="70"/>
  <c r="W15" i="70"/>
  <c r="U15" i="70"/>
  <c r="S15" i="70"/>
  <c r="C15" i="70"/>
  <c r="Q14" i="70"/>
  <c r="Z14" i="70"/>
  <c r="W14" i="70"/>
  <c r="U14" i="70"/>
  <c r="S14" i="70"/>
  <c r="Q13" i="70"/>
  <c r="Z13" i="70"/>
  <c r="W13" i="70"/>
  <c r="U13" i="70"/>
  <c r="S13" i="70"/>
  <c r="Q12" i="70"/>
  <c r="Z12" i="70"/>
  <c r="W12" i="70"/>
  <c r="U12" i="70"/>
  <c r="S12" i="70"/>
  <c r="Q11" i="70"/>
  <c r="Z11" i="70"/>
  <c r="W11" i="70"/>
  <c r="U11" i="70"/>
  <c r="S11" i="70"/>
  <c r="Q10" i="70"/>
  <c r="Z10" i="70"/>
  <c r="W10" i="70"/>
  <c r="U10" i="70"/>
  <c r="S10" i="70"/>
  <c r="Q9" i="70"/>
  <c r="Z9" i="70"/>
  <c r="W9" i="70"/>
  <c r="U9" i="70"/>
  <c r="S9" i="70"/>
  <c r="W8" i="70"/>
  <c r="U8" i="70"/>
  <c r="S8" i="70"/>
  <c r="W7" i="70"/>
  <c r="U7" i="70"/>
  <c r="S7" i="70"/>
  <c r="D3" i="70"/>
  <c r="C33" i="21"/>
  <c r="C11" i="21"/>
  <c r="B3" i="15"/>
  <c r="D8" i="12"/>
  <c r="L14" i="1"/>
  <c r="F11" i="39"/>
  <c r="AA11" i="39"/>
  <c r="R49" i="39"/>
  <c r="H11" i="39"/>
  <c r="AB11" i="39"/>
  <c r="T49" i="39"/>
  <c r="J11" i="39"/>
  <c r="AC11"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M6" i="1"/>
  <c r="O6" i="1"/>
  <c r="P6" i="1"/>
  <c r="M7" i="1"/>
  <c r="O7" i="1"/>
  <c r="P7" i="1"/>
  <c r="M8" i="1"/>
  <c r="O8" i="1"/>
  <c r="P8" i="1"/>
  <c r="M14" i="1"/>
  <c r="O14" i="1"/>
  <c r="P14" i="1"/>
  <c r="P16" i="1"/>
  <c r="F15" i="12"/>
  <c r="F24" i="12"/>
  <c r="Q16" i="1"/>
  <c r="C17" i="9"/>
  <c r="D17" i="9"/>
  <c r="C18" i="9"/>
  <c r="D18" i="9"/>
  <c r="Q17" i="1"/>
  <c r="L19" i="1"/>
  <c r="K19" i="1"/>
  <c r="M19" i="1"/>
  <c r="L20" i="1"/>
  <c r="K20" i="1"/>
  <c r="M20" i="1"/>
  <c r="L21" i="1"/>
  <c r="K21" i="1"/>
  <c r="M21" i="1"/>
  <c r="L22" i="1"/>
  <c r="K22" i="1"/>
  <c r="M22" i="1"/>
  <c r="M24" i="1"/>
  <c r="K18" i="1"/>
  <c r="M18" i="1"/>
  <c r="M23" i="1"/>
  <c r="P22" i="1"/>
  <c r="Q22" i="1"/>
  <c r="P21" i="1"/>
  <c r="Q21" i="1"/>
  <c r="P20" i="1"/>
  <c r="Q20" i="1"/>
  <c r="P19" i="1"/>
  <c r="Q19" i="1"/>
  <c r="D77" i="9"/>
  <c r="N75" i="9"/>
  <c r="M13" i="3"/>
  <c r="K13" i="3"/>
  <c r="I13" i="3"/>
  <c r="C13" i="3"/>
  <c r="F19" i="6"/>
  <c r="E19" i="6"/>
  <c r="K6" i="1"/>
  <c r="F20" i="6"/>
  <c r="E20" i="6"/>
  <c r="K7" i="1"/>
  <c r="F21" i="6"/>
  <c r="E21" i="6"/>
  <c r="K8" i="1"/>
  <c r="K9" i="1"/>
  <c r="M9" i="1"/>
  <c r="O9" i="1"/>
  <c r="P9" i="1"/>
  <c r="K10" i="1"/>
  <c r="M10" i="1"/>
  <c r="O10" i="1"/>
  <c r="P10" i="1"/>
  <c r="K11" i="1"/>
  <c r="M11" i="1"/>
  <c r="O11" i="1"/>
  <c r="P11" i="1"/>
  <c r="K12" i="1"/>
  <c r="M12" i="1"/>
  <c r="O12" i="1"/>
  <c r="P12" i="1"/>
  <c r="K13" i="1"/>
  <c r="M13" i="1"/>
  <c r="O13" i="1"/>
  <c r="P13" i="1"/>
  <c r="K14" i="1"/>
  <c r="BM13" i="3"/>
  <c r="BL13" i="3"/>
  <c r="BC13" i="3"/>
  <c r="BB13" i="3"/>
  <c r="BD13" i="3"/>
  <c r="BA13" i="3"/>
  <c r="AZ13" i="3"/>
  <c r="AZ5" i="3"/>
  <c r="E3" i="6"/>
  <c r="BD5" i="3"/>
  <c r="E5" i="6"/>
  <c r="E6" i="6"/>
  <c r="C9" i="12"/>
  <c r="D9" i="12"/>
  <c r="E9" i="12"/>
  <c r="C106" i="9"/>
  <c r="I9" i="39"/>
  <c r="G9" i="39"/>
  <c r="E9" i="39"/>
  <c r="I7" i="39"/>
  <c r="G7" i="39"/>
  <c r="E7" i="39"/>
  <c r="I40" i="39"/>
  <c r="G40" i="39"/>
  <c r="E40" i="39"/>
  <c r="I48" i="39"/>
  <c r="G48" i="39"/>
  <c r="E48" i="39"/>
  <c r="AL13" i="3"/>
  <c r="A3" i="3"/>
  <c r="E34" i="69"/>
  <c r="D33" i="69"/>
  <c r="E22" i="69"/>
  <c r="D21" i="69"/>
  <c r="D8" i="69"/>
  <c r="I5" i="3"/>
  <c r="A6" i="1"/>
  <c r="A7" i="1"/>
  <c r="A8" i="1"/>
  <c r="BQ13" i="3"/>
  <c r="BQ14" i="3"/>
  <c r="BQ15" i="3"/>
  <c r="BQ16" i="3"/>
  <c r="BQ17" i="3"/>
  <c r="BQ18" i="3"/>
  <c r="BQ19" i="3"/>
  <c r="BQ20" i="3"/>
  <c r="BQ21" i="3"/>
  <c r="BQ22" i="3"/>
  <c r="BQ23" i="3"/>
  <c r="BQ24" i="3"/>
  <c r="BQ25" i="3"/>
  <c r="BQ26" i="3"/>
  <c r="BQ27" i="3"/>
  <c r="BQ28" i="3"/>
  <c r="BQ29" i="3"/>
  <c r="BQ30" i="3"/>
  <c r="BQ31" i="3"/>
  <c r="BQ32" i="3"/>
  <c r="BQ33" i="3"/>
  <c r="BQ34" i="3"/>
  <c r="BQ35" i="3"/>
  <c r="BQ36" i="3"/>
  <c r="BQ5" i="3"/>
  <c r="BS13" i="3"/>
  <c r="BS14" i="3"/>
  <c r="BS15" i="3"/>
  <c r="BS16" i="3"/>
  <c r="BS17" i="3"/>
  <c r="BS18" i="3"/>
  <c r="BS19" i="3"/>
  <c r="BS20" i="3"/>
  <c r="BS21" i="3"/>
  <c r="BS22" i="3"/>
  <c r="BS23" i="3"/>
  <c r="BS24" i="3"/>
  <c r="BS25" i="3"/>
  <c r="BS26" i="3"/>
  <c r="BS27" i="3"/>
  <c r="BS28" i="3"/>
  <c r="BS29" i="3"/>
  <c r="BS30" i="3"/>
  <c r="BS31" i="3"/>
  <c r="BS32" i="3"/>
  <c r="BS33"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5" i="3"/>
  <c r="BT13" i="3"/>
  <c r="BT14" i="3"/>
  <c r="BT15" i="3"/>
  <c r="BT16" i="3"/>
  <c r="BT17" i="3"/>
  <c r="BT18" i="3"/>
  <c r="BT19" i="3"/>
  <c r="BT20" i="3"/>
  <c r="BT21" i="3"/>
  <c r="BT22" i="3"/>
  <c r="BT23" i="3"/>
  <c r="BT24" i="3"/>
  <c r="BT25" i="3"/>
  <c r="BT26" i="3"/>
  <c r="BT27" i="3"/>
  <c r="BT28" i="3"/>
  <c r="BT29" i="3"/>
  <c r="BT30" i="3"/>
  <c r="BT31" i="3"/>
  <c r="BT32" i="3"/>
  <c r="BT33" i="3"/>
  <c r="BT5" i="3"/>
  <c r="G28" i="6"/>
  <c r="E28" i="6"/>
  <c r="BM14" i="3"/>
  <c r="BM15" i="3"/>
  <c r="BM16" i="3"/>
  <c r="BM17" i="3"/>
  <c r="BM18" i="3"/>
  <c r="BM19" i="3"/>
  <c r="BM20" i="3"/>
  <c r="BM21" i="3"/>
  <c r="BM22" i="3"/>
  <c r="BM23" i="3"/>
  <c r="BM24" i="3"/>
  <c r="BM25" i="3"/>
  <c r="BM26" i="3"/>
  <c r="BM27" i="3"/>
  <c r="BM28" i="3"/>
  <c r="BM29" i="3"/>
  <c r="BM30" i="3"/>
  <c r="BM31" i="3"/>
  <c r="BM32" i="3"/>
  <c r="BM33" i="3"/>
  <c r="BM5" i="3"/>
  <c r="BO13" i="3"/>
  <c r="BO14" i="3"/>
  <c r="BO15" i="3"/>
  <c r="BO16" i="3"/>
  <c r="BO17" i="3"/>
  <c r="BO18" i="3"/>
  <c r="BO19" i="3"/>
  <c r="BO20" i="3"/>
  <c r="BO21" i="3"/>
  <c r="BO22" i="3"/>
  <c r="BO23" i="3"/>
  <c r="BO24" i="3"/>
  <c r="BO25" i="3"/>
  <c r="BO26" i="3"/>
  <c r="BO27" i="3"/>
  <c r="BO28" i="3"/>
  <c r="BO29" i="3"/>
  <c r="BO30" i="3"/>
  <c r="BO31" i="3"/>
  <c r="BO32" i="3"/>
  <c r="BO33" i="3"/>
  <c r="BO5" i="3"/>
  <c r="F29" i="6"/>
  <c r="BN13" i="3"/>
  <c r="BN14" i="3"/>
  <c r="BN15" i="3"/>
  <c r="BN16" i="3"/>
  <c r="BN17" i="3"/>
  <c r="BN18" i="3"/>
  <c r="BN19" i="3"/>
  <c r="BN20" i="3"/>
  <c r="BN21" i="3"/>
  <c r="BN22" i="3"/>
  <c r="BN23" i="3"/>
  <c r="BN24" i="3"/>
  <c r="BN25" i="3"/>
  <c r="BN26" i="3"/>
  <c r="BN27" i="3"/>
  <c r="BN28" i="3"/>
  <c r="BN29" i="3"/>
  <c r="BN30" i="3"/>
  <c r="BN31" i="3"/>
  <c r="BN32" i="3"/>
  <c r="BN33" i="3"/>
  <c r="BN5" i="3"/>
  <c r="BP13" i="3"/>
  <c r="BP14" i="3"/>
  <c r="BP15" i="3"/>
  <c r="BP16" i="3"/>
  <c r="BP17" i="3"/>
  <c r="BP18" i="3"/>
  <c r="BP19" i="3"/>
  <c r="BP20" i="3"/>
  <c r="BP21" i="3"/>
  <c r="BP22" i="3"/>
  <c r="BP23" i="3"/>
  <c r="BP24" i="3"/>
  <c r="BP25" i="3"/>
  <c r="BP26" i="3"/>
  <c r="BP27" i="3"/>
  <c r="BP28" i="3"/>
  <c r="BP29" i="3"/>
  <c r="BP30" i="3"/>
  <c r="BP31" i="3"/>
  <c r="BP32" i="3"/>
  <c r="BP33" i="3"/>
  <c r="BP5" i="3"/>
  <c r="G29" i="6"/>
  <c r="E29" i="6"/>
  <c r="K15" i="1"/>
  <c r="K16" i="1"/>
  <c r="G1" i="15"/>
  <c r="D3" i="4"/>
  <c r="C1" i="65"/>
  <c r="N1" i="65"/>
  <c r="B2" i="1"/>
  <c r="C42" i="1"/>
  <c r="BE13" i="3"/>
  <c r="BF13" i="3"/>
  <c r="BG13" i="3"/>
  <c r="BH13" i="3"/>
  <c r="BI13" i="3"/>
  <c r="BJ13" i="3"/>
  <c r="BK13" i="3"/>
  <c r="BB14" i="3"/>
  <c r="BC14" i="3"/>
  <c r="BD14" i="3"/>
  <c r="BE14" i="3"/>
  <c r="BF14" i="3"/>
  <c r="BG14" i="3"/>
  <c r="BH14" i="3"/>
  <c r="BI14" i="3"/>
  <c r="BJ14" i="3"/>
  <c r="BK14" i="3"/>
  <c r="BA14" i="3"/>
  <c r="BL14" i="3"/>
  <c r="AZ14" i="3"/>
  <c r="BB15" i="3"/>
  <c r="BC15" i="3"/>
  <c r="BD15" i="3"/>
  <c r="BE15" i="3"/>
  <c r="BF15" i="3"/>
  <c r="BG15" i="3"/>
  <c r="BH15" i="3"/>
  <c r="BI15" i="3"/>
  <c r="BJ15" i="3"/>
  <c r="BK15" i="3"/>
  <c r="BA15" i="3"/>
  <c r="BL15" i="3"/>
  <c r="AZ15" i="3"/>
  <c r="BB16" i="3"/>
  <c r="BC16" i="3"/>
  <c r="BD16" i="3"/>
  <c r="BE16" i="3"/>
  <c r="BF16" i="3"/>
  <c r="BG16" i="3"/>
  <c r="BH16" i="3"/>
  <c r="BI16" i="3"/>
  <c r="BJ16" i="3"/>
  <c r="BK16" i="3"/>
  <c r="BA16" i="3"/>
  <c r="BL16" i="3"/>
  <c r="AZ16" i="3"/>
  <c r="BB17" i="3"/>
  <c r="BC17" i="3"/>
  <c r="BD17" i="3"/>
  <c r="BE17" i="3"/>
  <c r="BF17" i="3"/>
  <c r="BG17" i="3"/>
  <c r="BH17" i="3"/>
  <c r="BI17" i="3"/>
  <c r="BJ17" i="3"/>
  <c r="BK17" i="3"/>
  <c r="BA17" i="3"/>
  <c r="BL17" i="3"/>
  <c r="AZ17" i="3"/>
  <c r="BB18" i="3"/>
  <c r="BC18" i="3"/>
  <c r="BD18" i="3"/>
  <c r="BE18" i="3"/>
  <c r="BF18" i="3"/>
  <c r="BG18" i="3"/>
  <c r="BH18" i="3"/>
  <c r="BI18" i="3"/>
  <c r="BJ18" i="3"/>
  <c r="BK18" i="3"/>
  <c r="BA18" i="3"/>
  <c r="BL18" i="3"/>
  <c r="AZ18" i="3"/>
  <c r="BB19" i="3"/>
  <c r="BC19" i="3"/>
  <c r="BD19" i="3"/>
  <c r="BE19" i="3"/>
  <c r="BF19" i="3"/>
  <c r="BG19" i="3"/>
  <c r="BH19" i="3"/>
  <c r="BI19" i="3"/>
  <c r="BJ19" i="3"/>
  <c r="BK19" i="3"/>
  <c r="BA19" i="3"/>
  <c r="BL19" i="3"/>
  <c r="AZ19" i="3"/>
  <c r="BB20" i="3"/>
  <c r="BC20" i="3"/>
  <c r="BD20" i="3"/>
  <c r="BE20" i="3"/>
  <c r="BF20" i="3"/>
  <c r="BG20" i="3"/>
  <c r="BH20" i="3"/>
  <c r="BI20" i="3"/>
  <c r="BJ20" i="3"/>
  <c r="BK20" i="3"/>
  <c r="BA20" i="3"/>
  <c r="BL20" i="3"/>
  <c r="AZ20" i="3"/>
  <c r="BB21" i="3"/>
  <c r="BC21" i="3"/>
  <c r="BD21" i="3"/>
  <c r="BE21" i="3"/>
  <c r="BF21" i="3"/>
  <c r="BG21" i="3"/>
  <c r="BH21" i="3"/>
  <c r="BI21" i="3"/>
  <c r="BJ21" i="3"/>
  <c r="BK21" i="3"/>
  <c r="BA21" i="3"/>
  <c r="BL21" i="3"/>
  <c r="AZ21" i="3"/>
  <c r="BB22" i="3"/>
  <c r="BC22" i="3"/>
  <c r="BD22" i="3"/>
  <c r="BE22" i="3"/>
  <c r="BF22" i="3"/>
  <c r="BG22" i="3"/>
  <c r="BH22" i="3"/>
  <c r="BI22" i="3"/>
  <c r="BJ22" i="3"/>
  <c r="BK22" i="3"/>
  <c r="BA22" i="3"/>
  <c r="BL22" i="3"/>
  <c r="AZ22" i="3"/>
  <c r="BB23" i="3"/>
  <c r="BC23" i="3"/>
  <c r="BD23" i="3"/>
  <c r="BE23" i="3"/>
  <c r="BF23" i="3"/>
  <c r="BG23" i="3"/>
  <c r="BH23" i="3"/>
  <c r="BI23" i="3"/>
  <c r="BJ23" i="3"/>
  <c r="BK23" i="3"/>
  <c r="BA23" i="3"/>
  <c r="BL23" i="3"/>
  <c r="AZ23" i="3"/>
  <c r="BB24" i="3"/>
  <c r="BC24" i="3"/>
  <c r="BD24" i="3"/>
  <c r="BE24" i="3"/>
  <c r="BF24" i="3"/>
  <c r="BG24" i="3"/>
  <c r="BH24" i="3"/>
  <c r="BI24" i="3"/>
  <c r="BJ24" i="3"/>
  <c r="BK24" i="3"/>
  <c r="BA24" i="3"/>
  <c r="BL24" i="3"/>
  <c r="AZ24" i="3"/>
  <c r="BB25" i="3"/>
  <c r="BC25" i="3"/>
  <c r="BD25" i="3"/>
  <c r="BE25" i="3"/>
  <c r="BF25" i="3"/>
  <c r="BG25" i="3"/>
  <c r="BH25" i="3"/>
  <c r="BI25" i="3"/>
  <c r="BJ25" i="3"/>
  <c r="BK25" i="3"/>
  <c r="BA25" i="3"/>
  <c r="BL25" i="3"/>
  <c r="AZ25" i="3"/>
  <c r="BB26" i="3"/>
  <c r="BC26" i="3"/>
  <c r="BD26" i="3"/>
  <c r="BE26" i="3"/>
  <c r="BF26" i="3"/>
  <c r="BG26" i="3"/>
  <c r="BH26" i="3"/>
  <c r="BI26" i="3"/>
  <c r="BJ26" i="3"/>
  <c r="BK26" i="3"/>
  <c r="BA26" i="3"/>
  <c r="BL26" i="3"/>
  <c r="AZ26" i="3"/>
  <c r="BB27" i="3"/>
  <c r="BC27" i="3"/>
  <c r="BD27" i="3"/>
  <c r="BE27" i="3"/>
  <c r="BF27" i="3"/>
  <c r="BG27" i="3"/>
  <c r="BH27" i="3"/>
  <c r="BI27" i="3"/>
  <c r="BJ27" i="3"/>
  <c r="BK27" i="3"/>
  <c r="BA27" i="3"/>
  <c r="BL27" i="3"/>
  <c r="AZ27" i="3"/>
  <c r="BB28" i="3"/>
  <c r="BC28" i="3"/>
  <c r="BD28" i="3"/>
  <c r="BE28" i="3"/>
  <c r="BF28" i="3"/>
  <c r="BG28" i="3"/>
  <c r="BH28" i="3"/>
  <c r="BI28" i="3"/>
  <c r="BJ28" i="3"/>
  <c r="BK28" i="3"/>
  <c r="BA28" i="3"/>
  <c r="BL28" i="3"/>
  <c r="AZ28" i="3"/>
  <c r="BB29" i="3"/>
  <c r="BC29" i="3"/>
  <c r="BD29" i="3"/>
  <c r="BE29" i="3"/>
  <c r="BF29" i="3"/>
  <c r="BG29" i="3"/>
  <c r="BH29" i="3"/>
  <c r="BI29" i="3"/>
  <c r="BJ29" i="3"/>
  <c r="BK29" i="3"/>
  <c r="BA29" i="3"/>
  <c r="BL29" i="3"/>
  <c r="AZ29" i="3"/>
  <c r="BB30" i="3"/>
  <c r="BC30" i="3"/>
  <c r="BD30" i="3"/>
  <c r="BE30" i="3"/>
  <c r="BF30" i="3"/>
  <c r="BG30" i="3"/>
  <c r="BH30" i="3"/>
  <c r="BI30" i="3"/>
  <c r="BJ30" i="3"/>
  <c r="BK30" i="3"/>
  <c r="BA30" i="3"/>
  <c r="BL30" i="3"/>
  <c r="AZ30" i="3"/>
  <c r="BB31" i="3"/>
  <c r="BC31" i="3"/>
  <c r="BD31" i="3"/>
  <c r="BE31" i="3"/>
  <c r="BF31" i="3"/>
  <c r="BG31" i="3"/>
  <c r="BH31" i="3"/>
  <c r="BI31" i="3"/>
  <c r="BJ31" i="3"/>
  <c r="BK31" i="3"/>
  <c r="BA31" i="3"/>
  <c r="BL31" i="3"/>
  <c r="AZ31" i="3"/>
  <c r="BB32" i="3"/>
  <c r="BC32" i="3"/>
  <c r="BD32" i="3"/>
  <c r="BE32" i="3"/>
  <c r="BF32" i="3"/>
  <c r="BG32" i="3"/>
  <c r="BH32" i="3"/>
  <c r="BI32" i="3"/>
  <c r="BJ32" i="3"/>
  <c r="BK32" i="3"/>
  <c r="BA32" i="3"/>
  <c r="BL32" i="3"/>
  <c r="AZ32" i="3"/>
  <c r="BB33" i="3"/>
  <c r="BC33" i="3"/>
  <c r="BD33" i="3"/>
  <c r="BE33" i="3"/>
  <c r="BF33" i="3"/>
  <c r="BG33" i="3"/>
  <c r="BH33" i="3"/>
  <c r="BI33" i="3"/>
  <c r="BJ33" i="3"/>
  <c r="BK33" i="3"/>
  <c r="BA33" i="3"/>
  <c r="BL33" i="3"/>
  <c r="AZ33" i="3"/>
  <c r="BB34" i="3"/>
  <c r="BC34" i="3"/>
  <c r="BA34" i="3"/>
  <c r="BL34" i="3"/>
  <c r="AZ34" i="3"/>
  <c r="BL35" i="3"/>
  <c r="AZ35" i="3"/>
  <c r="BL36" i="3"/>
  <c r="AZ36"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AC35" i="3"/>
  <c r="G35" i="3"/>
  <c r="AC36" i="3"/>
  <c r="G36" i="3"/>
  <c r="G5" i="3"/>
  <c r="B3" i="3"/>
  <c r="AY6" i="3"/>
  <c r="D3" i="6"/>
  <c r="D20" i="6"/>
  <c r="BA5" i="3"/>
  <c r="BB5" i="3"/>
  <c r="BC10" i="3"/>
  <c r="BD10" i="3"/>
  <c r="BC5" i="3"/>
  <c r="E8" i="6"/>
  <c r="L20" i="6"/>
  <c r="B52" i="1"/>
  <c r="F34" i="15"/>
  <c r="S9" i="1"/>
  <c r="S10" i="1"/>
  <c r="S11" i="1"/>
  <c r="S12" i="1"/>
  <c r="S13" i="1"/>
  <c r="H1" i="65"/>
  <c r="F21" i="15"/>
  <c r="C28" i="15"/>
  <c r="E19" i="4"/>
  <c r="F7" i="1"/>
  <c r="J51" i="15"/>
  <c r="M47" i="15"/>
  <c r="D124" i="34"/>
  <c r="E124" i="34"/>
  <c r="F124" i="34"/>
  <c r="F43" i="34"/>
  <c r="AA43" i="34"/>
  <c r="D86" i="34"/>
  <c r="E86" i="34"/>
  <c r="F23" i="34"/>
  <c r="AA23" i="34"/>
  <c r="C7" i="34"/>
  <c r="C59" i="34"/>
  <c r="D59" i="34"/>
  <c r="E59" i="34"/>
  <c r="F59" i="34"/>
  <c r="G59" i="34"/>
  <c r="H59" i="34"/>
  <c r="I59" i="34"/>
  <c r="J59" i="34"/>
  <c r="K59" i="34"/>
  <c r="L59" i="34"/>
  <c r="M59" i="34"/>
  <c r="N59" i="34"/>
  <c r="O59" i="34"/>
  <c r="F7" i="34"/>
  <c r="AA7" i="34"/>
  <c r="R49" i="34"/>
  <c r="H43" i="34"/>
  <c r="AB43" i="34"/>
  <c r="H23" i="34"/>
  <c r="AB23" i="34"/>
  <c r="H7" i="34"/>
  <c r="AB7" i="34"/>
  <c r="T49" i="34"/>
  <c r="J43" i="34"/>
  <c r="AC43" i="34"/>
  <c r="J23" i="34"/>
  <c r="AC23" i="34"/>
  <c r="J7" i="34"/>
  <c r="AC7" i="34"/>
  <c r="V49" i="34"/>
  <c r="R50" i="34"/>
  <c r="C50" i="34"/>
  <c r="B3" i="34"/>
  <c r="D3" i="34"/>
  <c r="B2" i="34"/>
  <c r="F21" i="39"/>
  <c r="AA21" i="39"/>
  <c r="F43" i="39"/>
  <c r="AA43" i="39"/>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P25" i="46"/>
  <c r="B73" i="39"/>
  <c r="F9" i="39"/>
  <c r="AA9" i="39"/>
  <c r="H21" i="39"/>
  <c r="AB21" i="39"/>
  <c r="H43" i="39"/>
  <c r="AB43" i="39"/>
  <c r="H9" i="39"/>
  <c r="AB9" i="39"/>
  <c r="J21" i="39"/>
  <c r="AC21" i="39"/>
  <c r="J43" i="39"/>
  <c r="AC43" i="39"/>
  <c r="J9" i="39"/>
  <c r="AC9" i="39"/>
  <c r="BC11" i="3"/>
  <c r="BD11" i="3"/>
  <c r="E21" i="12"/>
  <c r="E22" i="12"/>
  <c r="C25" i="12"/>
  <c r="B22" i="1"/>
  <c r="C2" i="65"/>
  <c r="I1" i="65"/>
  <c r="F23" i="15"/>
  <c r="E119" i="39"/>
  <c r="F119" i="39"/>
  <c r="G119" i="39"/>
  <c r="H119" i="39"/>
  <c r="I119" i="39"/>
  <c r="D119" i="39"/>
  <c r="E73" i="39"/>
  <c r="F73" i="39"/>
  <c r="G73" i="39"/>
  <c r="H73" i="39"/>
  <c r="D73" i="39"/>
  <c r="C40" i="39"/>
  <c r="F30" i="6"/>
  <c r="D19" i="6"/>
  <c r="D21" i="6"/>
  <c r="D22" i="6"/>
  <c r="E24" i="6"/>
  <c r="D24" i="6"/>
  <c r="D25" i="6"/>
  <c r="D26" i="6"/>
  <c r="D28" i="6"/>
  <c r="D29" i="6"/>
  <c r="D30" i="6"/>
  <c r="N14" i="1"/>
  <c r="E120" i="39"/>
  <c r="F120" i="39"/>
  <c r="G120" i="39"/>
  <c r="H120" i="39"/>
  <c r="I120" i="39"/>
  <c r="D120" i="39"/>
  <c r="D78" i="34"/>
  <c r="E78" i="34"/>
  <c r="F15" i="34"/>
  <c r="AA15" i="34"/>
  <c r="D80" i="34"/>
  <c r="F17" i="34"/>
  <c r="AA17" i="34"/>
  <c r="D82" i="34"/>
  <c r="E82" i="34"/>
  <c r="F19" i="34"/>
  <c r="AA19" i="34"/>
  <c r="D84" i="34"/>
  <c r="F21" i="34"/>
  <c r="AA21" i="34"/>
  <c r="F25" i="34"/>
  <c r="AA25" i="34"/>
  <c r="B89" i="34"/>
  <c r="F27" i="34"/>
  <c r="AA27" i="34"/>
  <c r="B91" i="34"/>
  <c r="F28" i="34"/>
  <c r="AA28" i="34"/>
  <c r="B93" i="34"/>
  <c r="F29" i="34"/>
  <c r="AA29" i="34"/>
  <c r="B95" i="34"/>
  <c r="F30" i="34"/>
  <c r="AA30" i="34"/>
  <c r="B97" i="34"/>
  <c r="F31" i="34"/>
  <c r="AA31" i="34"/>
  <c r="B99" i="34"/>
  <c r="F32" i="34"/>
  <c r="AA32" i="34"/>
  <c r="F33" i="34"/>
  <c r="AA33" i="34"/>
  <c r="F35" i="34"/>
  <c r="AA35" i="34"/>
  <c r="F36" i="34"/>
  <c r="AA36" i="34"/>
  <c r="F38" i="34"/>
  <c r="AA38" i="34"/>
  <c r="D116" i="34"/>
  <c r="F39" i="34"/>
  <c r="AA39" i="34"/>
  <c r="D118" i="34"/>
  <c r="F40" i="34"/>
  <c r="AA40" i="34"/>
  <c r="D126" i="34"/>
  <c r="F44" i="34"/>
  <c r="AA44" i="34"/>
  <c r="F41" i="34"/>
  <c r="AA41" i="34"/>
  <c r="F42" i="34"/>
  <c r="AA42" i="34"/>
  <c r="B131" i="34"/>
  <c r="F47" i="34"/>
  <c r="AA47" i="34"/>
  <c r="B127" i="34"/>
  <c r="F45" i="34"/>
  <c r="AA45" i="34"/>
  <c r="B129" i="34"/>
  <c r="F46" i="34"/>
  <c r="AA46" i="34"/>
  <c r="D112" i="34"/>
  <c r="E112" i="34"/>
  <c r="F112" i="34"/>
  <c r="G112" i="34"/>
  <c r="F37" i="34"/>
  <c r="AA37" i="34"/>
  <c r="B71" i="34"/>
  <c r="F12" i="34"/>
  <c r="AA12" i="34"/>
  <c r="B73" i="34"/>
  <c r="F13" i="34"/>
  <c r="AA13" i="34"/>
  <c r="B75" i="34"/>
  <c r="F14" i="34"/>
  <c r="AA14" i="34"/>
  <c r="D70" i="34"/>
  <c r="C34" i="34"/>
  <c r="F34" i="34"/>
  <c r="AA34" i="34"/>
  <c r="H15" i="34"/>
  <c r="AB15" i="34"/>
  <c r="H17" i="34"/>
  <c r="AB17" i="34"/>
  <c r="H19" i="34"/>
  <c r="AB19" i="34"/>
  <c r="H21" i="34"/>
  <c r="AB21" i="34"/>
  <c r="H25" i="34"/>
  <c r="AB25" i="34"/>
  <c r="H27" i="34"/>
  <c r="AB27" i="34"/>
  <c r="H28" i="34"/>
  <c r="AB28" i="34"/>
  <c r="H29" i="34"/>
  <c r="AB29" i="34"/>
  <c r="H30" i="34"/>
  <c r="AB30" i="34"/>
  <c r="H31" i="34"/>
  <c r="AB31" i="34"/>
  <c r="H32" i="34"/>
  <c r="AB32" i="34"/>
  <c r="H33" i="34"/>
  <c r="AB33" i="34"/>
  <c r="H35" i="34"/>
  <c r="AB35" i="34"/>
  <c r="H36" i="34"/>
  <c r="AB36" i="34"/>
  <c r="H38" i="34"/>
  <c r="AB38" i="34"/>
  <c r="H39" i="34"/>
  <c r="AB39" i="34"/>
  <c r="H40" i="34"/>
  <c r="AB40" i="34"/>
  <c r="H44" i="34"/>
  <c r="AB44" i="34"/>
  <c r="H41" i="34"/>
  <c r="AB41" i="34"/>
  <c r="H42" i="34"/>
  <c r="AB42" i="34"/>
  <c r="H47" i="34"/>
  <c r="AB47" i="34"/>
  <c r="H45" i="34"/>
  <c r="AB45" i="34"/>
  <c r="H46" i="34"/>
  <c r="AB46" i="34"/>
  <c r="H37" i="34"/>
  <c r="AB37" i="34"/>
  <c r="H12" i="34"/>
  <c r="AB12" i="34"/>
  <c r="H13" i="34"/>
  <c r="AB13" i="34"/>
  <c r="H14" i="34"/>
  <c r="AB14" i="34"/>
  <c r="H34" i="34"/>
  <c r="AB34" i="34"/>
  <c r="J15" i="34"/>
  <c r="AC15" i="34"/>
  <c r="J17" i="34"/>
  <c r="AC17" i="34"/>
  <c r="J19" i="34"/>
  <c r="AC19" i="34"/>
  <c r="J21" i="34"/>
  <c r="AC21" i="34"/>
  <c r="J25" i="34"/>
  <c r="AC25" i="34"/>
  <c r="J27" i="34"/>
  <c r="AC27" i="34"/>
  <c r="J28" i="34"/>
  <c r="AC28" i="34"/>
  <c r="J29" i="34"/>
  <c r="AC29" i="34"/>
  <c r="J30" i="34"/>
  <c r="AC30" i="34"/>
  <c r="J31" i="34"/>
  <c r="AC31" i="34"/>
  <c r="J32" i="34"/>
  <c r="AC32" i="34"/>
  <c r="J33" i="34"/>
  <c r="AC33" i="34"/>
  <c r="J35" i="34"/>
  <c r="AC35" i="34"/>
  <c r="J36" i="34"/>
  <c r="AC36" i="34"/>
  <c r="J38" i="34"/>
  <c r="AC38" i="34"/>
  <c r="J39" i="34"/>
  <c r="AC39" i="34"/>
  <c r="J40" i="34"/>
  <c r="AC40" i="34"/>
  <c r="J44" i="34"/>
  <c r="AC44" i="34"/>
  <c r="J41" i="34"/>
  <c r="AC41" i="34"/>
  <c r="J42" i="34"/>
  <c r="AC42" i="34"/>
  <c r="J47" i="34"/>
  <c r="AC47" i="34"/>
  <c r="J45" i="34"/>
  <c r="AC45" i="34"/>
  <c r="J46" i="34"/>
  <c r="AC46" i="34"/>
  <c r="J37" i="34"/>
  <c r="AC37" i="34"/>
  <c r="J12" i="34"/>
  <c r="AC12" i="34"/>
  <c r="J13" i="34"/>
  <c r="AC13" i="34"/>
  <c r="J14" i="34"/>
  <c r="AC14" i="34"/>
  <c r="E70" i="34"/>
  <c r="F70" i="34"/>
  <c r="J34" i="34"/>
  <c r="AC34" i="34"/>
  <c r="E105" i="34"/>
  <c r="F105" i="34"/>
  <c r="G105" i="34"/>
  <c r="H105" i="34"/>
  <c r="I105" i="34"/>
  <c r="D105" i="34"/>
  <c r="E104" i="34"/>
  <c r="F104" i="34"/>
  <c r="G104" i="34"/>
  <c r="H104" i="34"/>
  <c r="I104" i="34"/>
  <c r="D104" i="34"/>
  <c r="AH5" i="59"/>
  <c r="AG5" i="59"/>
  <c r="AE5" i="59"/>
  <c r="AF5" i="59"/>
  <c r="AD5" i="59"/>
  <c r="Q5" i="59"/>
  <c r="P5" i="59"/>
  <c r="O5" i="59"/>
  <c r="N5" i="59"/>
  <c r="F25" i="12"/>
  <c r="AH6" i="59"/>
  <c r="AG6" i="59"/>
  <c r="AE6" i="59"/>
  <c r="AF6" i="59"/>
  <c r="AD6" i="59"/>
  <c r="Q6" i="59"/>
  <c r="Q7" i="59"/>
  <c r="Q8" i="59"/>
  <c r="Q9" i="59"/>
  <c r="Q10" i="59"/>
  <c r="Q11" i="59"/>
  <c r="Q12" i="59"/>
  <c r="Q13" i="59"/>
  <c r="Q14" i="59"/>
  <c r="Q15" i="59"/>
  <c r="Q16" i="59"/>
  <c r="Q17" i="59"/>
  <c r="Q18" i="59"/>
  <c r="Q19" i="59"/>
  <c r="Q20" i="59"/>
  <c r="Q21" i="59"/>
  <c r="Q22" i="59"/>
  <c r="Q23" i="59"/>
  <c r="Q24" i="59"/>
  <c r="Q25" i="59"/>
  <c r="Q26" i="59"/>
  <c r="AB5" i="59"/>
  <c r="P6" i="59"/>
  <c r="P7" i="59"/>
  <c r="P8" i="59"/>
  <c r="P9" i="59"/>
  <c r="P10" i="59"/>
  <c r="P11" i="59"/>
  <c r="P12" i="59"/>
  <c r="P13" i="59"/>
  <c r="P14" i="59"/>
  <c r="P15" i="59"/>
  <c r="P16" i="59"/>
  <c r="P17" i="59"/>
  <c r="P18" i="59"/>
  <c r="P19" i="59"/>
  <c r="P20" i="59"/>
  <c r="P21" i="59"/>
  <c r="P22" i="59"/>
  <c r="P23" i="59"/>
  <c r="P24" i="59"/>
  <c r="P25" i="59"/>
  <c r="P26" i="59"/>
  <c r="AA5" i="59"/>
  <c r="O6" i="59"/>
  <c r="O7" i="59"/>
  <c r="O8" i="59"/>
  <c r="O9" i="59"/>
  <c r="O10" i="59"/>
  <c r="O11" i="59"/>
  <c r="O12" i="59"/>
  <c r="O13" i="59"/>
  <c r="O14" i="59"/>
  <c r="O15" i="59"/>
  <c r="O16" i="59"/>
  <c r="O17" i="59"/>
  <c r="O18" i="59"/>
  <c r="O19" i="59"/>
  <c r="O20" i="59"/>
  <c r="O21" i="59"/>
  <c r="O22" i="59"/>
  <c r="O23" i="59"/>
  <c r="O24" i="59"/>
  <c r="O25" i="59"/>
  <c r="O26" i="59"/>
  <c r="Y5" i="59"/>
  <c r="N6" i="59"/>
  <c r="N7" i="59"/>
  <c r="N8" i="59"/>
  <c r="N9" i="59"/>
  <c r="N10" i="59"/>
  <c r="N11" i="59"/>
  <c r="N12" i="59"/>
  <c r="N13" i="59"/>
  <c r="N14" i="59"/>
  <c r="N15" i="59"/>
  <c r="N16" i="59"/>
  <c r="N17" i="59"/>
  <c r="N18" i="59"/>
  <c r="N19" i="59"/>
  <c r="N20" i="59"/>
  <c r="N21" i="59"/>
  <c r="N22" i="59"/>
  <c r="N23" i="59"/>
  <c r="N24" i="59"/>
  <c r="N25" i="59"/>
  <c r="N26" i="59"/>
  <c r="X5" i="59"/>
  <c r="M15" i="49"/>
  <c r="L15" i="49"/>
  <c r="K15" i="49"/>
  <c r="J15" i="49"/>
  <c r="I15" i="49"/>
  <c r="H15" i="49"/>
  <c r="G15" i="49"/>
  <c r="F15" i="49"/>
  <c r="E15" i="49"/>
  <c r="D15" i="49"/>
  <c r="C15" i="49"/>
  <c r="B15" i="49"/>
  <c r="AH7" i="59"/>
  <c r="AG7" i="59"/>
  <c r="AE7" i="59"/>
  <c r="AF7" i="59"/>
  <c r="AD7" i="59"/>
  <c r="L3" i="59"/>
  <c r="AH3" i="59"/>
  <c r="K3" i="59"/>
  <c r="J3" i="59"/>
  <c r="AE3" i="59"/>
  <c r="AF3" i="59"/>
  <c r="I3" i="59"/>
  <c r="AH8" i="59"/>
  <c r="AG8" i="59"/>
  <c r="AE8" i="59"/>
  <c r="AF8" i="59"/>
  <c r="AD8" i="59"/>
  <c r="AA8" i="59"/>
  <c r="X8" i="59"/>
  <c r="AH9" i="59"/>
  <c r="AG9" i="59"/>
  <c r="AE9" i="59"/>
  <c r="AF9" i="59"/>
  <c r="AD9" i="59"/>
  <c r="M19" i="46"/>
  <c r="J50" i="15"/>
  <c r="D12" i="59"/>
  <c r="AH10" i="59"/>
  <c r="AG10" i="59"/>
  <c r="AE10" i="59"/>
  <c r="AF10" i="59"/>
  <c r="AD10" i="59"/>
  <c r="AE11" i="59"/>
  <c r="AF11" i="59"/>
  <c r="AG11" i="59"/>
  <c r="AH11" i="59"/>
  <c r="AD11" i="59"/>
  <c r="AB10" i="59"/>
  <c r="AA10" i="59"/>
  <c r="Y10" i="59"/>
  <c r="Z10" i="59"/>
  <c r="X10"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C57" i="10"/>
  <c r="A28" i="51"/>
  <c r="A27" i="51"/>
  <c r="B20" i="63"/>
  <c r="AB11" i="59"/>
  <c r="Y11" i="59"/>
  <c r="Z11" i="59"/>
  <c r="X11" i="59"/>
  <c r="B15" i="59"/>
  <c r="C15" i="59"/>
  <c r="D15" i="59"/>
  <c r="E15" i="59"/>
  <c r="F15"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c r="B11" i="59"/>
  <c r="B10" i="59"/>
  <c r="B9" i="59"/>
  <c r="E14" i="59"/>
  <c r="E13" i="59"/>
  <c r="E11" i="59"/>
  <c r="E10" i="59"/>
  <c r="E9" i="59"/>
  <c r="E8" i="59"/>
  <c r="E7" i="59"/>
  <c r="C14" i="59"/>
  <c r="F14" i="59"/>
  <c r="F13" i="59"/>
  <c r="F11" i="59"/>
  <c r="V11" i="59"/>
  <c r="U11" i="59"/>
  <c r="S11" i="59"/>
  <c r="D14" i="59"/>
  <c r="C13" i="59"/>
  <c r="AD3" i="59"/>
  <c r="AG3"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H26" i="59"/>
  <c r="AG26" i="59"/>
  <c r="AE26" i="59"/>
  <c r="AF26" i="59"/>
  <c r="AD26" i="59"/>
  <c r="AD27" i="59"/>
  <c r="AE27" i="59"/>
  <c r="AF27" i="59"/>
  <c r="AG27" i="59"/>
  <c r="AH27"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c r="C3" i="65"/>
  <c r="T11" i="59"/>
  <c r="D1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AB26" i="59"/>
  <c r="Y26" i="59"/>
  <c r="Z26" i="59"/>
  <c r="X26" i="59"/>
  <c r="F25" i="59"/>
  <c r="E25" i="59"/>
  <c r="E26" i="59"/>
  <c r="E27" i="59"/>
  <c r="U27" i="59"/>
  <c r="C25" i="59"/>
  <c r="B25" i="59"/>
  <c r="B26" i="59"/>
  <c r="B27" i="59"/>
  <c r="S27" i="59"/>
  <c r="D24" i="59"/>
  <c r="F21" i="59"/>
  <c r="E21" i="59"/>
  <c r="E22" i="59"/>
  <c r="E23" i="59"/>
  <c r="U23" i="59"/>
  <c r="C21" i="59"/>
  <c r="B21" i="59"/>
  <c r="B22" i="59"/>
  <c r="B23" i="59"/>
  <c r="S23" i="59"/>
  <c r="D20" i="59"/>
  <c r="F17" i="59"/>
  <c r="C17" i="59"/>
  <c r="B17" i="59"/>
  <c r="D16" i="59"/>
  <c r="X3" i="59"/>
  <c r="X12" i="59"/>
  <c r="X13" i="59"/>
  <c r="X14" i="59"/>
  <c r="X15" i="59"/>
  <c r="AA3" i="59"/>
  <c r="AA12" i="59"/>
  <c r="AA13" i="59"/>
  <c r="AA14" i="59"/>
  <c r="AA15" i="59"/>
  <c r="Y12" i="59"/>
  <c r="Z12" i="59"/>
  <c r="Y13" i="59"/>
  <c r="Z13" i="59"/>
  <c r="Y14" i="59"/>
  <c r="Z14" i="59"/>
  <c r="Y15" i="59"/>
  <c r="Z15" i="59"/>
  <c r="Y3" i="59"/>
  <c r="Z3" i="59"/>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N16" i="4"/>
  <c r="L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L23" i="6"/>
  <c r="P22" i="6"/>
  <c r="L22" i="6"/>
  <c r="P21" i="6"/>
  <c r="E32"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F21" i="33"/>
  <c r="H21" i="33"/>
  <c r="J21" i="33"/>
  <c r="F83" i="21"/>
  <c r="H21" i="21"/>
  <c r="G83" i="21"/>
  <c r="J21" i="21"/>
  <c r="F96" i="40"/>
  <c r="H27" i="40"/>
  <c r="F105" i="39"/>
  <c r="H31" i="39"/>
  <c r="D22" i="15"/>
  <c r="G17" i="11"/>
  <c r="D23" i="15"/>
  <c r="F15" i="15"/>
  <c r="F17" i="15"/>
  <c r="F18" i="15"/>
  <c r="F20"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A12" i="1"/>
  <c r="R12" i="1"/>
  <c r="A13" i="1"/>
  <c r="B13" i="1"/>
  <c r="E13" i="1"/>
  <c r="A9" i="1"/>
  <c r="A10" i="1"/>
  <c r="R10" i="1"/>
  <c r="A11"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P36" i="3"/>
  <c r="BO36" i="3"/>
  <c r="BN36" i="3"/>
  <c r="BM36" i="3"/>
  <c r="BK36" i="3"/>
  <c r="BJ36" i="3"/>
  <c r="BI36" i="3"/>
  <c r="BH36" i="3"/>
  <c r="BG36" i="3"/>
  <c r="BF36" i="3"/>
  <c r="BE36" i="3"/>
  <c r="BD36" i="3"/>
  <c r="BC36" i="3"/>
  <c r="BB36" i="3"/>
  <c r="BA36" i="3"/>
  <c r="AX36" i="3"/>
  <c r="AW36" i="3"/>
  <c r="AV36" i="3"/>
  <c r="H36" i="3"/>
  <c r="BT35" i="3"/>
  <c r="BS35" i="3"/>
  <c r="BP35" i="3"/>
  <c r="BO35" i="3"/>
  <c r="BN35" i="3"/>
  <c r="BM35" i="3"/>
  <c r="BK35" i="3"/>
  <c r="BJ35" i="3"/>
  <c r="BI35" i="3"/>
  <c r="BH35" i="3"/>
  <c r="BG35" i="3"/>
  <c r="BF35" i="3"/>
  <c r="BE35" i="3"/>
  <c r="BD35" i="3"/>
  <c r="BC35" i="3"/>
  <c r="BB35" i="3"/>
  <c r="BA35" i="3"/>
  <c r="AX35" i="3"/>
  <c r="AW35" i="3"/>
  <c r="AV35" i="3"/>
  <c r="H35" i="3"/>
  <c r="BT34" i="3"/>
  <c r="BS34" i="3"/>
  <c r="BP34" i="3"/>
  <c r="BO34" i="3"/>
  <c r="BN34" i="3"/>
  <c r="BM34" i="3"/>
  <c r="BK34" i="3"/>
  <c r="BJ34" i="3"/>
  <c r="BI34" i="3"/>
  <c r="BH34" i="3"/>
  <c r="BG34" i="3"/>
  <c r="BF34" i="3"/>
  <c r="BE34" i="3"/>
  <c r="BD34"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G7" i="1"/>
  <c r="B2" i="52"/>
  <c r="B15" i="52"/>
  <c r="I2" i="46"/>
  <c r="N12" i="46"/>
  <c r="A7" i="46"/>
  <c r="F41" i="4"/>
  <c r="J52" i="40"/>
  <c r="H61" i="49"/>
  <c r="H39" i="46"/>
  <c r="H38" i="46"/>
  <c r="H37" i="46"/>
  <c r="H36" i="46"/>
  <c r="H35" i="46"/>
  <c r="H34" i="46"/>
  <c r="H33" i="46"/>
  <c r="J20" i="46"/>
  <c r="C18" i="46"/>
  <c r="F15" i="46"/>
  <c r="E15" i="46"/>
  <c r="D15" i="46"/>
  <c r="C15" i="46"/>
  <c r="C10" i="46"/>
  <c r="C11" i="46"/>
  <c r="C9" i="46"/>
  <c r="E22" i="6"/>
  <c r="E25" i="6"/>
  <c r="E26" i="6"/>
  <c r="D38" i="4"/>
  <c r="C39" i="4"/>
  <c r="C35" i="4"/>
  <c r="E16" i="12"/>
  <c r="F14" i="12"/>
  <c r="F17" i="12"/>
  <c r="F23" i="12"/>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C25" i="39"/>
  <c r="F36" i="39"/>
  <c r="AA36" i="39"/>
  <c r="F40" i="39"/>
  <c r="AA40" i="39"/>
  <c r="D124" i="39"/>
  <c r="F42" i="39"/>
  <c r="AA42" i="39"/>
  <c r="H10" i="39"/>
  <c r="AB10" i="39"/>
  <c r="H36" i="39"/>
  <c r="AB36" i="39"/>
  <c r="H40" i="39"/>
  <c r="AB40" i="39"/>
  <c r="H42" i="39"/>
  <c r="AB42" i="39"/>
  <c r="J10" i="39"/>
  <c r="AC10" i="39"/>
  <c r="J36" i="39"/>
  <c r="AC36" i="39"/>
  <c r="J40" i="39"/>
  <c r="AC40"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G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D114"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E126" i="34"/>
  <c r="F126" i="34"/>
  <c r="G126" i="34"/>
  <c r="G124" i="34"/>
  <c r="H124" i="34"/>
  <c r="I124" i="34"/>
  <c r="J124" i="34"/>
  <c r="K124" i="34"/>
  <c r="L124" i="34"/>
  <c r="M124" i="34"/>
  <c r="E118" i="34"/>
  <c r="F118" i="34"/>
  <c r="G118" i="34"/>
  <c r="U40"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U33" i="34"/>
  <c r="D92" i="34"/>
  <c r="E92" i="34"/>
  <c r="F92" i="34"/>
  <c r="G92" i="34"/>
  <c r="H92" i="34"/>
  <c r="I92" i="34"/>
  <c r="J92" i="34"/>
  <c r="K92" i="34"/>
  <c r="L92" i="34"/>
  <c r="M92" i="34"/>
  <c r="S28" i="34"/>
  <c r="D88" i="34"/>
  <c r="E88" i="34"/>
  <c r="F88" i="34"/>
  <c r="G88" i="34"/>
  <c r="H88" i="34"/>
  <c r="I88" i="34"/>
  <c r="J88" i="34"/>
  <c r="K88" i="34"/>
  <c r="L88" i="34"/>
  <c r="M88" i="34"/>
  <c r="F82" i="34"/>
  <c r="G82"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S40" i="34"/>
  <c r="Q39" i="34"/>
  <c r="Z39" i="34"/>
  <c r="U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F79" i="21"/>
  <c r="G79" i="21"/>
  <c r="D81" i="21"/>
  <c r="E81" i="21"/>
  <c r="F81" i="21"/>
  <c r="G81"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G9" i="12"/>
  <c r="K5" i="3"/>
  <c r="J5" i="3"/>
  <c r="BE10" i="3"/>
  <c r="BF570" i="3"/>
  <c r="BF571" i="3"/>
  <c r="BF572" i="3"/>
  <c r="BF5" i="3"/>
  <c r="BG570" i="3"/>
  <c r="BG571" i="3"/>
  <c r="BG572" i="3"/>
  <c r="BG5" i="3"/>
  <c r="BI570" i="3"/>
  <c r="BI571" i="3"/>
  <c r="BI572" i="3"/>
  <c r="BI5" i="3"/>
  <c r="BT570" i="3"/>
  <c r="BT571" i="3"/>
  <c r="BT572" i="3"/>
  <c r="BB570" i="3"/>
  <c r="BC570" i="3"/>
  <c r="BD570" i="3"/>
  <c r="BE570" i="3"/>
  <c r="BH570" i="3"/>
  <c r="BJ570" i="3"/>
  <c r="BK570" i="3"/>
  <c r="BA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G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H570" i="3"/>
  <c r="H5"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G570"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U42" i="34"/>
  <c r="E114" i="34"/>
  <c r="U36" i="34"/>
  <c r="S33" i="34"/>
  <c r="J10" i="34"/>
  <c r="AC10" i="34"/>
  <c r="U9" i="34"/>
  <c r="W8" i="34"/>
  <c r="W28" i="34"/>
  <c r="S38" i="33"/>
  <c r="E113" i="33"/>
  <c r="F36" i="33"/>
  <c r="S36" i="33"/>
  <c r="F19" i="33"/>
  <c r="S19" i="33"/>
  <c r="J19" i="33"/>
  <c r="S10" i="21"/>
  <c r="W40" i="33"/>
  <c r="F125" i="21"/>
  <c r="G125" i="21"/>
  <c r="G86" i="40"/>
  <c r="AB30" i="36"/>
  <c r="AC34" i="36"/>
  <c r="S22" i="35"/>
  <c r="H29" i="35"/>
  <c r="U34" i="37"/>
  <c r="S34" i="37"/>
  <c r="AA34" i="37"/>
  <c r="W36" i="34"/>
  <c r="F113" i="33"/>
  <c r="G113" i="33"/>
  <c r="H113" i="33"/>
  <c r="I113" i="33"/>
  <c r="J113" i="33"/>
  <c r="K113" i="33"/>
  <c r="L113" i="33"/>
  <c r="M113" i="33"/>
  <c r="H37" i="33"/>
  <c r="AB37" i="33"/>
  <c r="S37" i="33"/>
  <c r="W43" i="34"/>
  <c r="W42" i="34"/>
  <c r="S42" i="34"/>
  <c r="W38" i="34"/>
  <c r="S38" i="34"/>
  <c r="J37" i="33"/>
  <c r="W37" i="33"/>
  <c r="J42" i="21"/>
  <c r="AC42" i="21"/>
  <c r="S44" i="34"/>
  <c r="J10" i="35"/>
  <c r="W10" i="35"/>
  <c r="AL5" i="3"/>
  <c r="BL572" i="3"/>
  <c r="BA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U13" i="34"/>
  <c r="W13" i="34"/>
  <c r="S29" i="34"/>
  <c r="U29" i="34"/>
  <c r="S31" i="34"/>
  <c r="U45" i="34"/>
  <c r="W45" i="34"/>
  <c r="U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565" i="3"/>
  <c r="G561" i="3"/>
  <c r="G557" i="3"/>
  <c r="G549" i="3"/>
  <c r="G545" i="3"/>
  <c r="G539" i="3"/>
  <c r="BL569" i="3"/>
  <c r="BA569" i="3"/>
  <c r="AZ569" i="3"/>
  <c r="BL561" i="3"/>
  <c r="BL557" i="3"/>
  <c r="BL553" i="3"/>
  <c r="BL545" i="3"/>
  <c r="BL535" i="3"/>
  <c r="BL527" i="3"/>
  <c r="BL519" i="3"/>
  <c r="BL511" i="3"/>
  <c r="BL501" i="3"/>
  <c r="BL491" i="3"/>
  <c r="BL483" i="3"/>
  <c r="BL563" i="3"/>
  <c r="BL559" i="3"/>
  <c r="BA559" i="3"/>
  <c r="AZ559" i="3"/>
  <c r="BL555" i="3"/>
  <c r="BL551" i="3"/>
  <c r="BL541" i="3"/>
  <c r="BL533" i="3"/>
  <c r="BL525" i="3"/>
  <c r="G518" i="3"/>
  <c r="G514" i="3"/>
  <c r="G510" i="3"/>
  <c r="BL503" i="3"/>
  <c r="BL495" i="3"/>
  <c r="BL485" i="3"/>
  <c r="BA565" i="3"/>
  <c r="BA561" i="3"/>
  <c r="AZ561" i="3"/>
  <c r="BA557" i="3"/>
  <c r="AZ557" i="3"/>
  <c r="BA555" i="3"/>
  <c r="AZ555" i="3"/>
  <c r="BA551" i="3"/>
  <c r="AZ551" i="3"/>
  <c r="BA545" i="3"/>
  <c r="BA543" i="3"/>
  <c r="BA541" i="3"/>
  <c r="AZ541" i="3"/>
  <c r="BA531" i="3"/>
  <c r="BA521" i="3"/>
  <c r="BA509" i="3"/>
  <c r="BA505" i="3"/>
  <c r="BA501" i="3"/>
  <c r="BA493" i="3"/>
  <c r="BL493" i="3"/>
  <c r="AZ493" i="3"/>
  <c r="BA487" i="3"/>
  <c r="BA566" i="3"/>
  <c r="BA562" i="3"/>
  <c r="BA560" i="3"/>
  <c r="BA558" i="3"/>
  <c r="BA556" i="3"/>
  <c r="BA554" i="3"/>
  <c r="BA550" i="3"/>
  <c r="BQ550" i="3"/>
  <c r="BL550" i="3"/>
  <c r="AZ550" i="3"/>
  <c r="BA546" i="3"/>
  <c r="BA544" i="3"/>
  <c r="BA540" i="3"/>
  <c r="BA536" i="3"/>
  <c r="BA532" i="3"/>
  <c r="BA528" i="3"/>
  <c r="BA524" i="3"/>
  <c r="BA520" i="3"/>
  <c r="BQ520" i="3"/>
  <c r="BL520" i="3"/>
  <c r="AZ520" i="3"/>
  <c r="BA516" i="3"/>
  <c r="BA512" i="3"/>
  <c r="BA508" i="3"/>
  <c r="BA502" i="3"/>
  <c r="BQ502" i="3"/>
  <c r="BL502" i="3"/>
  <c r="AZ502" i="3"/>
  <c r="BA498" i="3"/>
  <c r="BA492" i="3"/>
  <c r="BQ492" i="3"/>
  <c r="BL492" i="3"/>
  <c r="AZ492" i="3"/>
  <c r="BA488" i="3"/>
  <c r="BA484" i="3"/>
  <c r="BQ484" i="3"/>
  <c r="BL484" i="3"/>
  <c r="AZ484"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18" i="3"/>
  <c r="BQ516" i="3"/>
  <c r="BL516" i="3"/>
  <c r="BQ514" i="3"/>
  <c r="BL514" i="3"/>
  <c r="BQ512" i="3"/>
  <c r="BQ510" i="3"/>
  <c r="BL510" i="3"/>
  <c r="BQ508" i="3"/>
  <c r="BL508" i="3"/>
  <c r="AC506" i="3"/>
  <c r="G506" i="3"/>
  <c r="BQ506" i="3"/>
  <c r="G502" i="3"/>
  <c r="G498" i="3"/>
  <c r="BQ504" i="3"/>
  <c r="BQ500" i="3"/>
  <c r="BL500" i="3"/>
  <c r="BQ498" i="3"/>
  <c r="BQ496" i="3"/>
  <c r="AC494" i="3"/>
  <c r="BQ494" i="3"/>
  <c r="G492" i="3"/>
  <c r="G488" i="3"/>
  <c r="G484" i="3"/>
  <c r="BQ490" i="3"/>
  <c r="BQ488" i="3"/>
  <c r="BL488" i="3"/>
  <c r="BQ486" i="3"/>
  <c r="BQ482" i="3"/>
  <c r="BL482" i="3"/>
  <c r="AZ501"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c r="F25" i="21"/>
  <c r="S25" i="21"/>
  <c r="J25" i="21"/>
  <c r="AC25" i="21"/>
  <c r="E125" i="33"/>
  <c r="F125" i="33"/>
  <c r="G125" i="33"/>
  <c r="H43" i="33"/>
  <c r="U43" i="33"/>
  <c r="H17" i="37"/>
  <c r="U17" i="37"/>
  <c r="F23" i="37"/>
  <c r="S23" i="37"/>
  <c r="F79" i="37"/>
  <c r="AB27" i="37"/>
  <c r="F39" i="33"/>
  <c r="AA39" i="33"/>
  <c r="E123" i="33"/>
  <c r="F42" i="33"/>
  <c r="AA42" i="33"/>
  <c r="F22" i="36"/>
  <c r="S22" i="36"/>
  <c r="U35" i="34"/>
  <c r="S41" i="34"/>
  <c r="U41" i="34"/>
  <c r="W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BL305" i="3"/>
  <c r="AZ305" i="3"/>
  <c r="G321" i="3"/>
  <c r="BL322" i="3"/>
  <c r="G323" i="3"/>
  <c r="BL324" i="3"/>
  <c r="BA326" i="3"/>
  <c r="AZ326" i="3"/>
  <c r="BA327" i="3"/>
  <c r="BL327" i="3"/>
  <c r="AZ327" i="3"/>
  <c r="G328" i="3"/>
  <c r="BA329" i="3"/>
  <c r="BL329" i="3"/>
  <c r="AZ329" i="3"/>
  <c r="G337" i="3"/>
  <c r="BL338" i="3"/>
  <c r="G339" i="3"/>
  <c r="BL340" i="3"/>
  <c r="BA342" i="3"/>
  <c r="AZ342" i="3"/>
  <c r="BA343" i="3"/>
  <c r="BL343" i="3"/>
  <c r="AZ343" i="3"/>
  <c r="G344" i="3"/>
  <c r="BA345" i="3"/>
  <c r="BL345" i="3"/>
  <c r="AZ345" i="3"/>
  <c r="G353" i="3"/>
  <c r="BL354" i="3"/>
  <c r="G355" i="3"/>
  <c r="BL356" i="3"/>
  <c r="G357" i="3"/>
  <c r="BL358" i="3"/>
  <c r="BA358" i="3"/>
  <c r="AZ358" i="3"/>
  <c r="G359" i="3"/>
  <c r="BA360" i="3"/>
  <c r="AZ360" i="3"/>
  <c r="BA361" i="3"/>
  <c r="BL361" i="3"/>
  <c r="G362" i="3"/>
  <c r="BA363" i="3"/>
  <c r="G371" i="3"/>
  <c r="BL372" i="3"/>
  <c r="G373" i="3"/>
  <c r="BL374" i="3"/>
  <c r="BA376" i="3"/>
  <c r="AZ376" i="3"/>
  <c r="BA377" i="3"/>
  <c r="BL377" i="3"/>
  <c r="AZ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BL299" i="3"/>
  <c r="AZ299" i="3"/>
  <c r="G300" i="3"/>
  <c r="G303" i="3"/>
  <c r="BL304" i="3"/>
  <c r="BA306" i="3"/>
  <c r="AZ306" i="3"/>
  <c r="BA307" i="3"/>
  <c r="BL307" i="3"/>
  <c r="AZ307" i="3"/>
  <c r="G308" i="3"/>
  <c r="G319" i="3"/>
  <c r="BL320" i="3"/>
  <c r="BA322" i="3"/>
  <c r="BA323" i="3"/>
  <c r="BL323" i="3"/>
  <c r="AZ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BL355" i="3"/>
  <c r="AZ355" i="3"/>
  <c r="G356" i="3"/>
  <c r="AZ127" i="3"/>
  <c r="AZ143" i="3"/>
  <c r="BA359" i="3"/>
  <c r="BL359" i="3"/>
  <c r="AZ359" i="3"/>
  <c r="G360" i="3"/>
  <c r="G361" i="3"/>
  <c r="BL362" i="3"/>
  <c r="BA364" i="3"/>
  <c r="AZ364" i="3"/>
  <c r="BA365" i="3"/>
  <c r="BL365" i="3"/>
  <c r="AZ365" i="3"/>
  <c r="G366" i="3"/>
  <c r="G369" i="3"/>
  <c r="BL370" i="3"/>
  <c r="BA370" i="3"/>
  <c r="AZ370" i="3"/>
  <c r="BA372" i="3"/>
  <c r="AZ372" i="3"/>
  <c r="BA373" i="3"/>
  <c r="BL373" i="3"/>
  <c r="AZ373" i="3"/>
  <c r="G374" i="3"/>
  <c r="G377" i="3"/>
  <c r="BL378" i="3"/>
  <c r="BA380" i="3"/>
  <c r="AZ380" i="3"/>
  <c r="BA381" i="3"/>
  <c r="BL381" i="3"/>
  <c r="AZ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c r="BL333" i="3"/>
  <c r="G334" i="3"/>
  <c r="BA336" i="3"/>
  <c r="AZ336" i="3"/>
  <c r="BL337" i="3"/>
  <c r="G338" i="3"/>
  <c r="BA340" i="3"/>
  <c r="AZ340" i="3"/>
  <c r="BL341" i="3"/>
  <c r="G342" i="3"/>
  <c r="BA344" i="3"/>
  <c r="AZ344"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C14" i="37"/>
  <c r="AB35" i="35"/>
  <c r="S25" i="35"/>
  <c r="W44" i="33"/>
  <c r="AC30" i="33"/>
  <c r="W30" i="33"/>
  <c r="AC29" i="37"/>
  <c r="W32" i="36"/>
  <c r="AC32" i="36"/>
  <c r="U28" i="33"/>
  <c r="AB28" i="33"/>
  <c r="W40" i="34"/>
  <c r="F16" i="35"/>
  <c r="AA16" i="35"/>
  <c r="S24" i="36"/>
  <c r="W42" i="33"/>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S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E80" i="34"/>
  <c r="F80" i="34"/>
  <c r="W27" i="34"/>
  <c r="S12" i="35"/>
  <c r="AB28" i="35"/>
  <c r="U28" i="35"/>
  <c r="J13" i="33"/>
  <c r="W13" i="33"/>
  <c r="H13" i="33"/>
  <c r="U13" i="33"/>
  <c r="H29" i="33"/>
  <c r="AB29" i="33"/>
  <c r="F29" i="33"/>
  <c r="AA29" i="33"/>
  <c r="S12" i="34"/>
  <c r="W14" i="34"/>
  <c r="S14" i="34"/>
  <c r="S30" i="34"/>
  <c r="W30" i="34"/>
  <c r="W32" i="34"/>
  <c r="H11" i="35"/>
  <c r="J11" i="35"/>
  <c r="AC11" i="35"/>
  <c r="F96" i="37"/>
  <c r="H32" i="37"/>
  <c r="AB32" i="37"/>
  <c r="F19" i="39"/>
  <c r="S19" i="39"/>
  <c r="H19" i="39"/>
  <c r="J19" i="39"/>
  <c r="W19" i="39"/>
  <c r="U43" i="39"/>
  <c r="F99" i="37"/>
  <c r="AC27" i="37"/>
  <c r="U25" i="35"/>
  <c r="S45" i="34"/>
  <c r="U31" i="34"/>
  <c r="AC40" i="37"/>
  <c r="W40" i="37"/>
  <c r="W27" i="33"/>
  <c r="AC45" i="21"/>
  <c r="S28" i="33"/>
  <c r="S14" i="21"/>
  <c r="AB29" i="35"/>
  <c r="U29" i="35"/>
  <c r="AC19" i="33"/>
  <c r="W19" i="33"/>
  <c r="U43" i="34"/>
  <c r="AC34" i="37"/>
  <c r="S35" i="37"/>
  <c r="AA35" i="37"/>
  <c r="AB10" i="35"/>
  <c r="AA32" i="21"/>
  <c r="S32" i="21"/>
  <c r="U38" i="21"/>
  <c r="AB34" i="21"/>
  <c r="BL571" i="3"/>
  <c r="BA571" i="3"/>
  <c r="AZ571" i="3"/>
  <c r="BL570" i="3"/>
  <c r="AZ570" i="3"/>
  <c r="BE5" i="3"/>
  <c r="F42" i="21"/>
  <c r="AA42" i="21"/>
  <c r="AB40" i="33"/>
  <c r="U40" i="33"/>
  <c r="S35" i="34"/>
  <c r="E90"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S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F36" i="44"/>
  <c r="F114" i="34"/>
  <c r="G114" i="34"/>
  <c r="H114" i="34"/>
  <c r="I114" i="34"/>
  <c r="J114" i="34"/>
  <c r="K114" i="34"/>
  <c r="L114" i="34"/>
  <c r="M114" i="34"/>
  <c r="U38" i="34"/>
  <c r="H30" i="40"/>
  <c r="AB30" i="40"/>
  <c r="G100" i="40"/>
  <c r="J30" i="40"/>
  <c r="AC30" i="40"/>
  <c r="F38" i="40"/>
  <c r="AA38" i="40"/>
  <c r="AC12" i="21"/>
  <c r="W12" i="21"/>
  <c r="AB33" i="21"/>
  <c r="S35" i="21"/>
  <c r="AB10" i="21"/>
  <c r="U8" i="21"/>
  <c r="AB8" i="21"/>
  <c r="S34" i="21"/>
  <c r="AC36" i="21"/>
  <c r="AB8" i="33"/>
  <c r="U8" i="33"/>
  <c r="E106" i="33"/>
  <c r="H34" i="33"/>
  <c r="U34" i="33"/>
  <c r="F34" i="33"/>
  <c r="S34" i="33"/>
  <c r="E121" i="33"/>
  <c r="F41" i="33"/>
  <c r="S41" i="33"/>
  <c r="W34" i="34"/>
  <c r="S39" i="34"/>
  <c r="S43"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C41" i="40"/>
  <c r="W41" i="40"/>
  <c r="U41" i="40"/>
  <c r="J23" i="40"/>
  <c r="AC23" i="40"/>
  <c r="G92" i="40"/>
  <c r="F23" i="40"/>
  <c r="S23" i="40"/>
  <c r="AC15" i="40"/>
  <c r="W15" i="40"/>
  <c r="W27" i="39"/>
  <c r="S23" i="39"/>
  <c r="AB16" i="39"/>
  <c r="W14" i="39"/>
  <c r="U23" i="35"/>
  <c r="AB23" i="35"/>
  <c r="H20" i="35"/>
  <c r="F20" i="35"/>
  <c r="S20" i="35"/>
  <c r="F78" i="34"/>
  <c r="G78" i="34"/>
  <c r="H41" i="33"/>
  <c r="U41" i="33"/>
  <c r="F121" i="33"/>
  <c r="G121" i="33"/>
  <c r="H121" i="33"/>
  <c r="I121" i="33"/>
  <c r="J121" i="33"/>
  <c r="K121" i="33"/>
  <c r="L121" i="33"/>
  <c r="M121" i="33"/>
  <c r="F30" i="40"/>
  <c r="AA30" i="40"/>
  <c r="H100" i="40"/>
  <c r="I100" i="40"/>
  <c r="J100" i="40"/>
  <c r="K100" i="40"/>
  <c r="L100" i="40"/>
  <c r="M100" i="40"/>
  <c r="AZ486" i="3"/>
  <c r="AZ497" i="3"/>
  <c r="AZ504" i="3"/>
  <c r="AZ515" i="3"/>
  <c r="AZ529" i="3"/>
  <c r="AZ530" i="3"/>
  <c r="AZ537" i="3"/>
  <c r="AZ547" i="3"/>
  <c r="AZ548" i="3"/>
  <c r="AZ549" i="3"/>
  <c r="AB37" i="39"/>
  <c r="AA29" i="35"/>
  <c r="U39" i="39"/>
  <c r="J29" i="39"/>
  <c r="AC29" i="39"/>
  <c r="U21" i="39"/>
  <c r="AB17" i="39"/>
  <c r="AB33" i="36"/>
  <c r="AA11" i="36"/>
  <c r="AA14" i="35"/>
  <c r="S14" i="35"/>
  <c r="G99" i="37"/>
  <c r="F33" i="37"/>
  <c r="AB19" i="39"/>
  <c r="U19" i="39"/>
  <c r="U46" i="34"/>
  <c r="W12" i="34"/>
  <c r="U29" i="33"/>
  <c r="AC13" i="33"/>
  <c r="U17" i="34"/>
  <c r="W32" i="33"/>
  <c r="H15" i="33"/>
  <c r="U15" i="33"/>
  <c r="AA11" i="33"/>
  <c r="AA40" i="21"/>
  <c r="U17" i="21"/>
  <c r="U16" i="40"/>
  <c r="W34" i="40"/>
  <c r="AB34" i="40"/>
  <c r="AB42" i="40"/>
  <c r="U42" i="40"/>
  <c r="AC16" i="40"/>
  <c r="W32" i="40"/>
  <c r="H25" i="40"/>
  <c r="AB25" i="40"/>
  <c r="F94" i="40"/>
  <c r="G94" i="40"/>
  <c r="U47" i="39"/>
  <c r="W15" i="39"/>
  <c r="J36" i="33"/>
  <c r="W36" i="33"/>
  <c r="S41" i="40"/>
  <c r="AB23" i="40"/>
  <c r="U27" i="39"/>
  <c r="H23" i="39"/>
  <c r="AB23" i="39"/>
  <c r="J23" i="39"/>
  <c r="AC23" i="39"/>
  <c r="F97" i="39"/>
  <c r="G97" i="39"/>
  <c r="S16" i="39"/>
  <c r="S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S27" i="34"/>
  <c r="W43" i="39"/>
  <c r="S43" i="39"/>
  <c r="AA19" i="39"/>
  <c r="G96" i="37"/>
  <c r="H96" i="37"/>
  <c r="I96" i="37"/>
  <c r="J96" i="37"/>
  <c r="K96" i="37"/>
  <c r="L96" i="37"/>
  <c r="M96" i="37"/>
  <c r="F32" i="37"/>
  <c r="S32" i="37"/>
  <c r="U11" i="35"/>
  <c r="AB11" i="35"/>
  <c r="S46" i="34"/>
  <c r="U32" i="34"/>
  <c r="U14" i="34"/>
  <c r="U12" i="34"/>
  <c r="AB13" i="33"/>
  <c r="G80" i="34"/>
  <c r="J35" i="33"/>
  <c r="W35" i="33"/>
  <c r="S32" i="33"/>
  <c r="AC15" i="33"/>
  <c r="H11" i="33"/>
  <c r="U11" i="33"/>
  <c r="H10" i="33"/>
  <c r="U10" i="33"/>
  <c r="I66" i="33"/>
  <c r="J10" i="33"/>
  <c r="AC10" i="33"/>
  <c r="U40" i="21"/>
  <c r="U11" i="37"/>
  <c r="AC16" i="35"/>
  <c r="AC13" i="40"/>
  <c r="S17" i="34"/>
  <c r="AC36" i="33"/>
  <c r="F25" i="40"/>
  <c r="AA25" i="40"/>
  <c r="J11" i="33"/>
  <c r="W11" i="33"/>
  <c r="H33" i="37"/>
  <c r="AB33" i="37"/>
  <c r="W15" i="34"/>
  <c r="U20" i="35"/>
  <c r="AB20" i="35"/>
  <c r="W23" i="40"/>
  <c r="AP11" i="1"/>
  <c r="B11" i="1"/>
  <c r="E11" i="1"/>
  <c r="B9" i="1"/>
  <c r="E9" i="1"/>
  <c r="B7" i="1"/>
  <c r="E7" i="1"/>
  <c r="C20" i="43"/>
  <c r="F6" i="1"/>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W33" i="34"/>
  <c r="U30" i="34"/>
  <c r="S32" i="34"/>
  <c r="U44" i="34"/>
  <c r="U34" i="34"/>
  <c r="U28" i="34"/>
  <c r="F86" i="34"/>
  <c r="G86" i="34"/>
  <c r="W17" i="34"/>
  <c r="W10" i="34"/>
  <c r="U10" i="34"/>
  <c r="W37" i="34"/>
  <c r="W44" i="34"/>
  <c r="W19" i="34"/>
  <c r="W29" i="34"/>
  <c r="W21" i="34"/>
  <c r="U15" i="34"/>
  <c r="U21" i="34"/>
  <c r="U27" i="34"/>
  <c r="U19" i="34"/>
  <c r="S13"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W23" i="21"/>
  <c r="W17" i="21"/>
  <c r="S15" i="21"/>
  <c r="F77" i="21"/>
  <c r="G77"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C19" i="39"/>
  <c r="AC38" i="39"/>
  <c r="W29" i="39"/>
  <c r="S29" i="39"/>
  <c r="AC17" i="39"/>
  <c r="S14" i="39"/>
  <c r="AB15" i="39"/>
  <c r="U11" i="39"/>
  <c r="U41" i="39"/>
  <c r="U23" i="39"/>
  <c r="AB38" i="39"/>
  <c r="U31" i="39"/>
  <c r="AB31" i="39"/>
  <c r="S25" i="39"/>
  <c r="S38" i="39"/>
  <c r="S22" i="31"/>
  <c r="M44" i="9"/>
  <c r="M43" i="9"/>
  <c r="B22" i="63"/>
  <c r="M20" i="15"/>
  <c r="D96" i="9"/>
  <c r="F28" i="15"/>
  <c r="M18" i="15"/>
  <c r="A18" i="64"/>
  <c r="B74" i="63"/>
  <c r="C53" i="10"/>
  <c r="A25" i="64"/>
  <c r="A18" i="51"/>
  <c r="B14" i="63"/>
  <c r="F3" i="35"/>
  <c r="K1" i="43"/>
  <c r="K1" i="12"/>
  <c r="G1" i="44"/>
  <c r="I4" i="6"/>
  <c r="G3" i="46"/>
  <c r="BK5" i="3"/>
  <c r="BL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C48" i="35"/>
  <c r="D48" i="35"/>
  <c r="C52" i="37"/>
  <c r="D52" i="37"/>
  <c r="O19" i="46"/>
  <c r="K17" i="4"/>
  <c r="A22" i="51"/>
  <c r="B16" i="63"/>
  <c r="H86" i="46"/>
  <c r="H82"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W47" i="34"/>
  <c r="S47"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E297" i="3"/>
  <c r="E561" i="3"/>
  <c r="S14" i="36"/>
  <c r="AB20" i="36"/>
  <c r="AA20" i="36"/>
  <c r="AC14" i="36"/>
  <c r="W14" i="36"/>
  <c r="U14" i="36"/>
  <c r="AB14" i="36"/>
  <c r="U18" i="36"/>
  <c r="AB18" i="36"/>
  <c r="AA26" i="35"/>
  <c r="S26" i="35"/>
  <c r="U26" i="35"/>
  <c r="AB26" i="35"/>
  <c r="W26" i="35"/>
  <c r="AC26" i="35"/>
  <c r="S19" i="37"/>
  <c r="W19" i="37"/>
  <c r="AB19" i="37"/>
  <c r="U19" i="37"/>
  <c r="AC17" i="37"/>
  <c r="W17" i="37"/>
  <c r="U25" i="34"/>
  <c r="S25" i="34"/>
  <c r="W25" i="34"/>
  <c r="U23" i="34"/>
  <c r="S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H16" i="1"/>
  <c r="A9" i="64"/>
  <c r="A9" i="51"/>
  <c r="B9" i="63"/>
  <c r="A3" i="55"/>
  <c r="B56" i="63"/>
  <c r="E13" i="52"/>
  <c r="E4" i="4"/>
  <c r="E9" i="52"/>
  <c r="C4" i="4"/>
  <c r="G66" i="36"/>
  <c r="J18" i="36"/>
  <c r="AE8" i="1"/>
  <c r="AE6" i="1"/>
  <c r="W18" i="36"/>
  <c r="AC18" i="36"/>
  <c r="AG6" i="1"/>
  <c r="D12" i="11"/>
  <c r="C12" i="11"/>
  <c r="D16" i="43"/>
  <c r="C16" i="43"/>
  <c r="L19" i="6"/>
  <c r="L27" i="6"/>
  <c r="B21" i="55"/>
  <c r="B72" i="63"/>
  <c r="B20" i="55"/>
  <c r="B70" i="63"/>
  <c r="L38" i="9"/>
  <c r="B14" i="66"/>
  <c r="B1" i="66"/>
  <c r="C45" i="9"/>
  <c r="H14" i="66"/>
  <c r="B7" i="66"/>
  <c r="C7" i="66"/>
  <c r="R9" i="1"/>
  <c r="E11" i="6"/>
  <c r="E63" i="39"/>
  <c r="E12" i="6"/>
  <c r="E64" i="39"/>
  <c r="E13" i="6"/>
  <c r="E65" i="39"/>
  <c r="E14" i="6"/>
  <c r="E66" i="39"/>
  <c r="E15" i="6"/>
  <c r="E67" i="39"/>
  <c r="D45" i="9"/>
  <c r="O40" i="9"/>
  <c r="K31" i="9"/>
  <c r="K32" i="9"/>
  <c r="R7" i="54"/>
  <c r="B52" i="63"/>
  <c r="N76" i="9"/>
  <c r="M26" i="15"/>
  <c r="M24" i="44"/>
  <c r="B9" i="67"/>
  <c r="B8" i="67"/>
  <c r="L48" i="44"/>
  <c r="C19" i="44"/>
  <c r="F39" i="44"/>
  <c r="M24" i="15"/>
  <c r="B14" i="67"/>
  <c r="F12" i="67"/>
  <c r="F15" i="44"/>
  <c r="M25" i="44"/>
  <c r="L47" i="15"/>
  <c r="E13" i="67"/>
  <c r="M28" i="44"/>
  <c r="F10" i="67"/>
  <c r="F8" i="67"/>
  <c r="M23" i="15"/>
  <c r="F37" i="44"/>
  <c r="F28" i="44"/>
  <c r="F13" i="67"/>
  <c r="J15" i="15"/>
  <c r="F46" i="44"/>
  <c r="F18" i="44"/>
  <c r="L49" i="44"/>
  <c r="F9" i="67"/>
  <c r="N3" i="65"/>
  <c r="E12" i="67"/>
  <c r="F40" i="44"/>
  <c r="M29" i="15"/>
  <c r="M23" i="44"/>
  <c r="B13" i="67"/>
  <c r="F11" i="67"/>
  <c r="N5" i="65"/>
  <c r="M10" i="44"/>
  <c r="F14" i="67"/>
  <c r="F9" i="44"/>
  <c r="E14" i="67"/>
  <c r="E8" i="67"/>
  <c r="M11" i="44"/>
  <c r="J36" i="15"/>
  <c r="M8" i="44"/>
  <c r="F43" i="44"/>
  <c r="M30" i="44"/>
  <c r="F38" i="44"/>
  <c r="M21" i="15"/>
  <c r="E11" i="67"/>
  <c r="F10" i="44"/>
  <c r="N7" i="65"/>
  <c r="B10" i="67"/>
  <c r="E10" i="67"/>
  <c r="F11" i="44"/>
  <c r="E9" i="67"/>
  <c r="M22" i="15"/>
  <c r="N6" i="65"/>
  <c r="M28" i="15"/>
  <c r="M29" i="44"/>
  <c r="J17" i="44"/>
  <c r="F45" i="44"/>
  <c r="M26" i="44"/>
  <c r="B11" i="67"/>
  <c r="F8" i="44"/>
  <c r="M27" i="15"/>
  <c r="M31" i="44"/>
  <c r="B12" i="67"/>
  <c r="A25" i="51"/>
  <c r="B18" i="63"/>
  <c r="D58" i="21"/>
  <c r="E58" i="21"/>
  <c r="F58" i="21"/>
  <c r="G58" i="21"/>
  <c r="H58" i="21"/>
  <c r="I58" i="21"/>
  <c r="J58" i="21"/>
  <c r="K58" i="21"/>
  <c r="L58" i="21"/>
  <c r="M58" i="21"/>
  <c r="N58" i="21"/>
  <c r="O58" i="21"/>
  <c r="H7" i="21"/>
  <c r="J7" i="21"/>
  <c r="AC7" i="21"/>
  <c r="I48" i="21"/>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0" i="59"/>
  <c r="C9" i="59"/>
  <c r="D9" i="59"/>
  <c r="E6" i="59"/>
  <c r="E5" i="59"/>
  <c r="U7" i="59"/>
  <c r="F10" i="59"/>
  <c r="F9" i="59"/>
  <c r="F8" i="59"/>
  <c r="F7" i="59"/>
  <c r="Y9" i="59"/>
  <c r="Z9" i="59"/>
  <c r="AA9" i="59"/>
  <c r="AB9" i="59"/>
  <c r="Y8" i="59"/>
  <c r="Z8" i="59"/>
  <c r="Y7" i="59"/>
  <c r="Z7" i="59"/>
  <c r="Z5" i="59"/>
  <c r="Y6" i="59"/>
  <c r="Z6" i="59"/>
  <c r="AB8" i="59"/>
  <c r="AB7" i="59"/>
  <c r="AB6" i="59"/>
  <c r="AA11" i="59"/>
  <c r="X9" i="59"/>
  <c r="X7" i="59"/>
  <c r="X6" i="59"/>
  <c r="AA7" i="59"/>
  <c r="AA6" i="59"/>
  <c r="E14" i="52"/>
  <c r="G30" i="6"/>
  <c r="G31" i="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15" i="43"/>
  <c r="C27" i="43"/>
  <c r="C31" i="43"/>
  <c r="W7" i="21"/>
  <c r="H51" i="46"/>
  <c r="X7" i="46"/>
  <c r="E17" i="46"/>
  <c r="N17" i="46"/>
  <c r="O17" i="46"/>
  <c r="M17" i="46"/>
  <c r="L17" i="46"/>
  <c r="H22" i="46"/>
  <c r="Y11" i="46"/>
  <c r="Y13" i="46"/>
  <c r="H101" i="46"/>
  <c r="H102" i="46"/>
  <c r="G22" i="46"/>
  <c r="J22" i="46"/>
  <c r="F101" i="46"/>
  <c r="F106" i="46"/>
  <c r="D101" i="46"/>
  <c r="D106" i="46"/>
  <c r="D13" i="11"/>
  <c r="C13" i="11"/>
  <c r="E10" i="6"/>
  <c r="AP7" i="1"/>
  <c r="G13" i="1"/>
  <c r="E52" i="37"/>
  <c r="D46" i="36"/>
  <c r="AP16" i="1"/>
  <c r="F22" i="11"/>
  <c r="E48" i="35"/>
  <c r="G6" i="1"/>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C8" i="59"/>
  <c r="C7" i="59"/>
  <c r="T7" i="59"/>
  <c r="B6" i="52"/>
  <c r="E7" i="52"/>
  <c r="E6" i="52"/>
  <c r="E4" i="52"/>
  <c r="B7" i="52"/>
  <c r="E5" i="52"/>
  <c r="P21" i="46"/>
  <c r="B8" i="59"/>
  <c r="B7" i="59"/>
  <c r="S7" i="59"/>
  <c r="D8" i="59"/>
  <c r="P22" i="46"/>
  <c r="P23" i="46"/>
  <c r="P24" i="46"/>
  <c r="B68" i="40"/>
  <c r="E22" i="52"/>
  <c r="B22" i="52"/>
  <c r="B10" i="52"/>
  <c r="B11" i="52"/>
  <c r="B4" i="52"/>
  <c r="C36" i="44"/>
  <c r="C8" i="44"/>
  <c r="C34" i="44"/>
  <c r="F63" i="15"/>
  <c r="F67" i="15"/>
  <c r="J60" i="44"/>
  <c r="J54" i="44"/>
  <c r="I55" i="44"/>
  <c r="J58" i="44"/>
  <c r="J56" i="44"/>
  <c r="J59" i="44"/>
  <c r="Q52" i="44"/>
  <c r="L57" i="44"/>
  <c r="J61" i="44"/>
  <c r="Q50" i="44"/>
  <c r="J22" i="44"/>
  <c r="Q72" i="15"/>
  <c r="Q73" i="44"/>
  <c r="F64" i="15"/>
  <c r="L60" i="44"/>
  <c r="L59" i="44"/>
  <c r="F62" i="15"/>
  <c r="C61" i="15"/>
  <c r="J20" i="15"/>
  <c r="F65" i="15"/>
  <c r="F50" i="15"/>
  <c r="L59" i="15"/>
  <c r="L58" i="15"/>
  <c r="F49" i="15"/>
  <c r="J18" i="15"/>
  <c r="C29" i="44"/>
  <c r="F70" i="15"/>
  <c r="M9" i="44"/>
  <c r="J8" i="44"/>
  <c r="J20" i="44"/>
  <c r="I54" i="15"/>
  <c r="J57" i="15"/>
  <c r="J55" i="15"/>
  <c r="J58" i="15"/>
  <c r="Q51" i="15"/>
  <c r="L56" i="15"/>
  <c r="E17" i="52"/>
  <c r="E11" i="52"/>
  <c r="E15" i="52"/>
  <c r="B14" i="52"/>
  <c r="E8" i="52"/>
  <c r="E16" i="52"/>
  <c r="B5" i="52"/>
  <c r="B9" i="52"/>
  <c r="B16" i="52"/>
  <c r="B8" i="52"/>
  <c r="B13" i="52"/>
  <c r="E10" i="52"/>
  <c r="E21" i="52"/>
  <c r="C18" i="44"/>
  <c r="F33" i="44"/>
  <c r="J7" i="65"/>
  <c r="I6" i="65"/>
  <c r="J5" i="65"/>
  <c r="J6" i="65"/>
  <c r="F31" i="15"/>
  <c r="F58" i="15"/>
  <c r="I7" i="65"/>
  <c r="I4" i="65"/>
  <c r="J3" i="65"/>
  <c r="I3" i="65"/>
  <c r="J4" i="65"/>
  <c r="M17" i="15"/>
  <c r="M19" i="44"/>
  <c r="E65" i="40"/>
  <c r="D67" i="40"/>
  <c r="F7" i="21"/>
  <c r="AB7" i="21"/>
  <c r="G48" i="21"/>
  <c r="U7" i="21"/>
  <c r="F6" i="59"/>
  <c r="F5" i="59"/>
  <c r="V7" i="59"/>
  <c r="B6" i="59"/>
  <c r="B5" i="59"/>
  <c r="D7" i="59"/>
  <c r="C6" i="59"/>
  <c r="D107" i="46"/>
  <c r="M106" i="46"/>
  <c r="M104" i="46"/>
  <c r="J1" i="65"/>
  <c r="E20" i="46"/>
  <c r="P28" i="46"/>
  <c r="M102" i="46"/>
  <c r="H107" i="46"/>
  <c r="M105" i="46"/>
  <c r="C5" i="46"/>
  <c r="H105" i="46"/>
  <c r="H109" i="46"/>
  <c r="D103" i="46"/>
  <c r="D102" i="46"/>
  <c r="H104" i="46"/>
  <c r="H106" i="46"/>
  <c r="F18" i="11"/>
  <c r="C18" i="11"/>
  <c r="F24" i="43"/>
  <c r="C26" i="43"/>
  <c r="D24" i="43"/>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1" i="40"/>
  <c r="E58" i="40"/>
  <c r="E59" i="40"/>
  <c r="E62" i="40"/>
  <c r="E30" i="6"/>
  <c r="AB7" i="33"/>
  <c r="T48" i="33"/>
  <c r="G48" i="33"/>
  <c r="U7" i="33"/>
  <c r="F48" i="35"/>
  <c r="E46" i="36"/>
  <c r="AA7" i="33"/>
  <c r="R48" i="33"/>
  <c r="S7" i="33"/>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O28" i="46"/>
  <c r="Q61" i="15"/>
  <c r="Q74" i="15"/>
  <c r="Q76" i="44"/>
  <c r="Q63" i="44"/>
  <c r="Q54" i="44"/>
  <c r="F1" i="44"/>
  <c r="F13" i="44"/>
  <c r="C12" i="44"/>
  <c r="C7" i="44"/>
  <c r="M13" i="44"/>
  <c r="J12" i="44"/>
  <c r="J7" i="44"/>
  <c r="Q53" i="15"/>
  <c r="Q75" i="15"/>
  <c r="Q62" i="15"/>
  <c r="Q75" i="44"/>
  <c r="Q62" i="44"/>
  <c r="E3" i="65"/>
  <c r="G52" i="21"/>
  <c r="H52" i="21"/>
  <c r="G53" i="21"/>
  <c r="H53" i="21"/>
  <c r="AA7" i="21"/>
  <c r="S7" i="21"/>
  <c r="F65" i="40"/>
  <c r="E67" i="40"/>
  <c r="D6" i="59"/>
  <c r="C5" i="59"/>
  <c r="D5" i="59"/>
  <c r="M28" i="46"/>
  <c r="G20" i="46"/>
  <c r="E41" i="46"/>
  <c r="C41" i="46"/>
  <c r="N28" i="46"/>
  <c r="F17" i="11"/>
  <c r="C17" i="11"/>
  <c r="C19" i="11"/>
  <c r="C20" i="11"/>
  <c r="C21" i="11"/>
  <c r="C22" i="11"/>
  <c r="C23" i="11"/>
  <c r="B2" i="11"/>
  <c r="S5" i="46"/>
  <c r="S2" i="46"/>
  <c r="S3" i="46"/>
  <c r="S7" i="46"/>
  <c r="S6" i="46"/>
  <c r="S4" i="46"/>
  <c r="E63" i="40"/>
  <c r="C22" i="4"/>
  <c r="D10" i="6"/>
  <c r="D13" i="6"/>
  <c r="D6" i="6"/>
  <c r="D14" i="6"/>
  <c r="D8" i="6"/>
  <c r="E45" i="9"/>
  <c r="F45" i="9"/>
  <c r="E68" i="39"/>
  <c r="K38" i="9"/>
  <c r="C14" i="66"/>
  <c r="B2" i="66"/>
  <c r="D11" i="6"/>
  <c r="D12" i="6"/>
  <c r="D9" i="6"/>
  <c r="D5" i="6"/>
  <c r="D15" i="6"/>
  <c r="G52" i="37"/>
  <c r="R49" i="33"/>
  <c r="E48" i="33"/>
  <c r="G48" i="35"/>
  <c r="G52" i="33"/>
  <c r="H52" i="33"/>
  <c r="G53" i="33"/>
  <c r="H53" i="33"/>
  <c r="F46" i="36"/>
  <c r="G46" i="36"/>
  <c r="H46" i="36"/>
  <c r="I46" i="36"/>
  <c r="J46" i="36"/>
  <c r="K46" i="36"/>
  <c r="L46" i="36"/>
  <c r="M46" i="36"/>
  <c r="N46" i="36"/>
  <c r="O46" i="36"/>
  <c r="C115" i="46"/>
  <c r="D113" i="46"/>
  <c r="J28" i="44"/>
  <c r="J31" i="44"/>
  <c r="J26" i="44"/>
  <c r="C40" i="44"/>
  <c r="C52" i="15"/>
  <c r="C47" i="15"/>
  <c r="J24" i="15"/>
  <c r="L52" i="44"/>
  <c r="F67" i="40"/>
  <c r="G65" i="40"/>
  <c r="E48" i="21"/>
  <c r="F21" i="43"/>
  <c r="C23" i="43"/>
  <c r="D21" i="43"/>
  <c r="F7" i="36"/>
  <c r="S7" i="36"/>
  <c r="C20" i="46"/>
  <c r="M20" i="46"/>
  <c r="C19" i="46"/>
  <c r="F26" i="44"/>
  <c r="C26" i="44"/>
  <c r="D16" i="6"/>
  <c r="D7" i="66"/>
  <c r="A6" i="51"/>
  <c r="B7" i="63"/>
  <c r="A6" i="64"/>
  <c r="A20" i="64"/>
  <c r="A20" i="51"/>
  <c r="B15" i="63"/>
  <c r="N5" i="54"/>
  <c r="B43" i="63"/>
  <c r="M16" i="1"/>
  <c r="O16" i="1"/>
  <c r="AA7" i="36"/>
  <c r="R36" i="36"/>
  <c r="H48" i="35"/>
  <c r="E52" i="33"/>
  <c r="F52" i="33"/>
  <c r="E53" i="33"/>
  <c r="F53" i="33"/>
  <c r="I53" i="33"/>
  <c r="J53" i="33"/>
  <c r="W7" i="34"/>
  <c r="I49" i="34"/>
  <c r="S7" i="34"/>
  <c r="H7" i="36"/>
  <c r="C49" i="33"/>
  <c r="B3" i="33"/>
  <c r="B2" i="33"/>
  <c r="C48" i="33"/>
  <c r="G49" i="34"/>
  <c r="U7" i="34"/>
  <c r="H52" i="37"/>
  <c r="J7" i="36"/>
  <c r="Q69" i="44"/>
  <c r="L58" i="44"/>
  <c r="L61" i="44"/>
  <c r="L47" i="44"/>
  <c r="B5" i="11"/>
  <c r="B3" i="11"/>
  <c r="B4" i="11"/>
  <c r="C59" i="15"/>
  <c r="C65" i="15"/>
  <c r="Q49" i="44"/>
  <c r="Q55" i="44"/>
  <c r="Q67" i="44"/>
  <c r="Q58" i="44"/>
  <c r="C48" i="21"/>
  <c r="H65" i="40"/>
  <c r="G67" i="40"/>
  <c r="E53" i="21"/>
  <c r="F53" i="21"/>
  <c r="E52" i="21"/>
  <c r="F52" i="21"/>
  <c r="I53" i="21"/>
  <c r="J53" i="21"/>
  <c r="C34" i="46"/>
  <c r="E34" i="46"/>
  <c r="T11" i="46"/>
  <c r="V11" i="46"/>
  <c r="T8" i="46"/>
  <c r="V8" i="46"/>
  <c r="C29" i="46"/>
  <c r="C30" i="46"/>
  <c r="E30" i="46"/>
  <c r="T15" i="46"/>
  <c r="V15" i="46"/>
  <c r="T9" i="46"/>
  <c r="V9" i="46"/>
  <c r="C38" i="46"/>
  <c r="T5" i="46"/>
  <c r="V5" i="46"/>
  <c r="T6" i="46"/>
  <c r="V6" i="46"/>
  <c r="C36" i="46"/>
  <c r="T7" i="46"/>
  <c r="V7" i="46"/>
  <c r="C37" i="46"/>
  <c r="G34" i="46"/>
  <c r="I34" i="46"/>
  <c r="T10" i="46"/>
  <c r="V10" i="46"/>
  <c r="T13" i="46"/>
  <c r="V13" i="46"/>
  <c r="T12" i="46"/>
  <c r="V12" i="46"/>
  <c r="T14" i="46"/>
  <c r="V14" i="46"/>
  <c r="T16" i="46"/>
  <c r="V16" i="46"/>
  <c r="C35" i="46"/>
  <c r="G35" i="46"/>
  <c r="I35" i="46"/>
  <c r="T3" i="46"/>
  <c r="V3" i="46"/>
  <c r="C39" i="46"/>
  <c r="T2" i="46"/>
  <c r="V2" i="46"/>
  <c r="T4" i="46"/>
  <c r="V4" i="46"/>
  <c r="C33" i="46"/>
  <c r="E29" i="46"/>
  <c r="E35" i="46"/>
  <c r="L16" i="1"/>
  <c r="C13" i="43"/>
  <c r="N16" i="1"/>
  <c r="C29" i="43"/>
  <c r="W7" i="36"/>
  <c r="AC7" i="36"/>
  <c r="V36" i="36"/>
  <c r="I36" i="36"/>
  <c r="I52" i="37"/>
  <c r="G54" i="34"/>
  <c r="H54" i="34"/>
  <c r="G53" i="34"/>
  <c r="H53" i="34"/>
  <c r="E49" i="34"/>
  <c r="I53" i="34"/>
  <c r="J53" i="34"/>
  <c r="I54" i="34"/>
  <c r="J54" i="34"/>
  <c r="AB7" i="36"/>
  <c r="T36" i="36"/>
  <c r="G36" i="36"/>
  <c r="U7" i="36"/>
  <c r="I48" i="35"/>
  <c r="E36" i="36"/>
  <c r="R37" i="36"/>
  <c r="Q68" i="44"/>
  <c r="Q77" i="44"/>
  <c r="Q59" i="44"/>
  <c r="Q64" i="44"/>
  <c r="H67" i="40"/>
  <c r="I65" i="40"/>
  <c r="G39" i="46"/>
  <c r="I39" i="46"/>
  <c r="E39" i="46"/>
  <c r="E38" i="46"/>
  <c r="G38" i="46"/>
  <c r="I38" i="46"/>
  <c r="E33" i="46"/>
  <c r="C26" i="46"/>
  <c r="G33" i="46"/>
  <c r="I33" i="46"/>
  <c r="G37" i="46"/>
  <c r="I37" i="46"/>
  <c r="E37" i="46"/>
  <c r="G36" i="46"/>
  <c r="I36" i="46"/>
  <c r="E36" i="46"/>
  <c r="C27" i="46"/>
  <c r="C14" i="43"/>
  <c r="C17" i="43"/>
  <c r="E40" i="36"/>
  <c r="F40" i="36"/>
  <c r="E41" i="36"/>
  <c r="F41" i="36"/>
  <c r="J48" i="35"/>
  <c r="G41" i="36"/>
  <c r="H41" i="36"/>
  <c r="G40" i="36"/>
  <c r="H40" i="36"/>
  <c r="E54" i="34"/>
  <c r="F54" i="34"/>
  <c r="E53" i="34"/>
  <c r="F53" i="34"/>
  <c r="I40" i="36"/>
  <c r="J40" i="36"/>
  <c r="I41" i="36"/>
  <c r="J41" i="36"/>
  <c r="C37" i="36"/>
  <c r="B3" i="36"/>
  <c r="B2" i="36"/>
  <c r="C36" i="36"/>
  <c r="C49" i="34"/>
  <c r="J52" i="37"/>
  <c r="E7" i="67"/>
  <c r="F7" i="67"/>
  <c r="J65" i="40"/>
  <c r="I67" i="40"/>
  <c r="E4" i="67"/>
  <c r="E3" i="67"/>
  <c r="B2" i="46"/>
  <c r="D4" i="46"/>
  <c r="C18" i="43"/>
  <c r="C19" i="43"/>
  <c r="C25" i="43"/>
  <c r="C24" i="43"/>
  <c r="J19" i="15"/>
  <c r="K48" i="35"/>
  <c r="L48" i="35"/>
  <c r="M48" i="35"/>
  <c r="N48" i="35"/>
  <c r="O48" i="35"/>
  <c r="J7" i="35"/>
  <c r="K52" i="37"/>
  <c r="B3" i="46"/>
  <c r="B7" i="67"/>
  <c r="K65" i="40"/>
  <c r="J67" i="40"/>
  <c r="B4" i="46"/>
  <c r="B2" i="67"/>
  <c r="B4" i="67"/>
  <c r="J59" i="15"/>
  <c r="J60" i="15"/>
  <c r="Q49" i="15"/>
  <c r="J35" i="15"/>
  <c r="C56" i="15"/>
  <c r="C60" i="15"/>
  <c r="C58" i="15"/>
  <c r="Q50" i="15"/>
  <c r="J17" i="15"/>
  <c r="J14" i="15"/>
  <c r="J13" i="15"/>
  <c r="J23" i="15"/>
  <c r="J22" i="15"/>
  <c r="C22" i="43"/>
  <c r="C21" i="43"/>
  <c r="C28" i="43"/>
  <c r="C30" i="43"/>
  <c r="C32" i="43"/>
  <c r="B2" i="43"/>
  <c r="AC7" i="35"/>
  <c r="V38" i="35"/>
  <c r="I38" i="35"/>
  <c r="W7" i="35"/>
  <c r="L52" i="37"/>
  <c r="F7" i="35"/>
  <c r="H7" i="35"/>
  <c r="K67" i="40"/>
  <c r="L65" i="40"/>
  <c r="B3" i="67"/>
  <c r="C55" i="15"/>
  <c r="C64" i="15"/>
  <c r="C63" i="15"/>
  <c r="Q71" i="15"/>
  <c r="J16" i="15"/>
  <c r="J25" i="15"/>
  <c r="B4" i="43"/>
  <c r="B5" i="43"/>
  <c r="B3" i="43"/>
  <c r="AB7" i="35"/>
  <c r="T38" i="35"/>
  <c r="G38" i="35"/>
  <c r="U7" i="35"/>
  <c r="AA7" i="35"/>
  <c r="R38" i="35"/>
  <c r="S7" i="35"/>
  <c r="M52" i="37"/>
  <c r="I42" i="35"/>
  <c r="J42" i="35"/>
  <c r="L51" i="15"/>
  <c r="M65" i="40"/>
  <c r="L67" i="40"/>
  <c r="C57" i="15"/>
  <c r="C66" i="15"/>
  <c r="J39" i="15"/>
  <c r="J40" i="15"/>
  <c r="Q70" i="15"/>
  <c r="Q69" i="15"/>
  <c r="L57" i="15"/>
  <c r="L60" i="15"/>
  <c r="Q58" i="15"/>
  <c r="Q68" i="15"/>
  <c r="N52" i="37"/>
  <c r="O52" i="37"/>
  <c r="F7" i="37"/>
  <c r="R39" i="35"/>
  <c r="E38" i="35"/>
  <c r="G42" i="35"/>
  <c r="H42" i="35"/>
  <c r="G43" i="35"/>
  <c r="H43" i="35"/>
  <c r="N65" i="40"/>
  <c r="N67" i="40"/>
  <c r="M67" i="40"/>
  <c r="F9" i="40"/>
  <c r="Q67" i="15"/>
  <c r="L46" i="15"/>
  <c r="AA7" i="37"/>
  <c r="R42" i="37"/>
  <c r="S7" i="37"/>
  <c r="E43" i="35"/>
  <c r="F43" i="35"/>
  <c r="E42" i="35"/>
  <c r="F42" i="35"/>
  <c r="I43" i="35"/>
  <c r="J43" i="35"/>
  <c r="C39" i="35"/>
  <c r="B3" i="35"/>
  <c r="B2" i="35"/>
  <c r="C38" i="35"/>
  <c r="H7" i="37"/>
  <c r="J7" i="37"/>
  <c r="AA9" i="40"/>
  <c r="R44" i="40"/>
  <c r="S9" i="40"/>
  <c r="W9" i="39"/>
  <c r="J9" i="40"/>
  <c r="S9" i="39"/>
  <c r="U9" i="39"/>
  <c r="H9" i="40"/>
  <c r="W7" i="37"/>
  <c r="AC7" i="37"/>
  <c r="V42" i="37"/>
  <c r="I42" i="37"/>
  <c r="AB7" i="37"/>
  <c r="T42" i="37"/>
  <c r="G42" i="37"/>
  <c r="U7" i="37"/>
  <c r="E42" i="37"/>
  <c r="R43" i="37"/>
  <c r="AB9" i="40"/>
  <c r="T44" i="40"/>
  <c r="G44" i="40"/>
  <c r="U9" i="40"/>
  <c r="AC9" i="40"/>
  <c r="V44" i="40"/>
  <c r="I44" i="40"/>
  <c r="I48" i="40"/>
  <c r="J48" i="40"/>
  <c r="W9" i="40"/>
  <c r="R45" i="40"/>
  <c r="E44" i="40"/>
  <c r="C43" i="37"/>
  <c r="B3" i="37"/>
  <c r="B2" i="37"/>
  <c r="C42" i="37"/>
  <c r="I46" i="37"/>
  <c r="J46" i="37"/>
  <c r="I47" i="37"/>
  <c r="J47" i="37"/>
  <c r="E47" i="37"/>
  <c r="F47" i="37"/>
  <c r="E46" i="37"/>
  <c r="F46" i="37"/>
  <c r="G46" i="37"/>
  <c r="H46" i="37"/>
  <c r="G47" i="37"/>
  <c r="H47" i="37"/>
  <c r="I49" i="40"/>
  <c r="J49" i="40"/>
  <c r="E48" i="40"/>
  <c r="F48" i="40"/>
  <c r="E49" i="40"/>
  <c r="F49" i="40"/>
  <c r="C44" i="40"/>
  <c r="C45" i="40"/>
  <c r="G49" i="40"/>
  <c r="H49" i="40"/>
  <c r="G48" i="40"/>
  <c r="H48" i="40"/>
  <c r="B55" i="40"/>
  <c r="F55" i="40"/>
  <c r="B53" i="40"/>
  <c r="F53" i="40"/>
  <c r="B57" i="40"/>
  <c r="F57" i="40"/>
  <c r="F63" i="40"/>
  <c r="B2" i="40"/>
  <c r="B56" i="40"/>
  <c r="F56" i="40"/>
  <c r="B60" i="40"/>
  <c r="F60" i="40"/>
  <c r="B61" i="40"/>
  <c r="F61" i="40"/>
  <c r="B58" i="40"/>
  <c r="F58" i="40"/>
  <c r="B59" i="40"/>
  <c r="F59" i="40"/>
  <c r="B54" i="40"/>
  <c r="F54" i="40"/>
  <c r="B62" i="40"/>
  <c r="F62" i="40"/>
  <c r="B5" i="40"/>
  <c r="B3" i="40"/>
  <c r="B4" i="40"/>
  <c r="B4" i="12"/>
  <c r="D21" i="9"/>
  <c r="B3" i="12"/>
  <c r="D20" i="9"/>
  <c r="L44" i="9"/>
  <c r="B5" i="12"/>
  <c r="F68" i="15"/>
  <c r="C67" i="15"/>
  <c r="C70" i="15"/>
  <c r="C43" i="15"/>
  <c r="Q48" i="15"/>
  <c r="Q54" i="15"/>
  <c r="J42" i="15"/>
  <c r="J43" i="15"/>
  <c r="C46" i="15"/>
  <c r="Q57" i="15"/>
  <c r="Q63" i="15"/>
  <c r="Q66" i="15"/>
  <c r="Q76" i="15"/>
  <c r="G16" i="1"/>
  <c r="F12" i="39"/>
  <c r="AA12" i="39"/>
  <c r="F12" i="40"/>
  <c r="AA12" i="40"/>
  <c r="S12" i="40"/>
  <c r="S12" i="39"/>
  <c r="J12" i="40"/>
  <c r="W12" i="40"/>
  <c r="AC12" i="40"/>
  <c r="J12" i="39"/>
  <c r="W12" i="39"/>
  <c r="H12" i="40"/>
  <c r="AB12" i="40"/>
  <c r="U12" i="40"/>
  <c r="H12" i="39"/>
  <c r="U12" i="39"/>
  <c r="AB12" i="39"/>
  <c r="AC12" i="39"/>
  <c r="F27" i="6"/>
  <c r="F31" i="6"/>
  <c r="E23" i="6"/>
  <c r="D23" i="6"/>
  <c r="D27" i="6"/>
  <c r="D31" i="6"/>
  <c r="I6" i="6"/>
  <c r="C13" i="39"/>
  <c r="F13" i="39"/>
  <c r="AA13" i="39"/>
  <c r="H13" i="39"/>
  <c r="AB13" i="39"/>
  <c r="J13" i="39"/>
  <c r="AC13" i="39"/>
  <c r="L43" i="9"/>
  <c r="G49" i="39"/>
  <c r="I49" i="39"/>
  <c r="G54" i="39"/>
  <c r="H54" i="39"/>
  <c r="G53" i="39"/>
  <c r="H53" i="39"/>
  <c r="I53" i="39"/>
  <c r="J53" i="39"/>
  <c r="E49" i="39"/>
  <c r="I54" i="39"/>
  <c r="J54" i="39"/>
  <c r="E53" i="39"/>
  <c r="F53" i="39"/>
  <c r="E54" i="39"/>
  <c r="F54" i="39"/>
  <c r="C49" i="39"/>
  <c r="B5" i="39"/>
  <c r="D27" i="9"/>
  <c r="D44" i="9"/>
  <c r="O39" i="9"/>
  <c r="K29" i="9"/>
  <c r="K30" i="9"/>
  <c r="R6" i="54"/>
  <c r="B50" i="63"/>
  <c r="M83" i="9"/>
  <c r="N83" i="9"/>
  <c r="M84" i="9"/>
  <c r="N84" i="9"/>
  <c r="M85" i="9"/>
  <c r="N85" i="9"/>
  <c r="M86" i="9"/>
  <c r="N86" i="9"/>
  <c r="M87" i="9"/>
  <c r="N87" i="9"/>
  <c r="M88" i="9"/>
  <c r="N88" i="9"/>
  <c r="N89" i="9"/>
  <c r="O89" i="9"/>
  <c r="B6" i="66"/>
  <c r="C6" i="66"/>
  <c r="B4" i="39"/>
  <c r="C21" i="9"/>
  <c r="G21" i="9"/>
  <c r="D22" i="9"/>
  <c r="B3" i="39"/>
  <c r="C20" i="9"/>
  <c r="G20" i="9"/>
  <c r="G22" i="9"/>
  <c r="N43" i="9"/>
  <c r="F44" i="9"/>
  <c r="E44" i="9"/>
  <c r="C35" i="9"/>
  <c r="F42" i="9"/>
  <c r="O43" i="9"/>
  <c r="D6" i="66"/>
  <c r="C34" i="9"/>
  <c r="M38" i="9"/>
  <c r="K27" i="9"/>
  <c r="E42" i="9"/>
  <c r="P5" i="54"/>
  <c r="B46" i="63"/>
  <c r="C33" i="9"/>
  <c r="N38" i="9"/>
  <c r="K28" i="9"/>
  <c r="D42" i="9"/>
  <c r="Q5" i="54"/>
  <c r="B47" i="63"/>
  <c r="O38" i="9"/>
  <c r="K25" i="9"/>
  <c r="K26" i="9"/>
  <c r="N68" i="9"/>
  <c r="R5" i="54"/>
  <c r="B48" i="63"/>
  <c r="C82" i="9"/>
  <c r="C81" i="9"/>
  <c r="C85" i="9"/>
  <c r="C86" i="9"/>
  <c r="D72" i="9"/>
  <c r="D70" i="9"/>
  <c r="F14" i="66"/>
  <c r="E14" i="66"/>
  <c r="B5" i="66"/>
  <c r="C5" i="66"/>
  <c r="D5" i="66"/>
  <c r="E114" i="9"/>
  <c r="E115" i="9"/>
  <c r="O78" i="9"/>
  <c r="Q77" i="9"/>
  <c r="C90" i="9"/>
  <c r="C96" i="9"/>
  <c r="C91" i="9"/>
  <c r="C97" i="9"/>
  <c r="C98" i="9"/>
  <c r="C99" i="9"/>
  <c r="E98" i="9"/>
  <c r="E99" i="9"/>
  <c r="O81" i="9"/>
  <c r="O80" i="9"/>
  <c r="E27" i="6"/>
  <c r="K19" i="6"/>
  <c r="S6" i="1"/>
  <c r="K20" i="6"/>
  <c r="S7" i="1"/>
  <c r="K21" i="6"/>
  <c r="S8" i="1"/>
  <c r="S16" i="1"/>
  <c r="T9" i="1"/>
  <c r="C16" i="44"/>
  <c r="C17" i="44"/>
  <c r="C20" i="44"/>
  <c r="C21" i="44"/>
  <c r="C22" i="44"/>
  <c r="C25" i="44"/>
  <c r="C28" i="44"/>
  <c r="C31" i="44"/>
  <c r="C35" i="44"/>
  <c r="C33" i="44"/>
  <c r="C38" i="44"/>
  <c r="C15" i="44"/>
  <c r="C39" i="44"/>
  <c r="C32" i="44"/>
  <c r="C42" i="44"/>
  <c r="C43" i="44"/>
  <c r="C44" i="44"/>
  <c r="C45" i="44"/>
  <c r="B2" i="44"/>
  <c r="B4" i="44"/>
  <c r="B5" i="44"/>
  <c r="B3" i="44"/>
  <c r="J21" i="44"/>
  <c r="J19" i="44"/>
  <c r="J16" i="44"/>
  <c r="J24" i="44"/>
  <c r="J15" i="44"/>
  <c r="J25" i="44"/>
  <c r="J18" i="44"/>
  <c r="J27" i="44"/>
  <c r="Q71" i="44"/>
  <c r="Q72" i="44"/>
  <c r="Q70" i="44"/>
  <c r="Q51" i="44"/>
  <c r="M19" i="6"/>
  <c r="I19" i="6"/>
  <c r="H19" i="6"/>
  <c r="R19" i="6"/>
  <c r="M20" i="6"/>
  <c r="I20" i="6"/>
  <c r="H20" i="6"/>
  <c r="R20" i="6"/>
  <c r="M21" i="6"/>
  <c r="I21" i="6"/>
  <c r="H21" i="6"/>
  <c r="R21" i="6"/>
  <c r="K22" i="6"/>
  <c r="M22" i="6"/>
  <c r="I22" i="6"/>
  <c r="H22" i="6"/>
  <c r="R22" i="6"/>
  <c r="K23" i="6"/>
  <c r="M23" i="6"/>
  <c r="I23" i="6"/>
  <c r="H23" i="6"/>
  <c r="R23" i="6"/>
  <c r="K24" i="6"/>
  <c r="M24" i="6"/>
  <c r="I24" i="6"/>
  <c r="H24" i="6"/>
  <c r="R24" i="6"/>
  <c r="K25" i="6"/>
  <c r="M25" i="6"/>
  <c r="I25" i="6"/>
  <c r="H25" i="6"/>
  <c r="R25" i="6"/>
  <c r="K26" i="6"/>
  <c r="M26" i="6"/>
  <c r="I26" i="6"/>
  <c r="H26" i="6"/>
  <c r="R26" i="6"/>
  <c r="R27" i="6"/>
  <c r="H27" i="6"/>
  <c r="E31" i="6"/>
  <c r="I5" i="6"/>
  <c r="S19" i="6"/>
  <c r="S20" i="6"/>
  <c r="S21" i="6"/>
  <c r="S22" i="6"/>
  <c r="S23" i="6"/>
  <c r="S24" i="6"/>
  <c r="S25" i="6"/>
  <c r="S26" i="6"/>
  <c r="S27" i="6"/>
  <c r="I27" i="6"/>
  <c r="T6" i="1"/>
  <c r="T7" i="1"/>
  <c r="T8" i="1"/>
  <c r="T10" i="1"/>
  <c r="T11" i="1"/>
  <c r="T12" i="1"/>
  <c r="T13" i="1"/>
  <c r="T16" i="1"/>
  <c r="B8" i="66"/>
  <c r="D8" i="66"/>
  <c r="M27" i="6"/>
  <c r="E46" i="9"/>
  <c r="F46" i="9"/>
  <c r="K27" i="6"/>
  <c r="R6" i="1"/>
  <c r="R7" i="1"/>
  <c r="R8" i="1"/>
  <c r="R16" i="1"/>
  <c r="C8" i="66"/>
  <c r="O41" i="9"/>
  <c r="R8" i="54"/>
  <c r="B54" i="63"/>
  <c r="K33" i="9"/>
  <c r="K34" i="9"/>
  <c r="D46" i="9"/>
  <c r="W13" i="39"/>
  <c r="C11" i="34"/>
  <c r="H11" i="34"/>
  <c r="U11" i="34"/>
  <c r="J11" i="34"/>
  <c r="W11" i="34"/>
  <c r="U13" i="39"/>
  <c r="S13" i="39"/>
  <c r="F11" i="34"/>
  <c r="S11" i="34"/>
  <c r="AC11" i="34"/>
  <c r="AB11" i="34"/>
  <c r="AA11" i="3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<sst xmlns="http://schemas.openxmlformats.org/spreadsheetml/2006/main" count="8527" uniqueCount="3364">
  <si>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</si>
  <si>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</si>
  <si>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</si>
  <si>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</si>
  <si>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</si>
  <si>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</si>
  <si>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</si>
  <si>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</si>
  <si>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</si>
  <si>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</si>
  <si>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</si>
  <si>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</si>
  <si>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</si>
  <si>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</si>
  <si>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</si>
  <si>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</si>
  <si>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</si>
  <si>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</si>
  <si>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</si>
  <si>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</si>
  <si>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</si>
  <si>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</si>
  <si>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</si>
  <si>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</si>
  <si>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</si>
  <si>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</si>
  <si>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</si>
  <si>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</si>
  <si>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</si>
  <si>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</si>
  <si>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</si>
  <si>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</si>
  <si>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</si>
  <si>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</si>
  <si>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</si>
  <si>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</si>
  <si>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</si>
  <si>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</si>
  <si>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</si>
  <si>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</si>
  <si>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</si>
  <si>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</si>
  <si>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</si>
  <si>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</si>
  <si>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</si>
  <si>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</si>
  <si>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</si>
  <si>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</si>
  <si>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</si>
  <si>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</si>
  <si>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</si>
  <si>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</si>
  <si>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</si>
  <si>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</si>
  <si>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</si>
  <si>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</si>
  <si>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</si>
  <si>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</si>
  <si>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</si>
  <si>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</si>
  <si>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</si>
  <si>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</si>
  <si>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</si>
  <si>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</si>
  <si>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</si>
  <si>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</si>
  <si>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</si>
  <si>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</si>
  <si>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</si>
  <si>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</si>
  <si>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</si>
  <si>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</si>
  <si>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</si>
  <si>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</si>
  <si>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</si>
  <si>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</si>
  <si>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</si>
  <si>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</si>
  <si>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</si>
  <si>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</si>
  <si>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</si>
  <si>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</si>
  <si>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</si>
  <si>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</si>
  <si>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</si>
  <si>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</si>
  <si>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</si>
  <si>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</si>
  <si>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</si>
  <si>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</si>
  <si>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</si>
  <si>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</si>
  <si>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</si>
  <si>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</si>
  <si>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</si>
  <si>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</si>
  <si>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</si>
  <si>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</si>
  <si>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</si>
  <si>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</si>
  <si>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</si>
  <si>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</si>
  <si>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</si>
  <si>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</si>
  <si>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</si>
  <si>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</si>
  <si>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</si>
  <si>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</si>
  <si>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</si>
  <si>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</si>
  <si>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</si>
  <si>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</si>
  <si>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</si>
  <si>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</si>
  <si>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</si>
  <si>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</si>
  <si>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</si>
  <si>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</si>
  <si>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</si>
  <si>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</si>
  <si>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</si>
  <si>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</si>
  <si>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</si>
  <si>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</si>
  <si>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</si>
  <si>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</si>
  <si>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</si>
  <si>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</si>
  <si>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</si>
  <si>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</si>
  <si>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</si>
  <si>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</si>
  <si>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</si>
  <si>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</si>
  <si>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</si>
  <si>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</si>
  <si>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</si>
  <si>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</si>
  <si>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</si>
  <si>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</si>
  <si>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</si>
  <si>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</si>
  <si>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</si>
  <si>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</si>
  <si>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</si>
  <si>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</si>
  <si>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</si>
  <si>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</si>
  <si>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</si>
  <si>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</si>
  <si>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</si>
  <si>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</si>
  <si>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</si>
  <si>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</si>
  <si>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</si>
  <si>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</si>
  <si>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</si>
  <si>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</si>
  <si>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</si>
  <si>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</si>
  <si>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</si>
  <si>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</si>
  <si>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</si>
  <si>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</si>
  <si>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</si>
  <si>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</si>
  <si>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</si>
  <si>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</si>
  <si>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</si>
  <si>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</si>
  <si>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</si>
  <si>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</si>
  <si>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</si>
  <si>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</si>
  <si>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</si>
  <si>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</si>
  <si>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</si>
  <si>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</si>
  <si>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</si>
  <si>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</si>
  <si>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</si>
  <si>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</si>
  <si>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</si>
  <si>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</si>
  <si>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</si>
  <si>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</si>
  <si>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</si>
  <si>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</si>
  <si>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</si>
  <si>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</si>
  <si>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</si>
  <si>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</si>
  <si>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</si>
  <si>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</si>
  <si>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</si>
  <si>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</si>
  <si>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</si>
  <si>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</si>
  <si>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</si>
  <si>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</si>
  <si>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</si>
  <si>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</si>
  <si>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</si>
  <si>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</si>
  <si>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</si>
  <si>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</si>
  <si>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</si>
  <si>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</si>
  <si>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</si>
  <si>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</si>
  <si>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</si>
  <si>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</si>
  <si>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</si>
  <si>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</si>
  <si>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</si>
  <si>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</si>
  <si>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</si>
  <si>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</si>
  <si>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</si>
  <si>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</si>
  <si>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</si>
  <si>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</si>
  <si>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</si>
  <si>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</si>
  <si>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</si>
  <si>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</si>
  <si>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</si>
  <si>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</si>
  <si>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</si>
  <si>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</si>
  <si>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</si>
  <si>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</si>
  <si>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</si>
  <si>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</si>
  <si>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</si>
  <si>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</si>
  <si>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</si>
  <si>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</si>
  <si>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</si>
  <si>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</si>
  <si>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</si>
  <si>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</si>
  <si>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</si>
  <si>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</si>
  <si>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</si>
  <si>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</si>
  <si>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</si>
  <si>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</si>
  <si>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</si>
  <si>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</si>
  <si>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</si>
  <si>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</si>
  <si>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</si>
  <si>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</si>
  <si>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</si>
  <si>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</si>
  <si>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</si>
  <si>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</si>
  <si>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</si>
  <si>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</si>
  <si>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</si>
  <si>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</si>
  <si>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</si>
  <si>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</si>
  <si>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</si>
  <si>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</si>
  <si>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</si>
  <si>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</si>
  <si>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</si>
  <si>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</si>
  <si>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</si>
  <si>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</si>
  <si>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</si>
  <si>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</si>
  <si>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</si>
  <si>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</si>
  <si>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</si>
  <si>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</si>
  <si>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</si>
  <si>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</si>
  <si>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</si>
  <si>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</si>
  <si>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</si>
  <si>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</si>
  <si>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</si>
  <si>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</si>
  <si>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</si>
  <si>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</si>
  <si>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</si>
  <si>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</si>
  <si>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</si>
  <si>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</si>
  <si>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</si>
  <si>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</si>
  <si>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</si>
  <si>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</si>
  <si>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</si>
  <si>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</si>
  <si>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</si>
  <si>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</si>
  <si>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</si>
  <si>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</si>
  <si>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</si>
  <si>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</si>
  <si>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</si>
  <si>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</si>
  <si>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</si>
  <si>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</si>
  <si>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</si>
  <si>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</si>
  <si>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</si>
  <si>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</si>
  <si>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</si>
  <si>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</si>
  <si>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</si>
  <si>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</si>
  <si>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</si>
  <si>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</si>
  <si>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</si>
  <si>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</si>
  <si>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</si>
  <si>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</si>
  <si>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</si>
  <si>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</si>
  <si>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</si>
  <si>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</si>
  <si>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</si>
  <si>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</si>
  <si>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</si>
  <si>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</si>
  <si>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</si>
  <si>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</si>
  <si>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</si>
  <si>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</si>
  <si>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</si>
  <si>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</si>
  <si>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</si>
  <si>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</si>
  <si>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</si>
  <si>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</si>
  <si>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</si>
  <si>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</si>
  <si>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</si>
  <si>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</si>
  <si>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</si>
  <si>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</si>
  <si>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</si>
  <si>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</si>
  <si>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</si>
  <si>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</si>
  <si>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</si>
  <si>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</si>
  <si>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</si>
  <si>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</si>
  <si>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</si>
  <si>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</si>
  <si>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</si>
  <si>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</si>
  <si>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</si>
  <si>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</si>
  <si>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</si>
  <si>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</si>
  <si>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</si>
  <si>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</si>
  <si>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</si>
  <si>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</si>
  <si>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</si>
  <si>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</si>
  <si>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</si>
  <si>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</si>
  <si>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</si>
  <si>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</si>
  <si>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</si>
  <si>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</si>
  <si>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</si>
  <si>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</si>
  <si>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</si>
  <si>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</si>
  <si>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</si>
  <si>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</si>
  <si>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</si>
  <si>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</si>
  <si>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</si>
  <si>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</si>
  <si>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</si>
  <si>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</si>
  <si>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</si>
  <si>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</si>
  <si>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</si>
  <si>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</si>
  <si>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</si>
  <si>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</si>
  <si>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</si>
  <si>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</si>
  <si>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</si>
  <si>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</si>
  <si>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</si>
  <si>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</si>
  <si>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</si>
  <si>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</si>
  <si>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</si>
  <si>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</si>
  <si>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</si>
  <si>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</si>
  <si>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</si>
  <si>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</si>
  <si>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</si>
  <si>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</si>
  <si>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</si>
  <si>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</si>
  <si>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</si>
  <si>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</si>
  <si>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</si>
  <si>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</si>
  <si>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</si>
  <si>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</si>
  <si>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</si>
  <si>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</si>
  <si>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</si>
  <si>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</si>
  <si>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</si>
  <si>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</si>
  <si>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</si>
  <si>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</si>
  <si>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</si>
  <si>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</si>
  <si>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</si>
  <si>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</si>
  <si>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</si>
  <si>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</si>
  <si>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</si>
  <si>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</si>
  <si>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</si>
  <si>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</si>
  <si>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</si>
  <si>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</si>
  <si>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</si>
  <si>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</si>
  <si>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</si>
  <si>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</si>
  <si>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</si>
  <si>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</si>
  <si>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</si>
  <si>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</si>
  <si>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</si>
  <si>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</si>
  <si>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</si>
  <si>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</si>
  <si>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</si>
  <si>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</si>
  <si>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</si>
  <si>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</si>
  <si>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</si>
  <si>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</si>
  <si>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</si>
  <si>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</si>
  <si>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</si>
  <si>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</si>
  <si>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</si>
  <si>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</si>
  <si>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</si>
  <si>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</si>
  <si>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</si>
  <si>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</si>
  <si>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</si>
  <si>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</si>
  <si>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</si>
  <si>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</si>
  <si>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</si>
  <si>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</si>
  <si>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</si>
  <si>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</si>
  <si>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</si>
  <si>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</si>
  <si>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</si>
  <si>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</si>
  <si>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</si>
  <si>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</si>
  <si>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</si>
  <si>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</si>
  <si>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</si>
  <si>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</si>
  <si>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</si>
  <si>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</si>
  <si>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</si>
  <si>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</si>
  <si>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</si>
  <si>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</si>
  <si>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</si>
  <si>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</si>
  <si>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</si>
  <si>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</si>
  <si>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</si>
  <si>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</si>
  <si>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</si>
  <si>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</si>
  <si>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</si>
  <si>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</si>
  <si>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</si>
  <si>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</si>
  <si>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</si>
  <si>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</si>
  <si>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</si>
  <si>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</si>
  <si>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</si>
  <si>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</si>
  <si>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</si>
  <si>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</si>
  <si>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</si>
  <si>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</si>
  <si>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</si>
  <si>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</si>
  <si>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</si>
  <si>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</si>
  <si>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</si>
  <si>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</si>
  <si>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</si>
  <si>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</si>
  <si>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</si>
  <si>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</si>
  <si>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</si>
  <si>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</si>
  <si>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</si>
  <si>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</si>
  <si>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</si>
  <si>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</si>
  <si>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</si>
  <si>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</si>
  <si>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</si>
  <si>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</si>
  <si>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</si>
  <si>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</si>
  <si>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</si>
  <si>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</si>
  <si>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</si>
  <si>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</si>
  <si>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</si>
  <si>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</si>
  <si>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</si>
  <si>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</si>
  <si>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</si>
  <si>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</si>
  <si>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</si>
  <si>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</si>
  <si>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</si>
  <si>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</si>
  <si>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</si>
  <si>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</si>
  <si>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</si>
  <si>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</si>
  <si>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</si>
  <si>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</si>
  <si>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</si>
  <si>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</si>
  <si>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</si>
  <si>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</si>
  <si>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</si>
  <si>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</si>
  <si>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</si>
  <si>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</si>
  <si>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</si>
  <si>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</si>
  <si>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</si>
  <si>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</si>
  <si>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</si>
  <si>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</si>
  <si>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</si>
  <si>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</si>
  <si>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</si>
  <si>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</si>
  <si>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</si>
  <si>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</si>
  <si>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</si>
  <si>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</si>
  <si>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</si>
  <si>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</si>
  <si>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</si>
  <si>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</si>
  <si>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</si>
  <si>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</si>
  <si>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</si>
  <si>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</si>
  <si>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</si>
  <si>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</si>
  <si>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</si>
  <si>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</si>
  <si>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</si>
  <si>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</si>
  <si>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</si>
  <si>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</si>
  <si>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</si>
  <si>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</si>
  <si>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</si>
  <si>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</si>
  <si>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</si>
  <si>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</si>
  <si>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</si>
  <si>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</si>
  <si>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</si>
  <si>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</si>
  <si>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</si>
  <si>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</si>
  <si>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</si>
  <si>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</si>
  <si>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</si>
  <si>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</si>
  <si>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</si>
  <si>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</si>
  <si>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</si>
  <si>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</si>
  <si>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</si>
  <si>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</si>
  <si>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</si>
  <si>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</si>
  <si>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</si>
  <si>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</si>
  <si>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</si>
  <si>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</si>
  <si>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</si>
  <si>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</si>
  <si>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</si>
  <si>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</si>
  <si>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</si>
  <si>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</si>
  <si>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</si>
  <si>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</si>
  <si>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</si>
  <si>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</si>
  <si>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</si>
  <si>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</si>
  <si>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</si>
  <si>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</si>
  <si>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</si>
  <si>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</si>
  <si>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</si>
  <si>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</si>
  <si>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</si>
  <si>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</si>
  <si>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</si>
  <si>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</si>
  <si>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</si>
  <si>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</si>
  <si>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</si>
  <si>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</si>
  <si>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</si>
  <si>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</si>
  <si>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</si>
  <si>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</si>
  <si>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</si>
  <si>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</si>
  <si>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</si>
  <si>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</si>
  <si>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</si>
  <si>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</si>
  <si>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</si>
  <si>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</si>
  <si>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</si>
  <si>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</si>
  <si>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</si>
  <si>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</si>
  <si>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</si>
  <si>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</si>
  <si>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</si>
  <si>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</si>
  <si>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</si>
  <si>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</si>
  <si>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</si>
  <si>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</si>
  <si>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</si>
  <si>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</si>
  <si>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</si>
  <si>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</si>
  <si>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</si>
  <si>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</si>
  <si>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</si>
  <si>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</si>
  <si>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</si>
  <si>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</si>
  <si>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</si>
  <si>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</si>
  <si>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</si>
  <si>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</si>
  <si>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</si>
  <si>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</si>
  <si>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</si>
  <si>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</si>
  <si>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</si>
  <si>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</si>
  <si>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</si>
  <si>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</si>
  <si>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</si>
  <si>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</si>
  <si>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</si>
  <si>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</si>
  <si>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</si>
  <si>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</si>
  <si>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</si>
  <si>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</si>
  <si>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</si>
  <si>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</si>
  <si>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</si>
  <si>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</si>
  <si>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</si>
  <si>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</si>
  <si>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</si>
  <si>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</si>
  <si>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</si>
  <si>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</si>
  <si>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</si>
  <si>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</si>
  <si>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</si>
  <si>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</si>
  <si>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</si>
  <si>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</si>
  <si>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</si>
  <si>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</si>
  <si>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</si>
  <si>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</si>
  <si>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</si>
  <si>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</si>
  <si>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</si>
  <si>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</si>
  <si>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</si>
  <si>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</si>
  <si>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</si>
  <si>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</si>
  <si>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</si>
  <si>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</si>
  <si>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</si>
  <si>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</si>
  <si>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</si>
  <si>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</si>
  <si>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</si>
  <si>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</si>
  <si>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</si>
  <si>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</si>
  <si>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</si>
  <si>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</si>
  <si>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</si>
  <si>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</si>
  <si>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</si>
  <si>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</si>
  <si>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</si>
  <si>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</si>
  <si>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</si>
  <si>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</si>
  <si>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</si>
  <si>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</si>
  <si>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</si>
  <si>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</si>
  <si>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</si>
  <si>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</si>
  <si>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</si>
  <si>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</si>
  <si>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</si>
  <si>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</si>
  <si>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</si>
  <si>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</si>
  <si>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</si>
  <si>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</si>
  <si>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</si>
  <si>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</si>
  <si>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</si>
  <si>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</si>
  <si>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</si>
  <si>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</si>
  <si>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</si>
  <si>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</si>
  <si>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</si>
  <si>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</si>
  <si>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</si>
  <si>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</si>
  <si>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</si>
  <si>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</si>
  <si>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</si>
  <si>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</si>
  <si>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</si>
  <si>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</si>
  <si>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</si>
  <si>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</si>
  <si>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</si>
  <si>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</si>
  <si>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</si>
  <si>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</si>
  <si>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</si>
  <si>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</si>
  <si>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</si>
  <si>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</si>
  <si>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</si>
  <si>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</si>
  <si>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</si>
  <si>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</si>
  <si>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</si>
  <si>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</si>
  <si>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</si>
  <si>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</si>
  <si>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</si>
  <si>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</si>
  <si>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</si>
  <si>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</si>
  <si>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</si>
  <si>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</si>
  <si>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</si>
  <si>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</si>
  <si>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</si>
  <si>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</si>
  <si>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</si>
  <si>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</si>
  <si>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</si>
  <si>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</si>
  <si>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</si>
  <si>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</si>
  <si>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</si>
  <si>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</si>
  <si>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</si>
  <si>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</si>
  <si>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</si>
  <si>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</si>
  <si>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</si>
  <si>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</si>
  <si>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</si>
  <si>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</si>
  <si>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</si>
  <si>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</si>
  <si>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</si>
  <si>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</si>
  <si>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</si>
  <si>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</si>
  <si>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</si>
  <si>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</si>
  <si>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</si>
  <si>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</si>
  <si>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</si>
  <si>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</si>
  <si>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</si>
  <si>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</si>
  <si>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</si>
  <si>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</si>
  <si>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</si>
  <si>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</si>
  <si>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</si>
  <si>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</si>
  <si>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</si>
  <si>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</si>
  <si>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</si>
  <si>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</si>
  <si>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</si>
  <si>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</si>
  <si>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</si>
  <si>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</si>
  <si>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</si>
  <si>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</si>
  <si>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</si>
  <si>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</si>
  <si>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</si>
  <si>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</si>
  <si>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</si>
  <si>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</si>
  <si>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</si>
  <si>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</si>
  <si>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</si>
  <si>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</si>
  <si>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</si>
  <si>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</si>
  <si>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</si>
  <si>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</si>
  <si>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</si>
  <si>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</si>
  <si>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</si>
  <si>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</si>
  <si>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</si>
  <si>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</si>
  <si>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</si>
  <si>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</si>
  <si>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</si>
  <si>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</si>
  <si>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</si>
  <si>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</si>
  <si>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</si>
  <si>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</si>
  <si>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</si>
  <si>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</si>
  <si>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</si>
  <si>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</si>
  <si>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</si>
  <si>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</si>
  <si>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</si>
  <si>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</si>
  <si>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</si>
  <si>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</si>
  <si>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</si>
  <si>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</si>
  <si>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</si>
  <si>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</si>
  <si>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</si>
  <si>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</si>
  <si>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</si>
  <si>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</si>
  <si>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</si>
  <si>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</si>
  <si>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</si>
  <si>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</si>
  <si>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</si>
  <si>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</si>
  <si>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</si>
  <si>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</si>
  <si>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</si>
  <si>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</si>
  <si>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</si>
  <si>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</si>
  <si>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</si>
  <si>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</si>
  <si>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</si>
  <si>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</si>
  <si>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</si>
  <si>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</si>
  <si>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</si>
  <si>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</si>
  <si>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</si>
  <si>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</si>
  <si>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</si>
  <si>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</si>
  <si>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</si>
  <si>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</si>
  <si>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</si>
  <si>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</si>
  <si>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</si>
  <si>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</si>
  <si>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</si>
  <si>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</si>
  <si>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</si>
  <si>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</si>
  <si>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</si>
  <si>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</si>
  <si>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</si>
  <si>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</si>
  <si>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</si>
  <si>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</si>
  <si>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</si>
  <si>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</si>
  <si>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</si>
  <si>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</si>
  <si>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</si>
  <si>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</si>
  <si>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</si>
  <si>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</si>
  <si>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</si>
  <si>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</si>
  <si>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</si>
  <si>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</si>
  <si>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</si>
  <si>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</si>
  <si>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</si>
  <si>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</si>
  <si>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</si>
  <si>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</si>
  <si>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</si>
  <si>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</si>
  <si>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</si>
  <si>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</si>
  <si>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</si>
  <si>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</si>
  <si>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</si>
  <si>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</si>
  <si>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</si>
  <si>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</si>
  <si>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</si>
  <si>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</si>
  <si>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</si>
  <si>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</si>
  <si>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</si>
  <si>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</si>
  <si>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</si>
  <si>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</si>
  <si>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</si>
  <si>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</si>
  <si>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</si>
  <si>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</si>
  <si>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</si>
  <si>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</si>
  <si>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</si>
  <si>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</si>
  <si>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</si>
  <si>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</si>
  <si>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</si>
  <si>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</si>
  <si>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</si>
  <si>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</si>
  <si>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</si>
  <si>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</si>
  <si>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</si>
  <si>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</si>
  <si>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</si>
  <si>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</si>
  <si>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</si>
  <si>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</si>
  <si>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</si>
  <si>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</si>
  <si>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</si>
  <si>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</si>
  <si>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</si>
  <si>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</si>
  <si>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</si>
  <si>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</si>
  <si>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</si>
  <si>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</si>
  <si>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</si>
  <si>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</si>
  <si>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</si>
  <si>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</si>
  <si>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</si>
  <si>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</si>
  <si>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</si>
  <si>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</si>
  <si>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</si>
  <si>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</si>
  <si>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</si>
  <si>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</si>
  <si>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</si>
  <si>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</si>
  <si>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</si>
  <si>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</si>
  <si>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</si>
  <si>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</si>
  <si>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</si>
  <si>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</si>
  <si>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</si>
  <si>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</si>
  <si>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</si>
  <si>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</si>
  <si>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</si>
  <si>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</si>
  <si>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</si>
  <si>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</si>
  <si>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</si>
  <si>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</si>
  <si>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</si>
  <si>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</si>
  <si>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</si>
  <si>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</si>
  <si>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</si>
  <si>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</si>
  <si>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</si>
  <si>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</si>
  <si>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</si>
  <si>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</si>
  <si>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</si>
  <si>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</si>
  <si>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</si>
  <si>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</si>
  <si>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</si>
  <si>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</si>
  <si>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</si>
  <si>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</si>
  <si>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</si>
  <si>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</si>
  <si>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</si>
  <si>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</si>
  <si>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</si>
  <si>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</si>
  <si>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</si>
  <si>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</si>
  <si>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</si>
  <si>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</si>
  <si>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</si>
  <si>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</si>
  <si>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</si>
  <si>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</si>
  <si>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</si>
  <si>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</si>
  <si>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</si>
  <si>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</si>
  <si>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</si>
  <si>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</si>
  <si>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</si>
  <si>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</si>
  <si>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</si>
  <si>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</si>
  <si>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</si>
  <si>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</si>
  <si>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</si>
  <si>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</si>
  <si>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</si>
  <si>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</si>
  <si>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</si>
  <si>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</si>
  <si>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</si>
  <si>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</si>
  <si>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</si>
  <si>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</si>
  <si>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</si>
  <si>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</si>
  <si>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</si>
  <si>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</si>
  <si>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</si>
  <si>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</si>
  <si>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</si>
  <si>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</si>
  <si>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</si>
  <si>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</si>
  <si>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</si>
  <si>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</si>
  <si>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</si>
  <si>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</si>
  <si>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</si>
  <si>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</si>
  <si>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</si>
  <si>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</si>
  <si>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</si>
  <si>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</si>
  <si>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</si>
  <si>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</si>
  <si>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</si>
  <si>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</si>
  <si>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</si>
  <si>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</si>
  <si>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</si>
  <si>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</si>
  <si>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</si>
  <si>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</si>
  <si>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</si>
  <si>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</si>
  <si>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</si>
  <si>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</si>
  <si>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</si>
  <si>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</si>
  <si>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</si>
  <si>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</si>
  <si>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</si>
  <si>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</si>
  <si>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</si>
  <si>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</si>
  <si>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</si>
  <si>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</si>
  <si>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</si>
  <si>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</si>
  <si>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</si>
  <si>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</si>
  <si>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</si>
  <si>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</si>
  <si>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</si>
  <si>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</si>
  <si>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</si>
  <si>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</si>
  <si>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</si>
  <si>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</si>
  <si>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</si>
  <si>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</si>
  <si>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</si>
  <si>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</si>
  <si>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</si>
  <si>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</si>
  <si>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</si>
  <si>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</si>
  <si>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</si>
  <si>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</si>
  <si>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</si>
  <si>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</si>
  <si>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</si>
  <si>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</si>
  <si>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</si>
  <si>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</si>
  <si>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</si>
  <si>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</si>
  <si>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</si>
  <si>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</si>
  <si>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</si>
  <si>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</si>
  <si>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</si>
  <si>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</si>
  <si>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</si>
  <si>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</si>
  <si>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</si>
  <si>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</si>
  <si>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</si>
  <si>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</si>
  <si>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</si>
  <si>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</si>
  <si>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</si>
  <si>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</si>
  <si>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</si>
  <si>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</si>
  <si>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</si>
  <si>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</si>
  <si>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</si>
  <si>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</si>
  <si>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</si>
  <si>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</si>
  <si>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</si>
  <si>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</si>
  <si>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</si>
  <si>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</si>
  <si>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</si>
  <si>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</si>
  <si>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</si>
  <si>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</si>
  <si>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</si>
  <si>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</si>
  <si>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</si>
  <si>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</si>
  <si>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</si>
  <si>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</si>
  <si>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</si>
  <si>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</si>
  <si>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</si>
  <si>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</si>
  <si>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</si>
  <si>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</si>
  <si>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</si>
  <si>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</si>
  <si>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</si>
  <si>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</si>
  <si>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</si>
  <si>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</si>
  <si>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</si>
  <si>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</si>
  <si>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</si>
  <si>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</si>
  <si>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</si>
  <si>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</si>
  <si>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</si>
  <si>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</si>
  <si>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</si>
  <si>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</si>
  <si>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</si>
  <si>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</si>
  <si>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</si>
  <si>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</si>
  <si>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</si>
  <si>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</si>
  <si>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</si>
  <si>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</si>
  <si>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</si>
  <si>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</si>
  <si>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</si>
  <si>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</si>
  <si>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</si>
  <si>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</si>
  <si>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</si>
  <si>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</si>
  <si>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</si>
  <si>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</si>
  <si>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</si>
  <si>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</si>
  <si>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</si>
  <si>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</si>
  <si>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</si>
  <si>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</si>
  <si>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</si>
  <si>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</si>
  <si>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</si>
  <si>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</si>
  <si>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</si>
  <si>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</si>
  <si>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</si>
  <si>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</si>
  <si>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</si>
  <si>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</si>
  <si>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</si>
  <si>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</si>
  <si>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</si>
  <si>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</si>
  <si>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</si>
  <si>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</si>
  <si>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</si>
  <si>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</si>
  <si>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</si>
  <si>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</si>
  <si>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</si>
  <si>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</si>
  <si>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</si>
  <si>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</si>
  <si>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</si>
  <si>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</si>
  <si>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</si>
  <si>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</si>
  <si>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</si>
  <si>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</si>
  <si>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</si>
  <si>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</si>
  <si>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</si>
  <si>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</si>
  <si>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</si>
  <si>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</si>
  <si>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</si>
  <si>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</si>
  <si>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</si>
  <si>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</si>
  <si>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</si>
  <si>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</si>
  <si>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</si>
  <si>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</si>
  <si>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</si>
  <si>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</si>
  <si>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</si>
  <si>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</si>
  <si>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</si>
  <si>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</si>
  <si>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</si>
  <si>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</si>
  <si>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</si>
  <si>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</si>
  <si>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</si>
  <si>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</si>
  <si>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</si>
  <si>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</si>
  <si>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</si>
  <si>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</si>
  <si>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</si>
  <si>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</si>
  <si>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</si>
  <si>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</si>
  <si>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</si>
  <si>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</si>
  <si>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</si>
  <si>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</si>
  <si>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</si>
  <si>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</si>
  <si>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</si>
  <si>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</si>
  <si>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</si>
  <si>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</si>
  <si>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</si>
  <si>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</si>
  <si>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</si>
  <si>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</si>
  <si>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</si>
  <si>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</si>
  <si>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</si>
  <si>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</si>
  <si>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</si>
  <si>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</si>
  <si>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</si>
  <si>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</si>
  <si>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</si>
  <si>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</si>
  <si>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</si>
  <si>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</si>
  <si>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</si>
  <si>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</si>
  <si>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</si>
  <si>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</si>
  <si>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</si>
  <si>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</si>
  <si>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</si>
  <si>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</si>
  <si>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</si>
  <si>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</si>
  <si>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</si>
  <si>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</si>
  <si>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</si>
  <si>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</si>
  <si>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</si>
  <si>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</si>
  <si>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</si>
  <si>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</si>
  <si>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</si>
  <si>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</si>
  <si>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</si>
  <si>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</si>
  <si>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</si>
  <si>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</si>
  <si>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</si>
  <si>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</si>
  <si>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</si>
  <si>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</si>
  <si>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</si>
  <si>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</si>
  <si>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</si>
  <si>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</si>
  <si>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</si>
  <si>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</si>
  <si>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</si>
  <si>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</si>
  <si>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</si>
  <si>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</si>
  <si>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</si>
  <si>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</si>
  <si>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</si>
  <si>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</si>
  <si>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</si>
  <si>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</si>
  <si>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</si>
  <si>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</si>
  <si>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</si>
  <si>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</si>
  <si>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</si>
  <si>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</si>
  <si>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</si>
  <si>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</si>
  <si>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</si>
  <si>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</si>
  <si>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</si>
  <si>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</si>
  <si>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</si>
  <si>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</si>
  <si>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</si>
  <si>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</si>
  <si>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</si>
  <si>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</si>
  <si>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</si>
  <si>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</si>
  <si>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</si>
  <si>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</si>
  <si>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</si>
  <si>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</si>
  <si>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</si>
  <si>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</si>
  <si>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</si>
  <si>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</si>
  <si>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</si>
  <si>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</si>
  <si>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</si>
  <si>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</si>
  <si>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</si>
  <si>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</si>
  <si>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</si>
  <si>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</si>
  <si>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</si>
  <si>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</si>
  <si>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</si>
  <si>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</si>
  <si>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</si>
  <si>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</si>
  <si>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</si>
  <si>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</si>
  <si>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</si>
  <si>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</si>
  <si>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</si>
  <si>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</si>
  <si>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</si>
  <si>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</si>
  <si>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</si>
  <si>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</si>
  <si>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</si>
  <si>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</si>
  <si>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</si>
  <si>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</si>
  <si>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</si>
  <si>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</si>
  <si>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</si>
  <si>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</si>
  <si>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</si>
  <si>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</si>
  <si>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</si>
  <si>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</si>
  <si>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</si>
  <si>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</si>
  <si>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</si>
  <si>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</si>
  <si>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</si>
  <si>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</si>
  <si>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</si>
  <si>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</si>
  <si>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</si>
  <si>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</si>
  <si>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</si>
  <si>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</si>
  <si>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</si>
  <si>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</si>
  <si>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</si>
  <si>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</si>
  <si>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</si>
  <si>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</si>
  <si>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</si>
  <si>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</si>
  <si>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</si>
  <si>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</si>
  <si>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</si>
  <si>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</si>
  <si>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</si>
  <si>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</si>
  <si>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</si>
  <si>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</si>
  <si>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</si>
  <si>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</si>
  <si>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</si>
  <si>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</si>
  <si>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</si>
  <si>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</si>
  <si>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</si>
  <si>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</si>
  <si>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</si>
  <si>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</si>
  <si>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</si>
  <si>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</si>
  <si>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</si>
  <si>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</si>
  <si>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</si>
  <si>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</si>
  <si>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</si>
  <si>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</si>
  <si>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</si>
  <si>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</si>
  <si>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</si>
  <si>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</si>
  <si>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</si>
  <si>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</si>
  <si>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</si>
  <si>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</si>
  <si>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</si>
  <si>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</si>
  <si>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</si>
  <si>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</si>
  <si>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</si>
  <si>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</si>
  <si>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</si>
  <si>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</si>
  <si>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</si>
  <si>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</si>
  <si>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</si>
  <si>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</si>
  <si>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</si>
  <si>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</si>
  <si>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</si>
  <si>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</si>
  <si>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</si>
  <si>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</si>
  <si>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</si>
  <si>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</si>
  <si>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</si>
  <si>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</si>
  <si>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</si>
  <si>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</si>
  <si>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</si>
  <si>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</si>
  <si>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</si>
  <si>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</si>
  <si>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</si>
  <si>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</si>
  <si>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</si>
  <si>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</si>
  <si>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</si>
  <si>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</si>
  <si>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</si>
  <si>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</si>
  <si>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</si>
  <si>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</si>
  <si>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</si>
  <si>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</si>
  <si>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</si>
  <si>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</si>
  <si>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</si>
  <si>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</si>
  <si>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</si>
  <si>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</si>
  <si>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</si>
  <si>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</si>
  <si>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</si>
  <si>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</si>
  <si>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</si>
  <si>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</si>
  <si>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</si>
  <si>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</si>
  <si>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</si>
  <si>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</si>
  <si>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</si>
  <si>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</si>
  <si>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</si>
  <si>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</si>
  <si>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</si>
  <si>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</si>
  <si>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</si>
  <si>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</si>
  <si>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</si>
  <si>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</si>
  <si>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</si>
  <si>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</si>
  <si>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</si>
  <si>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</si>
  <si>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</si>
  <si>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</si>
  <si>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</si>
  <si>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</si>
  <si>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</si>
  <si>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</si>
  <si>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</si>
  <si>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</si>
  <si>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</si>
  <si>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</si>
  <si>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</si>
  <si>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</si>
  <si>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</si>
  <si>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</si>
  <si>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</si>
  <si>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</si>
  <si>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</si>
  <si>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</si>
  <si>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</si>
  <si>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</si>
  <si>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</si>
  <si>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</si>
  <si>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</si>
  <si>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</si>
  <si>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</si>
  <si>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</si>
  <si>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</si>
  <si>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</si>
  <si>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</si>
  <si>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</si>
  <si>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</si>
  <si>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</si>
  <si>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</si>
  <si>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</si>
  <si>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</si>
  <si>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</si>
  <si>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</si>
  <si>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</si>
  <si>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</si>
  <si>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</si>
  <si>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</si>
  <si>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</si>
  <si>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</si>
  <si>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</si>
  <si>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</si>
  <si>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</si>
  <si>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</si>
  <si>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</si>
  <si>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</si>
  <si>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</si>
  <si>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</si>
  <si>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</si>
  <si>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</si>
  <si>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</si>
  <si>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</si>
  <si>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</si>
  <si>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</si>
  <si>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</si>
  <si>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</si>
  <si>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</si>
  <si>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</si>
  <si>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</si>
  <si>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</si>
  <si>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</si>
  <si>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</si>
  <si>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</si>
  <si>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</si>
  <si>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</si>
  <si>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</si>
  <si>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</si>
  <si>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</si>
  <si>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</si>
  <si>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</si>
  <si>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</si>
  <si>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</si>
  <si>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</si>
  <si>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</si>
  <si>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</si>
  <si>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</si>
  <si>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</si>
  <si>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</si>
  <si>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</si>
  <si>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</si>
  <si>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</si>
  <si>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</si>
  <si>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</si>
  <si>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</si>
  <si>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</si>
  <si>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</si>
  <si>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</si>
  <si>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</si>
  <si>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</si>
  <si>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</si>
  <si>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</si>
  <si>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</si>
  <si>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</si>
  <si>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</si>
  <si>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</si>
  <si>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</si>
  <si>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</si>
  <si>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</si>
  <si>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</si>
  <si>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</si>
  <si>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</si>
  <si>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</si>
  <si>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</si>
  <si>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</si>
  <si>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</si>
  <si>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</si>
  <si>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</si>
  <si>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</si>
  <si>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</si>
  <si>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</si>
  <si>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</si>
  <si>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</si>
  <si>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</si>
  <si>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</si>
  <si>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</si>
  <si>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</si>
  <si>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</si>
  <si>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</si>
  <si>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</si>
  <si>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</si>
  <si>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</si>
  <si>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</si>
  <si>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</si>
  <si>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</si>
  <si>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</si>
  <si>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</si>
  <si>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</si>
  <si>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</si>
  <si>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</si>
  <si>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</si>
  <si>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</si>
  <si>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</si>
  <si>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</si>
  <si>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</si>
  <si>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</si>
  <si>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</si>
  <si>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</si>
  <si>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</si>
  <si>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</si>
  <si>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</si>
  <si>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</si>
  <si>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</si>
  <si>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</si>
  <si>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</si>
  <si>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</si>
  <si>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</si>
  <si>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</si>
  <si>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</si>
  <si>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</si>
  <si>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</si>
  <si>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</si>
  <si>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</si>
  <si>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</si>
  <si>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</si>
  <si>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</si>
  <si>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</si>
  <si>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</si>
  <si>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</si>
  <si>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</si>
  <si>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</si>
  <si>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</si>
  <si>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</si>
  <si>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</si>
  <si>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</si>
  <si>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</si>
  <si>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</si>
  <si>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</si>
  <si>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</si>
  <si>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</si>
  <si>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</si>
  <si>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</si>
  <si>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</si>
  <si>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</si>
  <si>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</si>
  <si>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</si>
  <si>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</si>
  <si>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</si>
  <si>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</si>
  <si>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</si>
  <si>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</si>
  <si>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</si>
  <si>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</si>
  <si>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</si>
  <si>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</si>
  <si>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</si>
  <si>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</si>
  <si>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</si>
  <si>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</si>
  <si>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</si>
  <si>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</si>
  <si>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</si>
  <si>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</si>
  <si>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</si>
  <si>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</si>
  <si>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</si>
  <si>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</si>
  <si>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</si>
  <si>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</si>
  <si>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</si>
  <si>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</si>
  <si>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</si>
  <si>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</si>
  <si>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</si>
  <si>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</si>
  <si>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</si>
  <si>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</si>
  <si>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</si>
  <si>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</si>
  <si>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</si>
  <si>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</si>
  <si>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</si>
  <si>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</si>
  <si>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</si>
  <si>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</si>
  <si>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</si>
  <si>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</si>
  <si>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</si>
  <si>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</si>
  <si>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</si>
  <si>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</si>
  <si>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</si>
  <si>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</si>
  <si>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</si>
  <si>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</si>
  <si>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</si>
  <si>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</si>
  <si>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</si>
  <si>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</si>
  <si>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</si>
  <si>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</si>
  <si>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</si>
  <si>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</si>
  <si>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</si>
  <si>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</si>
  <si>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</si>
  <si>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</si>
  <si>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</si>
  <si>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</si>
  <si>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</si>
  <si>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</si>
  <si>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</si>
  <si>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</si>
  <si>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</si>
  <si>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</si>
  <si>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</si>
  <si>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</si>
  <si>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</si>
  <si>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</si>
  <si>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</si>
  <si>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</si>
  <si>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</si>
  <si>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</si>
  <si>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</si>
  <si>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</si>
  <si>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</si>
  <si>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</si>
  <si>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</si>
  <si>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</si>
  <si>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</si>
  <si>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</si>
  <si>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</si>
  <si>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</si>
  <si>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</si>
  <si>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</si>
  <si>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</si>
  <si>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</si>
  <si>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</si>
  <si>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</si>
  <si>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</si>
  <si>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</si>
  <si>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</si>
  <si>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</si>
  <si>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</si>
  <si>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</si>
  <si>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</si>
  <si>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</si>
  <si>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</si>
  <si>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</si>
  <si>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</si>
  <si>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</si>
  <si>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</si>
  <si>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</si>
  <si>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</si>
  <si>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</si>
  <si>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</si>
  <si>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</si>
  <si>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</si>
  <si>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</si>
  <si>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</si>
  <si>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</si>
  <si>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</si>
  <si>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</si>
  <si>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</si>
  <si>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</si>
  <si>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</si>
  <si>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</si>
  <si>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</si>
  <si>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</si>
  <si>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</si>
  <si>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</si>
  <si>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</si>
  <si>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</si>
  <si>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</si>
  <si>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</si>
  <si>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</si>
  <si>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</si>
  <si>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</si>
  <si>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</si>
  <si>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</si>
  <si>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</si>
  <si>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</si>
  <si>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</si>
  <si>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</si>
  <si>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</si>
  <si>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</si>
  <si>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</si>
  <si>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</si>
  <si>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</si>
  <si>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</si>
  <si>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</si>
  <si>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</si>
  <si>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</si>
  <si>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</si>
  <si>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</si>
  <si>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</si>
  <si>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</si>
  <si>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</si>
  <si>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</si>
  <si>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</si>
  <si>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</si>
  <si>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</si>
  <si>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</si>
  <si>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</si>
  <si>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</si>
  <si>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</si>
  <si>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</si>
  <si>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</si>
  <si>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</si>
  <si>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</si>
  <si>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</si>
  <si>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</si>
  <si>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</si>
  <si>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</si>
  <si>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</si>
  <si>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</si>
  <si>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</si>
  <si>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</si>
  <si>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</si>
  <si>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</si>
  <si>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</si>
  <si>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</si>
  <si>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</si>
  <si>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</si>
  <si>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</si>
  <si>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</si>
  <si>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</si>
  <si>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</si>
  <si>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</si>
  <si>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</si>
  <si>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</si>
  <si>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</si>
  <si>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</si>
  <si>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</si>
  <si>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</si>
  <si>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</si>
  <si>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</si>
  <si>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</si>
  <si>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</si>
  <si>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</si>
  <si>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</si>
  <si>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</si>
  <si>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</si>
  <si>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</si>
  <si>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</si>
  <si>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</si>
  <si>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</si>
  <si>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</si>
  <si>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</si>
  <si>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</si>
  <si>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</si>
  <si>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</si>
  <si>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</si>
  <si>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</si>
  <si>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</si>
  <si>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</si>
  <si>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</si>
  <si>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</si>
  <si>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</si>
  <si>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</si>
  <si>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</si>
  <si>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</si>
  <si>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</si>
  <si>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</si>
  <si>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</si>
  <si>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</si>
  <si>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</si>
  <si>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</si>
  <si>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</si>
  <si>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</si>
  <si>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</si>
  <si>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</si>
  <si>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</si>
  <si>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</si>
  <si>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</si>
  <si>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</si>
  <si>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</si>
  <si>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</si>
  <si>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</si>
  <si>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</si>
  <si>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</si>
  <si>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</si>
  <si>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</si>
  <si>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</si>
  <si>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</si>
  <si>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</si>
  <si>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</si>
  <si>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</si>
  <si>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</si>
  <si>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</si>
  <si>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</si>
  <si>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</si>
  <si>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</si>
  <si>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</si>
  <si>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</si>
  <si>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</si>
  <si>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</si>
  <si>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</si>
  <si>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</si>
  <si>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</si>
  <si>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</si>
  <si>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</si>
  <si>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</si>
  <si>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</si>
  <si>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</si>
  <si>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</si>
  <si>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</si>
  <si>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</si>
  <si>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</si>
  <si>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</si>
  <si>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</si>
  <si>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</si>
  <si>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</si>
  <si>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</si>
  <si>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</si>
  <si>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</si>
  <si>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</si>
  <si>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</si>
  <si>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</si>
  <si>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</si>
  <si>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</si>
  <si>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</si>
  <si>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</si>
  <si>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</si>
  <si>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</si>
  <si>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</si>
  <si>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</si>
  <si>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</si>
  <si>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</si>
  <si>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</si>
  <si>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</si>
  <si>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</si>
  <si>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</si>
  <si>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</si>
  <si>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</si>
  <si>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</si>
  <si>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</si>
  <si>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</si>
  <si>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</si>
  <si>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</si>
  <si>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</si>
  <si>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</si>
  <si>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</si>
  <si>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</si>
  <si>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</si>
  <si>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</si>
  <si>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</si>
  <si>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</si>
  <si>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</si>
  <si>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</si>
  <si>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</si>
  <si>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</si>
  <si>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</si>
  <si>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</si>
  <si>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</si>
  <si>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</si>
  <si>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</si>
  <si>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</si>
  <si>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</si>
  <si>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</si>
  <si>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</si>
  <si>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</si>
  <si>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</si>
  <si>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</si>
  <si>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</si>
  <si>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</si>
  <si>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</si>
  <si>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</si>
  <si>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</si>
  <si>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</si>
  <si>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</si>
  <si>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</si>
  <si>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</si>
  <si>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</si>
  <si>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</si>
  <si>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</si>
  <si>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</si>
  <si>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</si>
  <si>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</si>
  <si>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</si>
  <si>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</si>
  <si>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</si>
  <si>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</si>
  <si>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</si>
  <si>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</si>
  <si>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</si>
  <si>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</si>
  <si>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</si>
  <si>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</si>
  <si>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</si>
  <si>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</si>
  <si>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</si>
  <si>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</si>
  <si>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</si>
  <si>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</si>
  <si>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</si>
  <si>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</si>
  <si>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</si>
  <si>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</si>
  <si>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</si>
  <si>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</si>
  <si>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</si>
  <si>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</si>
  <si>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</si>
  <si>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</si>
  <si>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</si>
  <si>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</si>
  <si>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</si>
  <si>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</si>
  <si>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</si>
  <si>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</si>
  <si>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</si>
  <si>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</si>
  <si>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</si>
  <si>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</si>
  <si>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</si>
  <si>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</si>
  <si>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</si>
  <si>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</si>
  <si>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</si>
  <si>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</si>
  <si>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</si>
  <si>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</si>
  <si>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</si>
  <si>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</si>
  <si>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</si>
  <si>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</si>
  <si>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</si>
  <si>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</si>
  <si>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</si>
  <si>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</si>
  <si>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</si>
  <si>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</si>
  <si>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</si>
  <si>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</si>
  <si>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</si>
  <si>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</si>
  <si>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</si>
  <si>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</si>
  <si>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</si>
  <si>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</si>
  <si>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</si>
  <si>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</si>
  <si>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</si>
  <si>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</si>
  <si>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</si>
  <si>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</si>
  <si>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</si>
  <si>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</si>
  <si>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</si>
  <si>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</si>
  <si>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</si>
  <si>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</si>
  <si>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</si>
  <si>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</si>
  <si>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</si>
  <si>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</si>
  <si>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</si>
  <si>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</si>
  <si>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</si>
  <si>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</si>
  <si>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</si>
  <si>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</si>
  <si>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</si>
  <si>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</si>
  <si>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</si>
  <si>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</si>
  <si>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</si>
  <si>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</si>
  <si>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</si>
  <si>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</si>
  <si>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</si>
  <si>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</si>
  <si>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</si>
  <si>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</si>
  <si>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</si>
  <si>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</si>
  <si>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</si>
  <si>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</si>
  <si>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</si>
  <si>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</si>
  <si>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</si>
  <si>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</si>
  <si>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</si>
  <si>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</si>
  <si>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</si>
  <si>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</si>
  <si>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</si>
  <si>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</si>
  <si>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</si>
  <si>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</si>
  <si>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</si>
  <si>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</si>
  <si>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</si>
  <si>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</si>
  <si>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</si>
  <si>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</si>
  <si>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</si>
  <si>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</si>
  <si>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</si>
  <si>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</si>
  <si>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</si>
  <si>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</si>
  <si>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</si>
  <si>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</si>
  <si>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</si>
  <si>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</si>
  <si>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</si>
  <si>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</si>
  <si>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</si>
  <si>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</si>
  <si>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</si>
  <si>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</si>
  <si>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</si>
  <si>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</si>
  <si>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</si>
  <si>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</si>
  <si>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</si>
  <si>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</si>
  <si>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</si>
  <si>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</si>
  <si>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</si>
  <si>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</si>
  <si>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</si>
  <si>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</si>
  <si>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</si>
  <si>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</si>
  <si>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</si>
  <si>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</si>
  <si>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</si>
  <si>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</si>
  <si>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</si>
  <si>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</si>
  <si>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</si>
  <si>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</si>
  <si>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</si>
  <si>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</si>
  <si>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</si>
  <si>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</si>
  <si>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</si>
  <si>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</si>
  <si>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</si>
  <si>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</si>
  <si>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</si>
  <si>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</si>
  <si>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</si>
  <si>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</si>
  <si>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</si>
  <si>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</si>
  <si>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</si>
  <si>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</si>
  <si>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</si>
  <si>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</si>
  <si>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</si>
  <si>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</si>
  <si>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</si>
  <si>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</si>
  <si>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</si>
  <si>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</si>
  <si>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</si>
  <si>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</si>
  <si>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</si>
  <si>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</si>
  <si>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</si>
  <si>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</si>
  <si>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</si>
  <si>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</si>
  <si>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</si>
  <si>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</si>
  <si>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</si>
  <si>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</si>
  <si>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</si>
  <si>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</si>
  <si>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</si>
  <si>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</si>
  <si>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</si>
  <si>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</si>
  <si>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</si>
  <si>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</si>
  <si>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</si>
  <si>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</si>
  <si>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</si>
  <si>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</si>
  <si>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</si>
  <si>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</si>
  <si>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</si>
  <si>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</si>
  <si>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</si>
  <si>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</si>
  <si>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</si>
  <si>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</si>
  <si>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</si>
  <si>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</si>
  <si>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</si>
  <si>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</si>
  <si>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</si>
  <si>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</si>
  <si>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</si>
  <si>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</si>
  <si>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</si>
  <si>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</si>
  <si>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</si>
  <si>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</si>
  <si>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</si>
  <si>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</si>
  <si>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</si>
  <si>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</si>
  <si>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</si>
  <si>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</si>
  <si>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</si>
  <si>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</si>
  <si>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</si>
  <si>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</si>
  <si>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</si>
  <si>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</si>
  <si>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</si>
  <si>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</si>
  <si>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</si>
  <si>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</si>
  <si>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</si>
  <si>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</si>
  <si>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</si>
  <si>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</si>
  <si>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</si>
  <si>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</si>
  <si>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</si>
  <si>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</si>
  <si>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</si>
  <si>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</si>
  <si>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</si>
  <si>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</si>
  <si>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</si>
  <si>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</si>
  <si>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</si>
  <si>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</si>
  <si>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</si>
  <si>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</si>
  <si>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</si>
  <si>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</si>
  <si>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</si>
  <si>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</si>
  <si>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</si>
  <si>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</si>
  <si>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</si>
  <si>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</si>
  <si>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</si>
  <si>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</si>
  <si>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</si>
  <si>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</si>
  <si>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</si>
  <si>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</si>
  <si>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</si>
  <si>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</si>
  <si>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</si>
  <si>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</si>
  <si>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</si>
  <si>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</si>
  <si>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</si>
  <si>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</si>
  <si>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</si>
  <si>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</si>
  <si>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</si>
  <si>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</si>
  <si>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</si>
  <si>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</si>
  <si>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</si>
  <si>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</si>
  <si>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</si>
  <si>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</si>
  <si>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</si>
  <si>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</si>
  <si>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</si>
  <si>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</si>
  <si>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</si>
  <si>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</si>
  <si>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</si>
  <si>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</si>
  <si>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</si>
  <si>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</si>
  <si>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</si>
  <si>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</si>
  <si>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</si>
  <si>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</si>
  <si>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</si>
  <si>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</si>
  <si>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</si>
  <si>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</si>
  <si>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</si>
  <si>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</si>
  <si>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</si>
  <si>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</si>
  <si>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</si>
  <si>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</si>
  <si>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</si>
  <si>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</si>
  <si>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</si>
  <si>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</si>
  <si>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</si>
  <si>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</si>
  <si>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</si>
  <si>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</si>
  <si>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</si>
  <si>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</si>
  <si>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</si>
  <si>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</si>
  <si>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</si>
  <si>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</si>
  <si>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</si>
  <si>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</si>
  <si>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</si>
  <si>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</si>
  <si>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</si>
  <si>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</si>
  <si>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</si>
  <si>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</si>
  <si>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</si>
  <si>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</si>
  <si>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</si>
  <si>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</si>
  <si>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</si>
  <si>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</si>
  <si>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</si>
  <si>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</si>
  <si>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</si>
  <si>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</si>
  <si>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</si>
  <si>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</si>
  <si>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</si>
  <si>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</si>
  <si>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</si>
  <si>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</si>
  <si>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</si>
  <si>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</si>
  <si>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</si>
  <si>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</si>
  <si>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</si>
  <si>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</si>
  <si>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</si>
  <si>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</si>
  <si>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</si>
  <si>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</si>
  <si>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</si>
  <si>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</si>
  <si>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</si>
  <si>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</si>
  <si>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</si>
  <si>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</si>
  <si>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</si>
  <si>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</si>
  <si>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</si>
  <si>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</si>
  <si>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</si>
  <si>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</si>
  <si>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</si>
  <si>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</si>
  <si>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</si>
  <si>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</si>
  <si>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</si>
  <si>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</si>
  <si>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</si>
  <si>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</si>
  <si>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</si>
  <si>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</si>
  <si>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</si>
  <si>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</si>
  <si>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</si>
  <si>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</si>
  <si>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</si>
  <si>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</si>
  <si>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</si>
  <si>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</si>
  <si>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</si>
  <si>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</si>
  <si>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</si>
  <si>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</si>
  <si>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</si>
  <si>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</si>
  <si>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</si>
  <si>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</si>
  <si>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</si>
  <si>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</si>
  <si>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</si>
  <si>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</si>
  <si>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</si>
  <si>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</si>
  <si>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</si>
  <si>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</si>
  <si>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</si>
  <si>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</si>
  <si>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</si>
  <si>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</si>
  <si>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</si>
  <si>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</si>
  <si>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</si>
  <si>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</si>
  <si>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</si>
  <si>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</si>
  <si>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</si>
  <si>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</si>
  <si>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</si>
  <si>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</si>
  <si>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</si>
  <si>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</si>
  <si>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</si>
  <si>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</si>
  <si>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</si>
  <si>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</si>
  <si>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</si>
  <si>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</si>
  <si>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</si>
  <si>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</si>
  <si>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</si>
  <si>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</si>
  <si>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</si>
  <si>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</si>
  <si>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</si>
  <si>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</si>
  <si>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</si>
  <si>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</si>
  <si>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</si>
  <si>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</si>
  <si>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</si>
  <si>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</si>
  <si>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</si>
  <si>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</si>
  <si>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</si>
  <si>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</si>
  <si>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</si>
  <si>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</si>
  <si>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</si>
  <si>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</si>
  <si>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</si>
  <si>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</si>
  <si>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</si>
  <si>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</si>
  <si>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</si>
  <si>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</si>
  <si>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</si>
  <si>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</si>
  <si>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</si>
  <si>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</si>
  <si>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</si>
  <si>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</si>
  <si>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</si>
  <si>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</si>
  <si>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</si>
  <si>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</si>
  <si>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</si>
  <si>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</si>
  <si>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</si>
  <si>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</si>
  <si>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</si>
  <si>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</si>
  <si>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</si>
  <si>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</si>
  <si>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</si>
  <si>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</si>
  <si>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</si>
  <si>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</si>
  <si>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</si>
  <si>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</si>
  <si>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</si>
  <si>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</si>
  <si>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</si>
  <si>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</si>
  <si>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</si>
  <si>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</si>
  <si>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</si>
  <si>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</si>
  <si>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</si>
  <si>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</si>
  <si>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</si>
  <si>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</si>
  <si>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</si>
  <si>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</si>
  <si>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</si>
  <si>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</si>
  <si>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</si>
  <si>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</si>
  <si>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</si>
  <si>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</si>
  <si>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</si>
  <si>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</si>
  <si>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</si>
  <si>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</si>
  <si>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</si>
  <si>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</si>
  <si>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</si>
  <si>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</si>
  <si>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</si>
  <si>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</si>
  <si>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</si>
  <si>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</si>
  <si>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</si>
  <si>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</si>
  <si>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</si>
  <si>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</si>
  <si>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</si>
  <si>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</si>
  <si>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</si>
  <si>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</si>
  <si>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</si>
  <si>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</si>
  <si>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</si>
  <si>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</si>
  <si>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</si>
  <si>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</si>
  <si>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</si>
  <si>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</si>
  <si>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</si>
  <si>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</si>
  <si>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</si>
  <si>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</si>
  <si>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</si>
  <si>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</si>
  <si>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</si>
  <si>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</si>
  <si>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</si>
  <si>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</si>
  <si>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</si>
  <si>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</si>
  <si>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</si>
  <si>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</si>
  <si>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</si>
  <si>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</si>
  <si>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</si>
  <si>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</si>
  <si>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</si>
  <si>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</si>
  <si>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</si>
  <si>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</si>
  <si>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</si>
  <si>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</si>
  <si>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</si>
  <si>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</si>
  <si>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</si>
  <si>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</si>
  <si>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</si>
  <si>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</si>
  <si>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</si>
  <si>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</si>
  <si>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</si>
  <si>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</si>
  <si>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</si>
  <si>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</si>
  <si>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</si>
  <si>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</si>
  <si>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</si>
  <si>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</si>
  <si>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</si>
  <si>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</si>
  <si>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</si>
  <si>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</si>
  <si>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</si>
  <si>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</si>
  <si>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</si>
  <si>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</si>
  <si>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</si>
  <si>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</si>
  <si>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</si>
  <si>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</si>
  <si>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</si>
  <si>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</si>
  <si>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</si>
  <si>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</si>
  <si>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</si>
  <si>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</si>
  <si>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</si>
  <si>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</si>
  <si>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</si>
  <si>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</si>
  <si>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</si>
  <si>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</si>
  <si>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</si>
  <si>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</si>
  <si>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</si>
  <si>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</si>
  <si>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</si>
  <si>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</si>
  <si>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</si>
  <si>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</si>
  <si>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</si>
  <si>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</si>
  <si>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</si>
  <si>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</si>
  <si>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</si>
  <si>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</si>
  <si>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</si>
  <si>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</si>
  <si>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</si>
  <si>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</si>
  <si>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</si>
  <si>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</si>
  <si>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</si>
  <si>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</si>
  <si>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</si>
  <si>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</si>
  <si>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</si>
  <si>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</si>
  <si>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</si>
  <si>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</si>
  <si>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</si>
  <si>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</si>
  <si>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</si>
  <si>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</si>
  <si>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</si>
  <si>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</si>
  <si>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</si>
  <si>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</si>
  <si>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</si>
  <si>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</si>
  <si>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</si>
  <si>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</si>
  <si>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</si>
  <si>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</si>
  <si>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</si>
  <si>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</si>
  <si>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</si>
  <si>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</si>
  <si>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</si>
  <si>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</si>
  <si>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</si>
  <si>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</si>
  <si>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</si>
  <si>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</si>
  <si>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</si>
  <si>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</si>
  <si>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</si>
  <si>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</si>
  <si>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</si>
  <si>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</si>
  <si>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</si>
  <si>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</si>
  <si>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</si>
  <si>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</si>
  <si>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</si>
  <si>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</si>
  <si>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</si>
  <si>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</si>
  <si>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</si>
  <si>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</si>
  <si>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</si>
  <si>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</si>
  <si>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</si>
  <si>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</si>
  <si>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</si>
  <si>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</si>
  <si>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</si>
  <si>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</si>
  <si>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</si>
  <si>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</si>
  <si>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</si>
  <si>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</si>
  <si>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</si>
  <si>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</si>
  <si>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</si>
  <si>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</si>
  <si>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</si>
  <si>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</si>
  <si>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</si>
  <si>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</si>
  <si>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</si>
  <si>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</si>
  <si>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</si>
  <si>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</si>
  <si>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</si>
  <si>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</si>
  <si>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</si>
  <si>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</si>
  <si>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</si>
  <si>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</si>
  <si>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</si>
  <si>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</si>
  <si>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</si>
  <si>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</si>
  <si>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</si>
  <si>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</si>
  <si>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</si>
  <si>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</si>
  <si>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</si>
  <si>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</si>
  <si>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</si>
  <si>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</si>
  <si>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</si>
  <si>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</si>
  <si>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</si>
  <si>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</si>
  <si>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</si>
  <si>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</si>
  <si>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</si>
  <si>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</si>
  <si>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</si>
  <si>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</si>
  <si>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</si>
  <si>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</si>
  <si>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</si>
  <si>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</si>
  <si>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</si>
  <si>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</si>
  <si>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</si>
  <si>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</si>
  <si>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</si>
  <si>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</si>
  <si>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</si>
  <si>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</si>
  <si>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</si>
  <si>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</si>
  <si>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</si>
  <si>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</si>
  <si>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</si>
  <si>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</si>
  <si>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</si>
  <si>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</si>
  <si>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</si>
  <si>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</si>
  <si>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</si>
  <si>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</si>
  <si>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</si>
  <si>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</si>
  <si>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</si>
  <si>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</si>
  <si>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</si>
  <si>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</si>
  <si>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</si>
  <si>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</si>
  <si>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</si>
  <si>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</si>
  <si>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</si>
  <si>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</si>
  <si>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</si>
  <si>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</si>
  <si>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</si>
  <si>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</si>
  <si>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</si>
  <si>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</si>
  <si>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</si>
  <si>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</si>
  <si>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</si>
  <si>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</si>
  <si>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</si>
  <si>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</si>
  <si>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</si>
  <si>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</si>
  <si>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</si>
  <si>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</si>
  <si>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</si>
  <si>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</si>
  <si>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</si>
  <si>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</si>
  <si>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</si>
  <si>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</si>
  <si>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</si>
  <si>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</si>
  <si>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</si>
  <si>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</si>
  <si>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</si>
  <si>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</si>
  <si>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</si>
  <si>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</si>
  <si>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</si>
  <si>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</si>
  <si>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</si>
  <si>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</si>
  <si>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</si>
  <si>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</si>
  <si>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</si>
  <si>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</si>
  <si>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</si>
  <si>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</si>
  <si>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</si>
  <si>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</si>
  <si>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</si>
  <si>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</si>
  <si>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</si>
  <si>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</si>
  <si>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</si>
  <si>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</si>
  <si>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</si>
  <si>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</si>
  <si>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</si>
  <si>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</si>
  <si>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</si>
  <si>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</si>
  <si>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</si>
  <si>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</si>
  <si>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</si>
  <si>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</si>
  <si>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</si>
  <si>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</si>
  <si>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</si>
  <si>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</si>
  <si>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</si>
  <si>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</si>
  <si>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</si>
  <si>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</si>
  <si>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</si>
  <si>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</si>
  <si>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</si>
  <si>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</si>
  <si>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</si>
  <si>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</si>
  <si>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</si>
  <si>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</si>
  <si>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</si>
  <si>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</si>
  <si>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</si>
  <si>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</si>
  <si>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</si>
  <si>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</si>
  <si>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</si>
  <si>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</si>
  <si>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</si>
  <si>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</si>
  <si>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</si>
  <si>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</si>
  <si>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</si>
  <si>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</si>
  <si>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</si>
  <si>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</si>
  <si>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</si>
  <si>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</si>
  <si>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</si>
  <si>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</si>
  <si>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</si>
  <si>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</si>
  <si>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</si>
  <si>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</si>
  <si>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</si>
  <si>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</si>
  <si>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</si>
  <si>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</si>
  <si>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</si>
  <si>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</si>
  <si>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</si>
  <si>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</si>
  <si>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</si>
  <si>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</si>
  <si>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</si>
  <si>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</si>
  <si>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</si>
  <si>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</si>
  <si>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</si>
  <si>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</si>
  <si>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</si>
  <si>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</si>
  <si>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</si>
  <si>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</si>
  <si>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</si>
  <si>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</si>
  <si>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</si>
  <si>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</si>
  <si>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</si>
  <si>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</si>
  <si>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</si>
  <si>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</si>
  <si>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</si>
  <si>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</si>
  <si>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</si>
  <si>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</si>
  <si>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</si>
  <si>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</si>
  <si>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</si>
  <si>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</si>
  <si>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</si>
  <si>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</si>
  <si>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</si>
  <si>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</si>
  <si>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</si>
  <si>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</si>
  <si>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</si>
  <si>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</si>
  <si>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</si>
  <si>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</si>
  <si>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</si>
  <si>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</si>
  <si>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</si>
  <si>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</si>
  <si>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</si>
  <si>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</si>
  <si>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</si>
  <si>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</si>
  <si>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</si>
  <si>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</si>
  <si>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</si>
  <si>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</si>
  <si>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</si>
  <si>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</si>
  <si>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</si>
  <si>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楼面地价</t>
  </si>
  <si>
    <t>吴薇</t>
  </si>
  <si>
    <t>郑燚</t>
  </si>
  <si>
    <t>抵押价格</t>
  </si>
  <si>
    <t>其他：</t>
  </si>
  <si>
    <t>企业</t>
  </si>
  <si>
    <t>商业</t>
  </si>
  <si>
    <t>一致</t>
  </si>
  <si>
    <t>地上</t>
  </si>
  <si>
    <t>售价</t>
  </si>
  <si>
    <t>30-40（含）</t>
  </si>
  <si>
    <t>天骥智谷商务花园</t>
    <phoneticPr fontId="3" type="noConversion"/>
  </si>
  <si>
    <t>东丽津汉公路与东丽湖路交口</t>
    <phoneticPr fontId="3" type="noConversion"/>
  </si>
  <si>
    <t>多层</t>
    <phoneticPr fontId="27" type="noConversion"/>
  </si>
  <si>
    <t>钢混</t>
    <phoneticPr fontId="27" type="noConversion"/>
  </si>
  <si>
    <t>精装修</t>
    <phoneticPr fontId="27" type="noConversion"/>
  </si>
  <si>
    <t>普通装修</t>
    <phoneticPr fontId="27" type="noConversion"/>
  </si>
  <si>
    <t>简单装修</t>
    <phoneticPr fontId="27" type="noConversion"/>
  </si>
  <si>
    <t>毛坯</t>
  </si>
  <si>
    <t>毛坯</t>
    <phoneticPr fontId="27" type="noConversion"/>
  </si>
  <si>
    <t>标准层高</t>
    <phoneticPr fontId="27" type="noConversion"/>
  </si>
  <si>
    <t>办公</t>
    <phoneticPr fontId="27" type="noConversion"/>
  </si>
  <si>
    <t>汇津广场</t>
    <phoneticPr fontId="3" type="noConversion"/>
  </si>
  <si>
    <t>滨海新区空港经济区西五道35号</t>
    <phoneticPr fontId="3" type="noConversion"/>
  </si>
  <si>
    <t>华睿广场</t>
    <phoneticPr fontId="3" type="noConversion"/>
  </si>
  <si>
    <t>滨海新区空港经济区中心大道与西二道交口</t>
    <phoneticPr fontId="3" type="noConversion"/>
  </si>
  <si>
    <t>土地</t>
  </si>
  <si>
    <t>比较法-住宅、综合</t>
  </si>
  <si>
    <t>剩余法-待开发</t>
  </si>
  <si>
    <t>一般</t>
  </si>
  <si>
    <t>较好</t>
  </si>
  <si>
    <t>较好</t>
    <phoneticPr fontId="3" type="noConversion"/>
  </si>
  <si>
    <t>一般</t>
    <phoneticPr fontId="3" type="noConversion"/>
  </si>
  <si>
    <t>六通</t>
  </si>
  <si>
    <t>六通</t>
    <phoneticPr fontId="3" type="noConversion"/>
  </si>
  <si>
    <t>多层</t>
  </si>
  <si>
    <t>钢混</t>
  </si>
  <si>
    <t>精装修</t>
  </si>
  <si>
    <t>好</t>
    <phoneticPr fontId="27" type="noConversion"/>
  </si>
  <si>
    <t>较好</t>
    <phoneticPr fontId="27" type="noConversion"/>
  </si>
  <si>
    <t>一般</t>
    <phoneticPr fontId="27" type="noConversion"/>
  </si>
  <si>
    <t>较差</t>
    <phoneticPr fontId="27" type="noConversion"/>
  </si>
  <si>
    <t>差</t>
    <phoneticPr fontId="27" type="noConversion"/>
  </si>
  <si>
    <t>六通</t>
    <phoneticPr fontId="27" type="noConversion"/>
  </si>
  <si>
    <t>五通</t>
  </si>
  <si>
    <t>五通</t>
    <phoneticPr fontId="27" type="noConversion"/>
  </si>
  <si>
    <t>四通</t>
    <phoneticPr fontId="27" type="noConversion"/>
  </si>
  <si>
    <t>标准层高</t>
  </si>
  <si>
    <t>宝能科技园</t>
    <phoneticPr fontId="3" type="noConversion"/>
  </si>
  <si>
    <t>东丽区东丽湖</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</si>
  <si>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</si>
  <si>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</si>
  <si>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</si>
  <si>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</si>
  <si>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</si>
  <si>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</si>
  <si>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</si>
  <si>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</si>
  <si>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</si>
  <si>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</si>
  <si>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</si>
  <si>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</si>
  <si>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</si>
  <si>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商业/办公用地</t>
  </si>
  <si>
    <t>挂牌</t>
  </si>
  <si>
    <t>5星</t>
  </si>
  <si>
    <t>≤2.5</t>
  </si>
  <si>
    <t>4星</t>
  </si>
  <si>
    <t>3星</t>
  </si>
  <si>
    <t>2星</t>
  </si>
  <si>
    <t>≤1.7</t>
  </si>
  <si>
    <t>区县</t>
  </si>
  <si>
    <t>板块</t>
  </si>
  <si>
    <t>土地位置</t>
  </si>
  <si>
    <t>地块编号</t>
  </si>
  <si>
    <t>详细规划</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</si>
  <si>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</si>
  <si>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</si>
  <si>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</si>
  <si>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</si>
  <si>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</si>
  <si>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</si>
  <si>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</si>
  <si>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</si>
  <si>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</si>
  <si>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</si>
  <si>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</si>
  <si>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</si>
  <si>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</si>
  <si>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成交日期</t>
  </si>
  <si>
    <t>公告编号</t>
  </si>
  <si>
    <t>交易状态</t>
  </si>
  <si>
    <t>保证金(万元)</t>
  </si>
  <si>
    <t>推出每亩价(万元/亩)</t>
  </si>
  <si>
    <t>成交每亩价(万元/亩)</t>
  </si>
  <si>
    <t>推出楼面价(元/㎡)</t>
  </si>
  <si>
    <t>推出楼面价(除保障房)(元/㎡)</t>
  </si>
  <si>
    <t>成交楼面价(除保障房)(元/㎡)</t>
  </si>
  <si>
    <t>出让年限</t>
  </si>
  <si>
    <t>竞报整体自持比例(%)</t>
  </si>
  <si>
    <t>竞报商品住房自持比例(%)</t>
  </si>
  <si>
    <t>竞报商办部分自持比例(%)</t>
  </si>
  <si>
    <t>未开工</t>
  </si>
  <si>
    <t>2019-06-19</t>
  </si>
  <si>
    <t>2019-07-09</t>
  </si>
  <si>
    <t>已成交</t>
  </si>
  <si>
    <t>40年</t>
  </si>
  <si>
    <t>≤45%</t>
  </si>
  <si>
    <t>2019-04-25</t>
  </si>
  <si>
    <t>≤40%</t>
  </si>
  <si>
    <t>2018-12-29</t>
  </si>
  <si>
    <t>零售商业用地</t>
  </si>
  <si>
    <t>≤30%</t>
  </si>
  <si>
    <t>开工中</t>
  </si>
  <si>
    <t>≤50米</t>
  </si>
  <si>
    <t>≤45米</t>
  </si>
  <si>
    <t>五通</t>
    <phoneticPr fontId="26" type="noConversion"/>
  </si>
  <si>
    <t>四通</t>
    <phoneticPr fontId="26" type="noConversion"/>
  </si>
  <si>
    <t>三通</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</si>
  <si>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</si>
  <si>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</si>
  <si>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</si>
  <si>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</si>
  <si>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</si>
  <si>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</si>
  <si>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</si>
  <si>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</si>
  <si>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</si>
  <si>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</si>
  <si>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土地（套用方法）</t>
  </si>
  <si>
    <t>按租金收入计税</t>
  </si>
  <si>
    <t>地上楼面</t>
    <phoneticPr fontId="9" type="noConversion"/>
  </si>
  <si>
    <t>海南省海口市</t>
    <phoneticPr fontId="6" type="noConversion"/>
  </si>
  <si>
    <t>秀英区西秀镇长德村</t>
    <phoneticPr fontId="6" type="noConversion"/>
  </si>
  <si>
    <t>产权人</t>
    <phoneticPr fontId="228" type="noConversion"/>
  </si>
  <si>
    <t>产权证号</t>
    <phoneticPr fontId="228" type="noConversion"/>
  </si>
  <si>
    <t>坐落地址</t>
    <phoneticPr fontId="228" type="noConversion"/>
  </si>
  <si>
    <t>用途</t>
    <phoneticPr fontId="228" type="noConversion"/>
  </si>
  <si>
    <t>土地面积</t>
    <phoneticPr fontId="228" type="noConversion"/>
  </si>
  <si>
    <t>终止日期</t>
    <phoneticPr fontId="228" type="noConversion"/>
  </si>
  <si>
    <t>不动产证取得日期</t>
    <phoneticPr fontId="228" type="noConversion"/>
  </si>
  <si>
    <t>出让合同编号</t>
    <phoneticPr fontId="228" type="noConversion"/>
  </si>
  <si>
    <t>合同规划</t>
    <phoneticPr fontId="228" type="noConversion"/>
  </si>
  <si>
    <t>交付情况</t>
    <phoneticPr fontId="228" type="noConversion"/>
  </si>
  <si>
    <t>地价款</t>
    <phoneticPr fontId="228" type="noConversion"/>
  </si>
  <si>
    <t>签订日期</t>
    <phoneticPr fontId="228" type="noConversion"/>
  </si>
  <si>
    <t>容积率</t>
    <phoneticPr fontId="228" type="noConversion"/>
  </si>
  <si>
    <t>海南鋈得实业有限公司</t>
    <phoneticPr fontId="228" type="noConversion"/>
  </si>
  <si>
    <t>琼（2018）海口市不动产权第0048332号</t>
    <phoneticPr fontId="228" type="noConversion"/>
  </si>
  <si>
    <t>海口市秀英区西秀镇长德村</t>
    <phoneticPr fontId="228" type="noConversion"/>
  </si>
  <si>
    <t>住宅、商业</t>
    <phoneticPr fontId="228" type="noConversion"/>
  </si>
  <si>
    <t>住宅2088-2-11、商业2058-2-11</t>
    <phoneticPr fontId="228" type="noConversion"/>
  </si>
  <si>
    <t>海口市国让（合）秀英字【2018】3号</t>
    <phoneticPr fontId="228" type="noConversion"/>
  </si>
  <si>
    <t>70%商业30%住宅</t>
    <phoneticPr fontId="228" type="noConversion"/>
  </si>
  <si>
    <t>现状交付</t>
    <phoneticPr fontId="228" type="noConversion"/>
  </si>
  <si>
    <t>≤2.5</t>
    <phoneticPr fontId="228" type="noConversion"/>
  </si>
  <si>
    <t>琼（2018）海口市不动产权第0048348号</t>
    <phoneticPr fontId="228" type="noConversion"/>
  </si>
  <si>
    <t>海口市国让（合）秀英字【2018】4号</t>
    <phoneticPr fontId="228" type="noConversion"/>
  </si>
  <si>
    <t>≤2.7</t>
    <phoneticPr fontId="228" type="noConversion"/>
  </si>
  <si>
    <t>总经济指标</t>
    <phoneticPr fontId="228" type="noConversion"/>
  </si>
  <si>
    <t>建筑面积</t>
    <phoneticPr fontId="228" type="noConversion"/>
  </si>
  <si>
    <t>商业</t>
    <phoneticPr fontId="228" type="noConversion"/>
  </si>
  <si>
    <t>LOFT公寓</t>
    <phoneticPr fontId="228" type="noConversion"/>
  </si>
  <si>
    <t>销售中心</t>
    <phoneticPr fontId="228" type="noConversion"/>
  </si>
  <si>
    <t>幼儿园</t>
    <phoneticPr fontId="228" type="noConversion"/>
  </si>
  <si>
    <t>综合楼</t>
    <phoneticPr fontId="228" type="noConversion"/>
  </si>
  <si>
    <t>菜市场</t>
    <phoneticPr fontId="228" type="noConversion"/>
  </si>
  <si>
    <t>高层住宅</t>
    <phoneticPr fontId="228" type="noConversion"/>
  </si>
  <si>
    <t>机房等附属设施</t>
    <phoneticPr fontId="228" type="noConversion"/>
  </si>
  <si>
    <t>A0202经济指标</t>
    <phoneticPr fontId="228" type="noConversion"/>
  </si>
  <si>
    <t>拿地楼面单价</t>
    <phoneticPr fontId="228" type="noConversion"/>
  </si>
  <si>
    <t>A0302经济指标</t>
    <phoneticPr fontId="228" type="noConversion"/>
  </si>
  <si>
    <t>LOFT住宅</t>
  </si>
  <si>
    <t>独立商业</t>
  </si>
  <si>
    <t>普通住宅</t>
  </si>
  <si>
    <t>loft公寓</t>
  </si>
  <si>
    <t>loft公寓</t>
    <phoneticPr fontId="7" type="noConversion"/>
  </si>
  <si>
    <t>商业</t>
    <phoneticPr fontId="7" type="noConversion"/>
  </si>
  <si>
    <t>住宅</t>
    <phoneticPr fontId="7" type="noConversion"/>
  </si>
  <si>
    <t xml:space="preserve">请录依据文件名称：海口市人民政府办公厅关于我市城市基础设施配套费征收标准的通知海府办〔2014〕124 号 </t>
    <phoneticPr fontId="3" type="noConversion"/>
  </si>
  <si>
    <t>长彤路西侧C1101-03地块</t>
  </si>
  <si>
    <t>海口市</t>
  </si>
  <si>
    <t>住宅用地</t>
  </si>
  <si>
    <t>秀英区</t>
  </si>
  <si>
    <t>C1101-03</t>
  </si>
  <si>
    <t>城镇住宅用地</t>
  </si>
  <si>
    <t>大于或等于1并且小于或等于3.5</t>
  </si>
  <si>
    <t>小于或等于25</t>
  </si>
  <si>
    <t>小于或等于80</t>
  </si>
  <si>
    <t>2019-11-05</t>
  </si>
  <si>
    <t>2019-11-26</t>
  </si>
  <si>
    <t>2019-12-06</t>
  </si>
  <si>
    <t>65[2019]65号</t>
  </si>
  <si>
    <t>海口投源实业开发有限公司</t>
  </si>
  <si>
    <t>70年</t>
  </si>
  <si>
    <t>长滨路西侧C1702地块</t>
  </si>
  <si>
    <t>C1702</t>
  </si>
  <si>
    <t>大于或等于1并且小于或等于3</t>
  </si>
  <si>
    <t>小于或等于18</t>
  </si>
  <si>
    <t>长滨路西侧C1603地块</t>
  </si>
  <si>
    <t>C1603</t>
  </si>
  <si>
    <t>长和路西侧B0702地块</t>
  </si>
  <si>
    <t>B0702</t>
  </si>
  <si>
    <t>大于或等于1并且小于或等于2.5</t>
  </si>
  <si>
    <t>小于或等于36</t>
  </si>
  <si>
    <t>长滨路西侧C1701地块</t>
  </si>
  <si>
    <t>C1701</t>
  </si>
  <si>
    <t>滨海大道南侧博义盐灶八灶棚改Y-08地块</t>
  </si>
  <si>
    <t>Y-08</t>
  </si>
  <si>
    <t>小于或等于60</t>
  </si>
  <si>
    <t>小于或等于40</t>
  </si>
  <si>
    <t>2019-06-21</t>
  </si>
  <si>
    <t>2019-07-19</t>
  </si>
  <si>
    <t>海口市自然资源和规划局国有土地使用权挂牌出让公告(27[2019]27号)</t>
  </si>
  <si>
    <t>贵州建工集团第八建筑工程有限责任公司</t>
  </si>
  <si>
    <t>海口市西海岸新区南片区</t>
  </si>
  <si>
    <t>旅馆用地</t>
  </si>
  <si>
    <t>小于或等于2.9</t>
  </si>
  <si>
    <t>小于或等于35</t>
  </si>
  <si>
    <t>2019-06-03</t>
  </si>
  <si>
    <t>2019-06-24</t>
  </si>
  <si>
    <t>2019-07-04</t>
  </si>
  <si>
    <t>海口市自然资源和规划局国有土地使用权挂牌出让公告(21[2019]21号)</t>
  </si>
  <si>
    <t>海南佳阳置业发展有限公司</t>
  </si>
  <si>
    <t>海口市永万路西侧B1701地块</t>
  </si>
  <si>
    <t>B1701</t>
  </si>
  <si>
    <t>商服用地(含医疗卫生用地45%)</t>
  </si>
  <si>
    <t>≤3.5</t>
  </si>
  <si>
    <t>≤70m</t>
  </si>
  <si>
    <t>2019-05-18</t>
  </si>
  <si>
    <t>2019-06-09</t>
  </si>
  <si>
    <t>(2019)第19号</t>
  </si>
  <si>
    <t>海南现代医疗集团有限公司</t>
  </si>
  <si>
    <t>其他商服用地40*年、医疗卫生用地50年</t>
  </si>
  <si>
    <t>海口市西海岸新区南片区(地块八)</t>
  </si>
  <si>
    <t>综合用地(含住宅)</t>
  </si>
  <si>
    <t>地块八</t>
  </si>
  <si>
    <t>商业、商务、科研、居住混合用地</t>
  </si>
  <si>
    <t>≤3.7</t>
  </si>
  <si>
    <t>≤150米(居住建筑≤80米)</t>
  </si>
  <si>
    <t>2019-05-16</t>
  </si>
  <si>
    <t>2019-05-27</t>
  </si>
  <si>
    <t>(2019)第14号-1</t>
  </si>
  <si>
    <t>海南未来产业园投资营运控股有限公司</t>
  </si>
  <si>
    <t>商业40年,城镇住宅70年,科研50年</t>
  </si>
  <si>
    <t>商业商务科研住宅混合用地</t>
  </si>
  <si>
    <t>≤150米</t>
  </si>
  <si>
    <t>2018-12-02</t>
  </si>
  <si>
    <t>2018-12-21</t>
  </si>
  <si>
    <t>2018-12-30</t>
  </si>
  <si>
    <t>25[2018]25号</t>
  </si>
  <si>
    <t>秀英区永兴镇</t>
  </si>
  <si>
    <t>23—01</t>
  </si>
  <si>
    <t>其他普通商品住房用地</t>
  </si>
  <si>
    <t>≥1且≤2</t>
  </si>
  <si>
    <t>≤24米</t>
  </si>
  <si>
    <t>26-14[2018]26-14号</t>
  </si>
  <si>
    <t>海南盛维旅游发展有限公司</t>
  </si>
  <si>
    <t>23—03</t>
  </si>
  <si>
    <t>26-12[2018]26-12号</t>
  </si>
  <si>
    <t>23—02</t>
  </si>
  <si>
    <t>26-13[2018]26-13号</t>
  </si>
  <si>
    <t>23-06</t>
  </si>
  <si>
    <t>26-15[2018]26-15号</t>
  </si>
  <si>
    <t>地块一</t>
  </si>
  <si>
    <t>≥1且≤3</t>
  </si>
  <si>
    <t>≤25%</t>
  </si>
  <si>
    <t>≤60米</t>
  </si>
  <si>
    <t>2018-11-30</t>
  </si>
  <si>
    <t>2018-12-20</t>
  </si>
  <si>
    <t>24[2018]24号-7</t>
  </si>
  <si>
    <t>海南复兴城产业园投资管理有限公司</t>
  </si>
  <si>
    <t>地块三</t>
  </si>
  <si>
    <t>≥1且≤3.5</t>
  </si>
  <si>
    <t>24[2018]24号-4</t>
  </si>
  <si>
    <t>地块五</t>
  </si>
  <si>
    <t>商务金融用地</t>
  </si>
  <si>
    <t>≤5</t>
  </si>
  <si>
    <t>≤35%</t>
  </si>
  <si>
    <t>≤100米</t>
  </si>
  <si>
    <t>24[2018]24号-6</t>
  </si>
  <si>
    <t>地块六</t>
  </si>
  <si>
    <t>≤2.4</t>
  </si>
  <si>
    <t>≤68米</t>
  </si>
  <si>
    <t>24[2018]24号-2</t>
  </si>
  <si>
    <t>地块七</t>
  </si>
  <si>
    <t>24[2018]24号-3</t>
  </si>
  <si>
    <t>地块四</t>
  </si>
  <si>
    <t>≤2.3</t>
  </si>
  <si>
    <t>24[2018]24号-5</t>
  </si>
  <si>
    <t>海口市滨海大道西侧、新港经六街以东</t>
  </si>
  <si>
    <t>批发零售用地</t>
  </si>
  <si>
    <t>2018-11-15</t>
  </si>
  <si>
    <t>2018-12-06</t>
  </si>
  <si>
    <t>2018-12-17</t>
  </si>
  <si>
    <t>18[2018]18号-6</t>
  </si>
  <si>
    <t>国旅(海口)投资发展有限公司</t>
  </si>
  <si>
    <t>≤2.8</t>
  </si>
  <si>
    <t>≤80米</t>
  </si>
  <si>
    <t>18[2018]18号-3</t>
  </si>
  <si>
    <t>≤2.26</t>
  </si>
  <si>
    <t>≤55%</t>
  </si>
  <si>
    <t>18[2018]18号-5</t>
  </si>
  <si>
    <t>≤30米</t>
  </si>
  <si>
    <t>18[2018]18号-2</t>
  </si>
  <si>
    <t>住宿餐饮用地</t>
  </si>
  <si>
    <t>18[2018]18号-4</t>
  </si>
  <si>
    <t>地块二</t>
  </si>
  <si>
    <t>18[2018]18号-1</t>
  </si>
  <si>
    <t>海口市椰海大道与永万路交汇处西北角</t>
  </si>
  <si>
    <t>≥1且≤2.8</t>
  </si>
  <si>
    <t>≤20%</t>
  </si>
  <si>
    <t>2018-02-05</t>
  </si>
  <si>
    <t>2018-03-25</t>
  </si>
  <si>
    <t>2018-04-04</t>
  </si>
  <si>
    <t>4[2018]4号</t>
  </si>
  <si>
    <t>海南恩祥新城实业有限公司</t>
  </si>
  <si>
    <t>≥1且≤2.5</t>
  </si>
  <si>
    <t>≤18%</t>
  </si>
  <si>
    <t>3[2018]3号</t>
  </si>
  <si>
    <t>海口市秀英区永兴镇</t>
  </si>
  <si>
    <t>≥1且≤1.9</t>
  </si>
  <si>
    <t>10[2018]10号</t>
  </si>
  <si>
    <t>海南观澜湖实业发展有限公司</t>
  </si>
  <si>
    <t>西海岸南片区</t>
  </si>
  <si>
    <t>拍卖</t>
  </si>
  <si>
    <t>B6902、B6903、B7001、B7005、B7102</t>
  </si>
  <si>
    <t>b6902、b6903、b7102:≥1,≤2,b7001:≤2,b7005:≤0.8</t>
  </si>
  <si>
    <t>B6902、B6903、B7102:≤18%,B7001:≤35%,B7005:≤25%</t>
  </si>
  <si>
    <t>B6902、B6903、B7001、B7102:≤60米,B7005:≤17米</t>
  </si>
  <si>
    <t>2017-06-25</t>
  </si>
  <si>
    <t>2017-07-21</t>
  </si>
  <si>
    <t>7[2017]7号</t>
  </si>
  <si>
    <t>北辰</t>
  </si>
  <si>
    <t>商业40年,科教50年,住宅70年</t>
  </si>
  <si>
    <t>B5702、B5704、B5705、B5803、B5804</t>
  </si>
  <si>
    <t>批发零售用地(含住宿餐饮和商务金融用地)、城镇住宅用地</t>
  </si>
  <si>
    <t>b5702、b5704、b5803≤3;b5705、b5804≥1且≤2</t>
  </si>
  <si>
    <t>B5702、B5803≤25;B5704≤35;B5705、B5804≤18;</t>
  </si>
  <si>
    <t>B5702、B5803≤75;B5704≤70;B5705、B5804≤60;</t>
  </si>
  <si>
    <t>已完工</t>
  </si>
  <si>
    <t>2017-03-24</t>
  </si>
  <si>
    <t>2017-04-20</t>
  </si>
  <si>
    <t>5[2017]5号-1</t>
  </si>
  <si>
    <t>海南华侨城实业有限公司</t>
  </si>
  <si>
    <t>商业40,住宅70</t>
  </si>
  <si>
    <t>海口市金沙湾片区</t>
  </si>
  <si>
    <t>A0102、A0601、A0701、A0801、A0901、A1001</t>
  </si>
  <si>
    <t>A0102:住宿餐饮用地;A0801:科教用地;A0601、A0701、A0901、A1001:其他普通商品住房用地</t>
  </si>
  <si>
    <t>综合容积率:1.87</t>
  </si>
  <si>
    <t>A0102、A0801、A0901、A1001≤30;A0601、A0701≤25</t>
  </si>
  <si>
    <t>A0102、A0601、A0701、A0901、A1001≤80;A0801≤45</t>
  </si>
  <si>
    <t>2017-02-03</t>
  </si>
  <si>
    <t>2017-02-28</t>
  </si>
  <si>
    <t>2[2017]2号</t>
  </si>
  <si>
    <t>海南雅航旅游置业有限公司(雅居乐)</t>
  </si>
  <si>
    <t>住宅70年;商业、科教40年</t>
  </si>
  <si>
    <t>秀英区长德村</t>
    <phoneticPr fontId="26" type="noConversion"/>
  </si>
  <si>
    <t>商业及住宅</t>
  </si>
  <si>
    <t>商业及住宅</t>
    <phoneticPr fontId="26" type="noConversion"/>
  </si>
  <si>
    <t>商业</t>
    <phoneticPr fontId="26" type="noConversion"/>
  </si>
  <si>
    <t>仅含出让金</t>
  </si>
  <si>
    <t>旅馆</t>
  </si>
  <si>
    <t>旅馆</t>
    <phoneticPr fontId="26" type="noConversion"/>
  </si>
  <si>
    <t>正常</t>
  </si>
  <si>
    <t>非个人房产</t>
  </si>
  <si>
    <t>不动产收益法</t>
  </si>
  <si>
    <t>押一</t>
  </si>
  <si>
    <t>北辰府</t>
  </si>
  <si>
    <t>金隅大成阳光郡</t>
  </si>
  <si>
    <t>华侨城曦海岸</t>
  </si>
  <si>
    <t>住宅</t>
    <phoneticPr fontId="21" type="noConversion"/>
  </si>
  <si>
    <t>珈宝广场</t>
  </si>
  <si>
    <t>海口鲁能海蓝公馆</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</si>
</sst>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name val="楷体_GB2312"/>
      <charset val="134"/>
    </font>
    <font>
      <sz val="12"/>
      <name val="楷体_GB2312"/>
      <charset val="134"/>
    </font>
    <font>
      <sz val="10"/>
      <color theme="1"/>
      <name val="宋体"/>
      <family val="2"/>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6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202" fillId="0" borderId="2" xfId="0" applyFont="1" applyFill="1" applyBorder="1" applyAlignment="1" applyProtection="1">
      <alignment horizontal="center" vertical="center"/>
      <protection locked="0"/>
    </xf>
    <xf numFmtId="0" fontId="126" fillId="0" borderId="2" xfId="0" applyFont="1" applyBorder="1" applyAlignment="1" applyProtection="1">
      <alignment horizontal="center" vertical="center" wrapText="1"/>
      <protection locked="0"/>
    </xf>
    <xf numFmtId="0" fontId="274" fillId="0" borderId="2" xfId="0" applyFont="1" applyBorder="1" applyAlignment="1" applyProtection="1">
      <alignment horizontal="center" vertical="center" wrapText="1"/>
      <protection locked="0"/>
    </xf>
    <xf numFmtId="0" fontId="275" fillId="0" borderId="2" xfId="1" applyFont="1" applyBorder="1" applyAlignment="1" applyProtection="1">
      <alignment horizontal="center" vertical="center" wrapText="1"/>
      <protection locked="0"/>
    </xf>
    <xf numFmtId="0" fontId="86" fillId="8" borderId="25" xfId="2" applyNumberFormat="1" applyFont="1" applyFill="1" applyBorder="1" applyAlignment="1" applyProtection="1">
      <alignment horizontal="center" vertical="center"/>
      <protection locked="0"/>
    </xf>
    <xf numFmtId="0" fontId="276" fillId="0" borderId="0" xfId="0" applyFont="1" applyAlignment="1">
      <alignment horizontal="left"/>
    </xf>
    <xf numFmtId="14" fontId="164" fillId="0" borderId="0" xfId="0" applyNumberFormat="1" applyFont="1" applyAlignment="1">
      <alignment horizontal="left"/>
    </xf>
    <xf numFmtId="14" fontId="276" fillId="0" borderId="0" xfId="0" applyNumberFormat="1" applyFont="1" applyAlignment="1">
      <alignment horizontal="left"/>
    </xf>
    <xf numFmtId="0" fontId="276" fillId="0" borderId="2" xfId="0" applyFont="1" applyBorder="1" applyAlignment="1">
      <alignment horizontal="left"/>
    </xf>
    <xf numFmtId="0" fontId="86" fillId="0" borderId="0" xfId="16"/>
    <xf numFmtId="0" fontId="86" fillId="6" borderId="0" xfId="16" applyFill="1"/>
    <xf numFmtId="0" fontId="0" fillId="6" borderId="0" xfId="0" applyFill="1">
      <alignment vertic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9" fontId="71" fillId="5" borderId="0" xfId="0" applyNumberFormat="1" applyFont="1" applyFill="1" applyAlignment="1" applyProtection="1">
      <alignment vertical="center"/>
      <protection locked="0"/>
    </xf>
    <xf numFmtId="180" fontId="76" fillId="5" borderId="0" xfId="0" applyNumberFormat="1" applyFont="1" applyFill="1" applyAlignment="1" applyProtection="1">
      <alignment horizontal="center" vertical="center"/>
      <protection locked="0"/>
    </xf>
    <xf numFmtId="178" fontId="76" fillId="17" borderId="2" xfId="2" applyNumberFormat="1" applyFont="1" applyFill="1" applyBorder="1" applyAlignment="1" applyProtection="1">
      <alignment horizontal="center" vertical="center"/>
      <protection locked="0"/>
    </xf>
    <xf numFmtId="178" fontId="71" fillId="17" borderId="2" xfId="2" applyNumberFormat="1" applyFont="1" applyFill="1" applyBorder="1" applyAlignment="1" applyProtection="1">
      <alignment horizontal="center" vertical="center"/>
      <protection locked="0"/>
    </xf>
    <xf numFmtId="10" fontId="76" fillId="17" borderId="0" xfId="0" applyNumberFormat="1" applyFont="1" applyFill="1" applyAlignment="1" applyProtection="1">
      <alignment horizontal="center" vertical="center"/>
      <protection locked="0"/>
    </xf>
    <xf numFmtId="182" fontId="76" fillId="17" borderId="12" xfId="0" applyNumberFormat="1" applyFont="1" applyFill="1" applyBorder="1" applyAlignment="1" applyProtection="1">
      <alignment horizontal="center" vertical="center"/>
      <protection locked="0"/>
    </xf>
    <xf numFmtId="0" fontId="256" fillId="0" borderId="2" xfId="14" applyBorder="1" applyAlignment="1" applyProtection="1">
      <alignment horizontal="center" vertical="center"/>
      <protection locked="0"/>
    </xf>
    <xf numFmtId="0" fontId="257" fillId="0" borderId="2" xfId="14" applyFont="1" applyBorder="1" applyAlignment="1" applyProtection="1">
      <alignment horizontal="center" vertical="center" wrapText="1"/>
      <protection locked="0"/>
    </xf>
    <xf numFmtId="10" fontId="71" fillId="0" borderId="2" xfId="1" applyNumberFormat="1" applyFont="1" applyBorder="1" applyAlignment="1" applyProtection="1">
      <alignment horizontal="center" vertical="center"/>
      <protection locked="0"/>
    </xf>
    <xf numFmtId="183" fontId="71" fillId="0" borderId="2" xfId="1" applyNumberFormat="1" applyFont="1" applyBorder="1" applyAlignment="1" applyProtection="1">
      <alignment horizontal="center" vertical="center"/>
      <protection locked="0"/>
    </xf>
    <xf numFmtId="182" fontId="71" fillId="0" borderId="5" xfId="1" applyNumberFormat="1" applyFont="1" applyBorder="1" applyAlignment="1" applyProtection="1">
      <alignment horizontal="center" vertical="center"/>
      <protection locked="0"/>
    </xf>
    <xf numFmtId="0" fontId="71" fillId="6" borderId="2" xfId="1" applyFont="1" applyFill="1" applyBorder="1" applyAlignment="1" applyProtection="1">
      <alignment vertical="center"/>
      <protection locked="0"/>
    </xf>
    <xf numFmtId="184" fontId="71" fillId="0" borderId="62" xfId="1" applyNumberFormat="1" applyFont="1" applyFill="1" applyBorder="1" applyAlignment="1" applyProtection="1">
      <alignment horizontal="center" vertical="center" wrapText="1"/>
      <protection locked="0"/>
    </xf>
    <xf numFmtId="49" fontId="71" fillId="2" borderId="62" xfId="1" applyNumberFormat="1" applyFont="1" applyFill="1" applyBorder="1" applyAlignment="1" applyProtection="1">
      <alignment horizontal="center" vertical="center" wrapText="1"/>
      <protection locked="0"/>
    </xf>
    <xf numFmtId="49" fontId="71" fillId="2" borderId="42" xfId="1" applyNumberFormat="1" applyFont="1" applyFill="1" applyBorder="1" applyAlignment="1" applyProtection="1">
      <alignment horizontal="center" vertical="center" wrapText="1"/>
      <protection locked="0"/>
    </xf>
    <xf numFmtId="49" fontId="84" fillId="2" borderId="20" xfId="1" applyNumberFormat="1" applyFont="1" applyFill="1" applyBorder="1" applyAlignment="1" applyProtection="1">
      <alignment horizontal="center" vertical="center" wrapText="1"/>
      <protection locked="0"/>
    </xf>
    <xf numFmtId="49" fontId="84" fillId="0" borderId="18" xfId="1" applyNumberFormat="1" applyFont="1" applyFill="1" applyBorder="1" applyAlignment="1" applyProtection="1">
      <alignment horizontal="center" vertical="center" wrapText="1"/>
      <protection locked="0"/>
    </xf>
    <xf numFmtId="49" fontId="84" fillId="0" borderId="32" xfId="1" applyNumberFormat="1" applyFont="1" applyFill="1" applyBorder="1" applyAlignment="1" applyProtection="1">
      <alignment horizontal="center" vertical="center" wrapText="1"/>
      <protection locked="0"/>
    </xf>
    <xf numFmtId="49" fontId="84" fillId="0" borderId="22" xfId="1" applyNumberFormat="1" applyFont="1" applyFill="1" applyBorder="1" applyAlignment="1" applyProtection="1">
      <alignment horizontal="center" vertical="center" wrapText="1"/>
      <protection locked="0"/>
    </xf>
    <xf numFmtId="0" fontId="84" fillId="2" borderId="50" xfId="1" applyNumberFormat="1" applyFont="1" applyFill="1" applyBorder="1" applyAlignment="1" applyProtection="1">
      <alignment horizontal="center" vertical="center" wrapText="1"/>
      <protection locked="0"/>
    </xf>
    <xf numFmtId="49" fontId="84" fillId="2" borderId="20" xfId="1" applyNumberFormat="1" applyFont="1" applyFill="1" applyBorder="1" applyAlignment="1" applyProtection="1">
      <alignment horizontal="center" vertical="center" wrapText="1"/>
      <protection locked="0"/>
    </xf>
    <xf numFmtId="49" fontId="84" fillId="0" borderId="18" xfId="1" applyNumberFormat="1" applyFont="1" applyFill="1" applyBorder="1" applyAlignment="1" applyProtection="1">
      <alignment horizontal="center" vertical="center" wrapText="1"/>
      <protection locked="0"/>
    </xf>
    <xf numFmtId="49" fontId="84" fillId="0" borderId="32" xfId="1" applyNumberFormat="1" applyFont="1" applyFill="1" applyBorder="1" applyAlignment="1" applyProtection="1">
      <alignment horizontal="center" vertical="center" wrapText="1"/>
      <protection locked="0"/>
    </xf>
    <xf numFmtId="49" fontId="84" fillId="0" borderId="22" xfId="1" applyNumberFormat="1" applyFont="1" applyFill="1" applyBorder="1" applyAlignment="1" applyProtection="1">
      <alignment horizontal="center" vertical="center" wrapText="1"/>
      <protection locked="0"/>
    </xf>
    <xf numFmtId="0" fontId="84" fillId="2" borderId="50" xfId="1" applyNumberFormat="1" applyFont="1" applyFill="1" applyBorder="1" applyAlignment="1" applyProtection="1">
      <alignment horizontal="center" vertical="center" wrapText="1"/>
      <protection locked="0"/>
    </xf>
    <xf numFmtId="49" fontId="84" fillId="2" borderId="20" xfId="1" applyNumberFormat="1" applyFont="1" applyFill="1" applyBorder="1" applyAlignment="1" applyProtection="1">
      <alignment horizontal="center" vertical="center" wrapText="1"/>
      <protection locked="0"/>
    </xf>
    <xf numFmtId="49" fontId="84" fillId="0" borderId="18" xfId="1" applyNumberFormat="1" applyFont="1" applyFill="1" applyBorder="1" applyAlignment="1" applyProtection="1">
      <alignment horizontal="center" vertical="center" wrapText="1"/>
      <protection locked="0"/>
    </xf>
    <xf numFmtId="49" fontId="84" fillId="0" borderId="32" xfId="1" applyNumberFormat="1" applyFont="1" applyFill="1" applyBorder="1" applyAlignment="1" applyProtection="1">
      <alignment horizontal="center" vertical="center" wrapText="1"/>
      <protection locked="0"/>
    </xf>
    <xf numFmtId="49" fontId="84" fillId="0" borderId="22" xfId="1" applyNumberFormat="1" applyFont="1" applyFill="1" applyBorder="1" applyAlignment="1" applyProtection="1">
      <alignment horizontal="center" vertical="center" wrapText="1"/>
      <protection locked="0"/>
    </xf>
    <xf numFmtId="0" fontId="84" fillId="2" borderId="50" xfId="1" applyNumberFormat="1" applyFont="1" applyFill="1" applyBorder="1" applyAlignment="1" applyProtection="1">
      <alignment horizontal="center" vertical="center" wrapText="1"/>
      <protection locked="0"/>
    </xf>
    <xf numFmtId="0" fontId="71" fillId="0" borderId="9" xfId="1" applyNumberFormat="1" applyFont="1" applyFill="1" applyBorder="1" applyAlignment="1" applyProtection="1">
      <alignment horizontal="center" vertical="center" wrapText="1"/>
      <protection locked="0"/>
    </xf>
    <xf numFmtId="0" fontId="71" fillId="0" borderId="11" xfId="1" applyNumberFormat="1" applyFont="1" applyFill="1" applyBorder="1" applyAlignment="1" applyProtection="1">
      <alignment horizontal="center" vertical="center" wrapText="1"/>
      <protection locked="0"/>
    </xf>
    <xf numFmtId="0" fontId="71" fillId="0" borderId="9" xfId="1" applyNumberFormat="1" applyFont="1" applyFill="1" applyBorder="1" applyAlignment="1" applyProtection="1">
      <alignment horizontal="center" vertical="center" wrapText="1"/>
      <protection locked="0"/>
    </xf>
    <xf numFmtId="0" fontId="84" fillId="0" borderId="2" xfId="1" applyNumberFormat="1" applyFont="1" applyFill="1" applyBorder="1" applyAlignment="1" applyProtection="1">
      <alignment horizontal="center" vertical="center" wrapText="1"/>
      <protection locked="0"/>
    </xf>
    <xf numFmtId="0" fontId="97" fillId="5" borderId="2" xfId="2" applyFont="1" applyFill="1" applyBorder="1" applyAlignment="1" applyProtection="1">
      <alignment vertical="center"/>
    </xf>
    <xf numFmtId="0" fontId="97" fillId="5" borderId="10" xfId="2" applyFont="1" applyFill="1" applyBorder="1" applyAlignment="1" applyProtection="1">
      <alignment vertical="center"/>
    </xf>
    <xf numFmtId="184" fontId="71" fillId="0" borderId="62" xfId="1" applyNumberFormat="1" applyFont="1" applyFill="1" applyBorder="1" applyAlignment="1" applyProtection="1">
      <alignment horizontal="center" vertical="center" wrapText="1"/>
      <protection locked="0"/>
    </xf>
    <xf numFmtId="0" fontId="71" fillId="0" borderId="9" xfId="1" applyNumberFormat="1" applyFont="1" applyFill="1" applyBorder="1" applyAlignment="1" applyProtection="1">
      <alignment horizontal="center" vertical="center" wrapText="1"/>
      <protection locked="0"/>
    </xf>
    <xf numFmtId="0" fontId="84" fillId="0" borderId="2" xfId="1" applyNumberFormat="1" applyFont="1" applyFill="1" applyBorder="1" applyAlignment="1" applyProtection="1">
      <alignment horizontal="center" vertical="center" wrapText="1"/>
      <protection locked="0"/>
    </xf>
    <xf numFmtId="49" fontId="84" fillId="2" borderId="20" xfId="1" applyNumberFormat="1" applyFont="1" applyFill="1" applyBorder="1" applyAlignment="1" applyProtection="1">
      <alignment horizontal="center" vertical="center" wrapText="1"/>
      <protection locked="0"/>
    </xf>
    <xf numFmtId="49" fontId="84" fillId="0" borderId="18" xfId="1" applyNumberFormat="1" applyFont="1" applyFill="1" applyBorder="1" applyAlignment="1" applyProtection="1">
      <alignment horizontal="center" vertical="center" wrapText="1"/>
      <protection locked="0"/>
    </xf>
    <xf numFmtId="49" fontId="84" fillId="0" borderId="32" xfId="1" applyNumberFormat="1" applyFont="1" applyFill="1" applyBorder="1" applyAlignment="1" applyProtection="1">
      <alignment horizontal="center" vertical="center" wrapText="1"/>
      <protection locked="0"/>
    </xf>
    <xf numFmtId="49" fontId="84" fillId="0" borderId="22" xfId="1" applyNumberFormat="1" applyFont="1" applyFill="1" applyBorder="1" applyAlignment="1" applyProtection="1">
      <alignment horizontal="center" vertical="center" wrapText="1"/>
      <protection locked="0"/>
    </xf>
    <xf numFmtId="0" fontId="84" fillId="2" borderId="50" xfId="1" applyNumberFormat="1" applyFont="1" applyFill="1" applyBorder="1" applyAlignment="1" applyProtection="1">
      <alignment horizontal="center" vertical="center" wrapText="1"/>
      <protection locked="0"/>
    </xf>
    <xf numFmtId="0" fontId="84" fillId="0" borderId="71" xfId="1" applyNumberFormat="1" applyFont="1" applyFill="1" applyBorder="1" applyAlignment="1" applyProtection="1">
      <alignment horizontal="center" vertical="center" wrapText="1"/>
      <protection locked="0"/>
    </xf>
    <xf numFmtId="0" fontId="71" fillId="0" borderId="71" xfId="1" applyNumberFormat="1" applyFont="1" applyFill="1" applyBorder="1" applyAlignment="1" applyProtection="1">
      <alignment horizontal="center" vertical="center" wrapText="1"/>
      <protection locked="0"/>
    </xf>
    <xf numFmtId="0" fontId="71" fillId="0" borderId="2" xfId="1" applyNumberFormat="1" applyFont="1" applyFill="1" applyBorder="1" applyAlignment="1" applyProtection="1">
      <alignment horizontal="center" vertical="center" wrapText="1"/>
      <protection locked="0"/>
    </xf>
    <xf numFmtId="0" fontId="80" fillId="0" borderId="2" xfId="1" applyNumberFormat="1" applyFont="1" applyFill="1" applyBorder="1" applyAlignment="1" applyProtection="1">
      <alignment horizontal="center" vertical="center" wrapText="1"/>
      <protection locked="0"/>
    </xf>
    <xf numFmtId="49" fontId="71" fillId="2" borderId="62" xfId="1" applyNumberFormat="1" applyFont="1" applyFill="1" applyBorder="1" applyAlignment="1" applyProtection="1">
      <alignment horizontal="center" vertical="center" wrapText="1"/>
      <protection locked="0"/>
    </xf>
    <xf numFmtId="49" fontId="71" fillId="2" borderId="42" xfId="1" applyNumberFormat="1" applyFont="1" applyFill="1" applyBorder="1" applyAlignment="1" applyProtection="1">
      <alignment horizontal="center" vertical="center" wrapText="1"/>
      <protection locked="0"/>
    </xf>
    <xf numFmtId="0" fontId="71" fillId="0" borderId="11" xfId="1" applyNumberFormat="1" applyFont="1" applyFill="1" applyBorder="1" applyAlignment="1" applyProtection="1">
      <alignment horizontal="center" vertical="center" wrapText="1"/>
      <protection locked="0"/>
    </xf>
    <xf numFmtId="0" fontId="71" fillId="0" borderId="9" xfId="1"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9" xfId="1" applyFont="1" applyFill="1" applyBorder="1" applyAlignment="1" applyProtection="1">
      <alignment horizontal="center" vertical="center" wrapText="1"/>
      <protection locked="0"/>
    </xf>
    <xf numFmtId="0" fontId="262" fillId="0" borderId="5" xfId="1" applyFont="1" applyFill="1" applyBorder="1" applyAlignment="1" applyProtection="1">
      <alignment horizontal="center" vertical="center" wrapText="1"/>
      <protection locked="0"/>
    </xf>
    <xf numFmtId="0" fontId="261" fillId="0" borderId="11" xfId="1" applyFont="1" applyFill="1" applyBorder="1" applyAlignment="1" applyProtection="1">
      <alignment horizontal="center" vertical="center" wrapText="1"/>
      <protection locked="0"/>
    </xf>
    <xf numFmtId="0" fontId="262" fillId="0" borderId="12" xfId="1"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1" fillId="0" borderId="32"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25</xdr:row>
      <xdr:rowOff>0</xdr:rowOff>
    </xdr:from>
    <xdr:to>
      <xdr:col>19</xdr:col>
      <xdr:colOff>312037</xdr:colOff>
      <xdr:row>29</xdr:row>
      <xdr:rowOff>45836</xdr:rowOff>
    </xdr:to>
    <xdr:pic>
      <xdr:nvPicPr>
        <xdr:cNvPr id="2" name="图片 1"/>
        <xdr:cNvPicPr>
          <a:picLocks noChangeAspect="1"/>
        </xdr:cNvPicPr>
      </xdr:nvPicPr>
      <xdr:blipFill>
        <a:blip xmlns:r="http://schemas.openxmlformats.org/officeDocument/2006/relationships" r:embed="rId1"/>
        <a:stretch>
          <a:fillRect/>
        </a:stretch>
      </xdr:blipFill>
      <xdr:spPr>
        <a:xfrm>
          <a:off x="9474200" y="5444067"/>
          <a:ext cx="5349704" cy="1341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29</xdr:col>
      <xdr:colOff>66236</xdr:colOff>
      <xdr:row>58</xdr:row>
      <xdr:rowOff>118263</xdr:rowOff>
    </xdr:to>
    <xdr:pic>
      <xdr:nvPicPr>
        <xdr:cNvPr id="4" name="图片 3"/>
        <xdr:cNvPicPr>
          <a:picLocks noChangeAspect="1"/>
        </xdr:cNvPicPr>
      </xdr:nvPicPr>
      <xdr:blipFill>
        <a:blip xmlns:r="http://schemas.openxmlformats.org/officeDocument/2006/relationships" r:embed="rId1"/>
        <a:stretch>
          <a:fillRect/>
        </a:stretch>
      </xdr:blipFill>
      <xdr:spPr>
        <a:xfrm>
          <a:off x="0" y="10488706"/>
          <a:ext cx="8000001" cy="4152381"/>
        </a:xfrm>
        <a:prstGeom prst="rect">
          <a:avLst/>
        </a:prstGeom>
      </xdr:spPr>
    </xdr:pic>
    <xdr:clientData/>
  </xdr:twoCellAnchor>
  <xdr:twoCellAnchor editAs="oneCell">
    <xdr:from>
      <xdr:col>27</xdr:col>
      <xdr:colOff>0</xdr:colOff>
      <xdr:row>34</xdr:row>
      <xdr:rowOff>0</xdr:rowOff>
    </xdr:from>
    <xdr:to>
      <xdr:col>50</xdr:col>
      <xdr:colOff>214187</xdr:colOff>
      <xdr:row>63</xdr:row>
      <xdr:rowOff>144489</xdr:rowOff>
    </xdr:to>
    <xdr:pic>
      <xdr:nvPicPr>
        <xdr:cNvPr id="5" name="图片 4"/>
        <xdr:cNvPicPr>
          <a:picLocks noChangeAspect="1"/>
        </xdr:cNvPicPr>
      </xdr:nvPicPr>
      <xdr:blipFill>
        <a:blip xmlns:r="http://schemas.openxmlformats.org/officeDocument/2006/relationships" r:embed="rId2"/>
        <a:stretch>
          <a:fillRect/>
        </a:stretch>
      </xdr:blipFill>
      <xdr:spPr>
        <a:xfrm>
          <a:off x="7933765" y="5715000"/>
          <a:ext cx="7733334" cy="5019048"/>
        </a:xfrm>
        <a:prstGeom prst="rect">
          <a:avLst/>
        </a:prstGeom>
      </xdr:spPr>
    </xdr:pic>
    <xdr:clientData/>
  </xdr:twoCellAnchor>
  <xdr:twoCellAnchor editAs="oneCell">
    <xdr:from>
      <xdr:col>0</xdr:col>
      <xdr:colOff>0</xdr:colOff>
      <xdr:row>59</xdr:row>
      <xdr:rowOff>0</xdr:rowOff>
    </xdr:from>
    <xdr:to>
      <xdr:col>34</xdr:col>
      <xdr:colOff>537214</xdr:colOff>
      <xdr:row>70</xdr:row>
      <xdr:rowOff>36744</xdr:rowOff>
    </xdr:to>
    <xdr:pic>
      <xdr:nvPicPr>
        <xdr:cNvPr id="6" name="图片 5"/>
        <xdr:cNvPicPr>
          <a:picLocks noChangeAspect="1"/>
        </xdr:cNvPicPr>
      </xdr:nvPicPr>
      <xdr:blipFill>
        <a:blip xmlns:r="http://schemas.openxmlformats.org/officeDocument/2006/relationships" r:embed="rId3"/>
        <a:stretch>
          <a:fillRect/>
        </a:stretch>
      </xdr:blipFill>
      <xdr:spPr>
        <a:xfrm>
          <a:off x="0" y="9917206"/>
          <a:ext cx="9838096" cy="1885714"/>
        </a:xfrm>
        <a:prstGeom prst="rect">
          <a:avLst/>
        </a:prstGeom>
      </xdr:spPr>
    </xdr:pic>
    <xdr:clientData/>
  </xdr:twoCellAnchor>
  <xdr:twoCellAnchor editAs="oneCell">
    <xdr:from>
      <xdr:col>0</xdr:col>
      <xdr:colOff>0</xdr:colOff>
      <xdr:row>71</xdr:row>
      <xdr:rowOff>0</xdr:rowOff>
    </xdr:from>
    <xdr:to>
      <xdr:col>34</xdr:col>
      <xdr:colOff>422928</xdr:colOff>
      <xdr:row>80</xdr:row>
      <xdr:rowOff>134825</xdr:rowOff>
    </xdr:to>
    <xdr:pic>
      <xdr:nvPicPr>
        <xdr:cNvPr id="7" name="图片 6"/>
        <xdr:cNvPicPr>
          <a:picLocks noChangeAspect="1"/>
        </xdr:cNvPicPr>
      </xdr:nvPicPr>
      <xdr:blipFill>
        <a:blip xmlns:r="http://schemas.openxmlformats.org/officeDocument/2006/relationships" r:embed="rId4"/>
        <a:stretch>
          <a:fillRect/>
        </a:stretch>
      </xdr:blipFill>
      <xdr:spPr>
        <a:xfrm>
          <a:off x="0" y="11934265"/>
          <a:ext cx="9723810" cy="1647619"/>
        </a:xfrm>
        <a:prstGeom prst="rect">
          <a:avLst/>
        </a:prstGeom>
      </xdr:spPr>
    </xdr:pic>
    <xdr:clientData/>
  </xdr:twoCellAnchor>
  <xdr:twoCellAnchor editAs="oneCell">
    <xdr:from>
      <xdr:col>0</xdr:col>
      <xdr:colOff>0</xdr:colOff>
      <xdr:row>81</xdr:row>
      <xdr:rowOff>0</xdr:rowOff>
    </xdr:from>
    <xdr:to>
      <xdr:col>34</xdr:col>
      <xdr:colOff>632452</xdr:colOff>
      <xdr:row>90</xdr:row>
      <xdr:rowOff>87206</xdr:rowOff>
    </xdr:to>
    <xdr:pic>
      <xdr:nvPicPr>
        <xdr:cNvPr id="8" name="图片 7"/>
        <xdr:cNvPicPr>
          <a:picLocks noChangeAspect="1"/>
        </xdr:cNvPicPr>
      </xdr:nvPicPr>
      <xdr:blipFill>
        <a:blip xmlns:r="http://schemas.openxmlformats.org/officeDocument/2006/relationships" r:embed="rId5"/>
        <a:stretch>
          <a:fillRect/>
        </a:stretch>
      </xdr:blipFill>
      <xdr:spPr>
        <a:xfrm>
          <a:off x="0" y="13615147"/>
          <a:ext cx="9933334" cy="1600000"/>
        </a:xfrm>
        <a:prstGeom prst="rect">
          <a:avLst/>
        </a:prstGeom>
      </xdr:spPr>
    </xdr:pic>
    <xdr:clientData/>
  </xdr:twoCellAnchor>
  <xdr:twoCellAnchor editAs="oneCell">
    <xdr:from>
      <xdr:col>0</xdr:col>
      <xdr:colOff>0</xdr:colOff>
      <xdr:row>91</xdr:row>
      <xdr:rowOff>0</xdr:rowOff>
    </xdr:from>
    <xdr:to>
      <xdr:col>34</xdr:col>
      <xdr:colOff>422928</xdr:colOff>
      <xdr:row>99</xdr:row>
      <xdr:rowOff>160056</xdr:rowOff>
    </xdr:to>
    <xdr:pic>
      <xdr:nvPicPr>
        <xdr:cNvPr id="9" name="图片 8"/>
        <xdr:cNvPicPr>
          <a:picLocks noChangeAspect="1"/>
        </xdr:cNvPicPr>
      </xdr:nvPicPr>
      <xdr:blipFill>
        <a:blip xmlns:r="http://schemas.openxmlformats.org/officeDocument/2006/relationships" r:embed="rId6"/>
        <a:stretch>
          <a:fillRect/>
        </a:stretch>
      </xdr:blipFill>
      <xdr:spPr>
        <a:xfrm>
          <a:off x="0" y="15296029"/>
          <a:ext cx="9723810" cy="1504762"/>
        </a:xfrm>
        <a:prstGeom prst="rect">
          <a:avLst/>
        </a:prstGeom>
      </xdr:spPr>
    </xdr:pic>
    <xdr:clientData/>
  </xdr:twoCellAnchor>
  <xdr:twoCellAnchor editAs="oneCell">
    <xdr:from>
      <xdr:col>0</xdr:col>
      <xdr:colOff>0</xdr:colOff>
      <xdr:row>100</xdr:row>
      <xdr:rowOff>0</xdr:rowOff>
    </xdr:from>
    <xdr:to>
      <xdr:col>34</xdr:col>
      <xdr:colOff>365785</xdr:colOff>
      <xdr:row>110</xdr:row>
      <xdr:rowOff>4832</xdr:rowOff>
    </xdr:to>
    <xdr:pic>
      <xdr:nvPicPr>
        <xdr:cNvPr id="10" name="图片 9"/>
        <xdr:cNvPicPr>
          <a:picLocks noChangeAspect="1"/>
        </xdr:cNvPicPr>
      </xdr:nvPicPr>
      <xdr:blipFill>
        <a:blip xmlns:r="http://schemas.openxmlformats.org/officeDocument/2006/relationships" r:embed="rId7"/>
        <a:stretch>
          <a:fillRect/>
        </a:stretch>
      </xdr:blipFill>
      <xdr:spPr>
        <a:xfrm>
          <a:off x="0" y="16808824"/>
          <a:ext cx="9666667" cy="16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023;&#21475;-&#29579;&#26342;-8&#19975;&#24179;73&#27604;&#20363;-&#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基本情况表"/>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loft公寓"/>
      <sheetName val="不动产比较法-住宅"/>
      <sheetName val="不动产比较法-商业"/>
      <sheetName val="不动产比较法-办公"/>
      <sheetName val="土地案例"/>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232366.19</v>
          </cell>
          <cell r="C14">
            <v>86061.55</v>
          </cell>
          <cell r="D14">
            <v>120141</v>
          </cell>
          <cell r="G14">
            <v>120141</v>
          </cell>
          <cell r="I14">
            <v>65871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1" customWidth="1"/>
    <col min="2" max="2" width="78.25" style="2842" customWidth="1"/>
    <col min="3" max="18" width="9" style="2836"/>
    <col min="19" max="19" width="17.875" style="2836" customWidth="1"/>
    <col min="20" max="51" width="9" style="2836"/>
    <col min="52" max="52" width="13.25" style="2836" customWidth="1"/>
    <col min="53" max="53" width="13.5" style="2836" bestFit="1" customWidth="1"/>
    <col min="54" max="54" width="11.625" style="2836" bestFit="1" customWidth="1"/>
    <col min="55" max="55" width="13.5" style="2836" bestFit="1" customWidth="1"/>
    <col min="56" max="16384" width="9" style="2836"/>
  </cols>
  <sheetData>
    <row r="1" spans="1:55" s="2847" customFormat="1" ht="16.5" thickBot="1">
      <c r="A1" s="2845" t="s">
        <v>2653</v>
      </c>
      <c r="B1" s="2846" t="s">
        <v>2750</v>
      </c>
    </row>
    <row r="2" spans="1:55" s="2850" customFormat="1" ht="15" thickTop="1">
      <c r="A2" s="2848" t="s">
        <v>2657</v>
      </c>
      <c r="B2" s="2849" t="str">
        <f>'预评函-封皮'!B37</f>
        <v>海南省海口市秀英区西秀镇长德村出让国有建设用地使用权抵押价格预评估</v>
      </c>
      <c r="AX2" s="2851"/>
      <c r="AZ2" s="2851"/>
      <c r="BA2" s="2852"/>
      <c r="BC2" s="2852"/>
    </row>
    <row r="3" spans="1:55" s="2853" customFormat="1">
      <c r="A3" s="2832" t="s">
        <v>2658</v>
      </c>
      <c r="B3" s="2835">
        <f>'预评函-封皮'!B40</f>
        <v>0</v>
      </c>
    </row>
    <row r="4" spans="1:55" s="2834" customFormat="1">
      <c r="A4" s="2832" t="s">
        <v>2659</v>
      </c>
      <c r="B4" s="2833" t="str">
        <f>'预评函-封皮'!B46</f>
        <v>吴薇、郑燚</v>
      </c>
      <c r="N4" s="2834" t="str">
        <f>'预评函-1'!A28</f>
        <v>本次估价的“抵押净值”是指估价对象“抵押价格”减去估价对象在估价期日以“土地销售收入”为基数计算的预计抵押权实现进行处置时需缴纳的各项费用、税金等相关费用后的价格。</v>
      </c>
    </row>
    <row r="5" spans="1:55" s="2847" customFormat="1" ht="15" thickBot="1">
      <c r="A5" s="2854" t="s">
        <v>2660</v>
      </c>
      <c r="B5" s="2855" t="str">
        <f>'预评函-封皮'!B49</f>
        <v>康正预评字号</v>
      </c>
    </row>
    <row r="6" spans="1:55" s="2856" customFormat="1" ht="15" thickTop="1">
      <c r="A6" s="2848" t="s">
        <v>2702</v>
      </c>
      <c r="B6" s="2849" t="str">
        <f>'预评函-1'!A4</f>
        <v>受贵公司委托，我公司对海南省海口市秀英区西秀镇长德村出让国有建设用地使用权抵押价格进行了预评估。</v>
      </c>
      <c r="AM6" s="2857"/>
    </row>
    <row r="7" spans="1:55" s="2831" customFormat="1">
      <c r="A7" s="2832" t="s">
        <v>2654</v>
      </c>
      <c r="B7" s="2833" t="str">
        <f>'预评函-1'!A6</f>
        <v>估价对象为使用的、位于海南省海口市秀英区西秀镇长德村出让国有建设用地使用权。根据《国有土地使用证》[]，估价对象（分摊）出让国有建设用地使用权面积为31784.92平方米。根据《建设工程规划许可证》[]、《出让合同》[]，估价对象规划建筑面积为79462.3平方米。</v>
      </c>
    </row>
    <row r="8" spans="1:55" s="2831" customFormat="1">
      <c r="A8" s="2832" t="s">
        <v>2655</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2705</v>
      </c>
      <c r="B9" s="2833" t="str">
        <f>'预评函-1'!A9</f>
        <v>拟使用海南省海口市秀英区西秀镇长德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1" customFormat="1">
      <c r="A10" s="2832" t="s">
        <v>2656</v>
      </c>
      <c r="B10" s="2833" t="str">
        <f>'预评函-1'!A11</f>
        <v>2020年2月7日（评估专业人员勘察现场之日）</v>
      </c>
    </row>
    <row r="11" spans="1:55" s="2831" customFormat="1">
      <c r="A11" s="2832" t="s">
        <v>2662</v>
      </c>
      <c r="B11" s="2833" t="str">
        <f>'预评函-1'!A14</f>
        <v>根据《国有土地使用证》[]，本次评估估价对象证载（地类）用途为。</v>
      </c>
    </row>
    <row r="12" spans="1:55" s="2831" customFormat="1">
      <c r="A12" s="2832" t="s">
        <v>2663</v>
      </c>
      <c r="B12" s="2833" t="str">
        <f>'预评函-1'!A15</f>
        <v>本次评估设定用途即为证载用途。</v>
      </c>
    </row>
    <row r="13" spans="1:55" s="2831" customFormat="1">
      <c r="A13" s="2832" t="s">
        <v>2664</v>
      </c>
      <c r="B13" s="2833" t="str">
        <f>'预评函-1'!A17</f>
        <v>根据委托估价方介绍及评估专业人员现场勘查，本次评估估价对象实际土地开发程度为红线外市政基础设施达“七通”（即、、、、、、）、宗地红线内场地平整。</v>
      </c>
    </row>
    <row r="14" spans="1:55" s="2831" customFormat="1">
      <c r="A14" s="2832" t="s">
        <v>2665</v>
      </c>
      <c r="B14" s="2833" t="str">
        <f>'预评函-1'!A18</f>
        <v>。本次评估设定土地开发程度为红线外市政基础设施达“七通”、宗地红线内场地平整。</v>
      </c>
    </row>
    <row r="15" spans="1:55" s="2831" customFormat="1">
      <c r="A15" s="2832" t="s">
        <v>2661</v>
      </c>
      <c r="B15" s="2833" t="str">
        <f>'预评函-1'!A20</f>
        <v>根据《国有土地使用证》[]，估价对象（分摊）出让国有建设用地使用权面积为31784.92平方米。根据《建设工程规划许可证》[]、《出让合同》[]，估价对象规划建筑面积为79462.3平方米。</v>
      </c>
    </row>
    <row r="16" spans="1:55" s="2831" customFormat="1">
      <c r="A16" s="2832" t="s">
        <v>2666</v>
      </c>
      <c r="B16" s="2833" t="str">
        <f>'预评函-1'!A22</f>
        <v>本次估价对象为出让国有建设用地使用权，《国有土地使用证》[]证载土地终止日期为住宅2088年2月11日、商业2058年2月11日。截至估价期日，出让国有建设用地使用权剩余土地使用年限为。</v>
      </c>
    </row>
    <row r="17" spans="1:48" s="2831" customFormat="1">
      <c r="A17" s="2832" t="s">
        <v>2667</v>
      </c>
      <c r="B17" s="2833" t="str">
        <f>'预评函-1'!A23</f>
        <v>本次评估设定估价对象剩余土地使用年限为。</v>
      </c>
    </row>
    <row r="18" spans="1:48" s="2831" customFormat="1">
      <c r="A18" s="2832" t="s">
        <v>2668</v>
      </c>
      <c r="B18" s="2833" t="str">
        <f>'预评函-1'!A25</f>
        <v>本次估价的“出让国有建设用地使用权价格”是指在估价对象土地所有权为国家所有，使用权性质为出让，在公开市场条件下、于估价期日2020年2月7日，在规划利用条件下、设定土地开发程度为红线外“七通”、宗地内场地，设定用途为，剩余土地使用年限为的出让国有建设用地使用权价格。</v>
      </c>
    </row>
    <row r="19" spans="1:48" s="2831" customFormat="1">
      <c r="A19" s="2832" t="s">
        <v>2669</v>
      </c>
      <c r="B19" s="2833" t="str">
        <f>'预评函-1'!A26</f>
        <v>本次估价的“抵押价格”是指估价对象在估价期日的“出让国有建设用地使用权价格”扣减估价师于估价期日所知悉的法定优先受偿款后的余额。</v>
      </c>
    </row>
    <row r="20" spans="1:48" s="2831" customFormat="1">
      <c r="A20" s="2832" t="s">
        <v>2670</v>
      </c>
      <c r="B20" s="28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7" customFormat="1" ht="15" thickBot="1">
      <c r="A21" s="2854" t="s">
        <v>2671</v>
      </c>
      <c r="B21" s="285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3" t="s">
        <v>2672</v>
      </c>
      <c r="B22" s="28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2" t="s">
        <v>2673</v>
      </c>
      <c r="B23" s="2833" t="str">
        <f>'预评函-2'!K2</f>
        <v>估价期日：2020年2月7日</v>
      </c>
    </row>
    <row r="24" spans="1:48">
      <c r="A24" s="2832" t="s">
        <v>2674</v>
      </c>
      <c r="B24" s="2833" t="str">
        <f>'预评函-2'!R2</f>
        <v>估价期日的国有建设用地使用权性质：出让</v>
      </c>
    </row>
    <row r="25" spans="1:48">
      <c r="A25" s="2832" t="s">
        <v>2730</v>
      </c>
      <c r="B25" s="2833" t="str">
        <f>'预评函-2'!A3</f>
        <v>估价期日土地使用者</v>
      </c>
    </row>
    <row r="26" spans="1:48">
      <c r="A26" s="2832" t="s">
        <v>2706</v>
      </c>
      <c r="B26" s="2833" t="str">
        <f>'预评函-2'!A5</f>
        <v>中信开发</v>
      </c>
    </row>
    <row r="27" spans="1:48">
      <c r="A27" s="2832" t="s">
        <v>2731</v>
      </c>
      <c r="B27" s="2833" t="str">
        <f>'预评函-2'!B3</f>
        <v>宗地编号/不动产单元号</v>
      </c>
    </row>
    <row r="28" spans="1:48">
      <c r="A28" s="2832" t="s">
        <v>2707</v>
      </c>
      <c r="B28" s="2833" t="str">
        <f>'预评函-2'!B5</f>
        <v>11111111111</v>
      </c>
    </row>
    <row r="29" spans="1:48">
      <c r="A29" s="2832" t="s">
        <v>2733</v>
      </c>
      <c r="B29" s="2833">
        <f>'预评函-2'!C5</f>
        <v>22</v>
      </c>
    </row>
    <row r="30" spans="1:48">
      <c r="A30" s="2832" t="s">
        <v>2734</v>
      </c>
      <c r="B30" s="2833" t="str">
        <f>'预评函-2'!D3</f>
        <v>土地使用证编号/不动产权证书编号</v>
      </c>
    </row>
    <row r="31" spans="1:48">
      <c r="A31" s="2832" t="s">
        <v>2708</v>
      </c>
      <c r="B31" s="2833" t="str">
        <f>'预评函-2'!D5</f>
        <v>京国土字第111号</v>
      </c>
    </row>
    <row r="32" spans="1:48">
      <c r="A32" s="2832" t="s">
        <v>2709</v>
      </c>
      <c r="B32" s="2833">
        <f>'预评函-2'!E5</f>
        <v>0</v>
      </c>
      <c r="AV32" s="2837"/>
    </row>
    <row r="33" spans="1:2">
      <c r="A33" s="2832" t="s">
        <v>2710</v>
      </c>
      <c r="B33" s="2833">
        <f>'预评函-2'!F5</f>
        <v>258</v>
      </c>
    </row>
    <row r="34" spans="1:2">
      <c r="A34" s="2832" t="s">
        <v>2711</v>
      </c>
      <c r="B34" s="2833">
        <f>'预评函-2'!G5</f>
        <v>0</v>
      </c>
    </row>
    <row r="35" spans="1:2">
      <c r="A35" s="2832" t="s">
        <v>2712</v>
      </c>
      <c r="B35" s="2833">
        <f>'预评函-2'!H5</f>
        <v>1.5</v>
      </c>
    </row>
    <row r="36" spans="1:2">
      <c r="A36" s="2832" t="s">
        <v>2713</v>
      </c>
      <c r="B36" s="2833">
        <f>'预评函-2'!I5</f>
        <v>1.5</v>
      </c>
    </row>
    <row r="37" spans="1:2">
      <c r="A37" s="2832" t="s">
        <v>2714</v>
      </c>
      <c r="B37" s="2833">
        <f>'预评函-2'!J5</f>
        <v>1.5</v>
      </c>
    </row>
    <row r="38" spans="1:2">
      <c r="A38" s="2832" t="s">
        <v>2715</v>
      </c>
      <c r="B38" s="2833" t="str">
        <f>'预评函-2'!K5</f>
        <v>红线外七通、宗地红线内</v>
      </c>
    </row>
    <row r="39" spans="1:2">
      <c r="A39" s="2832" t="s">
        <v>2716</v>
      </c>
      <c r="B39" s="2833" t="str">
        <f>'预评函-2'!L5</f>
        <v>红线外七通、宗地红线内场地</v>
      </c>
    </row>
    <row r="40" spans="1:2">
      <c r="A40" s="2832" t="s">
        <v>2735</v>
      </c>
      <c r="B40" s="2833" t="str">
        <f>'预评函-2'!M3</f>
        <v>（剩余）土地使用年限/年</v>
      </c>
    </row>
    <row r="41" spans="1:2">
      <c r="A41" s="2832" t="s">
        <v>2717</v>
      </c>
      <c r="B41" s="2833">
        <f>'预评函-2'!M5</f>
        <v>0</v>
      </c>
    </row>
    <row r="42" spans="1:2">
      <c r="A42" s="2832" t="s">
        <v>2736</v>
      </c>
      <c r="B42" s="2833" t="str">
        <f>'预评函-2'!N3</f>
        <v>（分摊）出让国有建设用地使用权面积/㎡</v>
      </c>
    </row>
    <row r="43" spans="1:2">
      <c r="A43" s="2832" t="s">
        <v>2718</v>
      </c>
      <c r="B43" s="2833">
        <f>'预评函-2'!N5</f>
        <v>31784.92</v>
      </c>
    </row>
    <row r="44" spans="1:2">
      <c r="A44" s="2832" t="s">
        <v>2737</v>
      </c>
      <c r="B44" s="2833" t="str">
        <f>'预评函-2'!O3</f>
        <v>规划建筑面积/㎡</v>
      </c>
    </row>
    <row r="45" spans="1:2">
      <c r="A45" s="2832" t="s">
        <v>2719</v>
      </c>
      <c r="B45" s="2833">
        <f>'预评函-2'!O5</f>
        <v>79462.3</v>
      </c>
    </row>
    <row r="46" spans="1:2">
      <c r="A46" s="2832" t="s">
        <v>2720</v>
      </c>
      <c r="B46" s="2833">
        <f ca="1">'预评函-2'!P5</f>
        <v>14219</v>
      </c>
    </row>
    <row r="47" spans="1:2">
      <c r="A47" s="2832" t="s">
        <v>2721</v>
      </c>
      <c r="B47" s="2833">
        <f ca="1">'预评函-2'!Q5</f>
        <v>5688</v>
      </c>
    </row>
    <row r="48" spans="1:2">
      <c r="A48" s="2832" t="s">
        <v>2722</v>
      </c>
      <c r="B48" s="2833">
        <f ca="1">'预评函-2'!R5</f>
        <v>45196</v>
      </c>
    </row>
    <row r="49" spans="1:2">
      <c r="A49" s="2832" t="s">
        <v>2738</v>
      </c>
      <c r="B49" s="2833" t="str">
        <f>'预评函-2'!A6</f>
        <v>抵押价格</v>
      </c>
    </row>
    <row r="50" spans="1:2">
      <c r="A50" s="2832" t="s">
        <v>2723</v>
      </c>
      <c r="B50" s="2833">
        <f ca="1">'预评函-2'!R6</f>
        <v>45196</v>
      </c>
    </row>
    <row r="51" spans="1:2">
      <c r="A51" s="2832" t="s">
        <v>2739</v>
      </c>
      <c r="B51" s="2833" t="str">
        <f>'预评函-2'!A7</f>
        <v>——</v>
      </c>
    </row>
    <row r="52" spans="1:2">
      <c r="A52" s="2832" t="s">
        <v>2724</v>
      </c>
      <c r="B52" s="2833" t="str">
        <f>'预评函-2'!R7</f>
        <v>——</v>
      </c>
    </row>
    <row r="53" spans="1:2">
      <c r="A53" s="2832" t="s">
        <v>2740</v>
      </c>
      <c r="B53" s="2833" t="str">
        <f>'预评函-2'!A8</f>
        <v>抵押净值</v>
      </c>
    </row>
    <row r="54" spans="1:2" s="2847" customFormat="1" ht="15" thickBot="1">
      <c r="A54" s="2854" t="s">
        <v>2725</v>
      </c>
      <c r="B54" s="2855">
        <f ca="1">'预评函-2'!R8</f>
        <v>24434</v>
      </c>
    </row>
    <row r="55" spans="1:2" ht="15" thickTop="1">
      <c r="A55" s="2843" t="s">
        <v>2675</v>
      </c>
      <c r="B55" s="2844" t="str">
        <f>'预评函-3'!A2</f>
        <v>1.权利限制：根据估价对象《不动产权证书》原件、《国有土地使用权》复印件，截至估价期日，估价对象抵押权未见登记。未设定租赁等其他他项权利。</v>
      </c>
    </row>
    <row r="56" spans="1:2">
      <c r="A56" s="2832" t="s">
        <v>2676</v>
      </c>
      <c r="B56" s="2833" t="str">
        <f>'预评函-3'!A3</f>
        <v>2.基础设施条件：估价对象实际开发程度为红线外七通、宗地红线内；本次评估设定开发程度为红线外七通、宗地红线内场地。</v>
      </c>
    </row>
    <row r="57" spans="1:2">
      <c r="A57" s="2832" t="s">
        <v>2677</v>
      </c>
      <c r="B57" s="2833" t="str">
        <f>'预评函-3'!A4</f>
        <v>3.估价规划限制条件：详见《建设工程规划许可证》[]、《出让合同》[]。</v>
      </c>
    </row>
    <row r="58" spans="1:2" s="2847" customFormat="1" ht="15" thickBot="1">
      <c r="A58" s="2854" t="s">
        <v>2726</v>
      </c>
      <c r="B58" s="2855" t="str">
        <f>'预评函-3'!A5</f>
        <v>4.影响价格的其他限定条件：无。</v>
      </c>
    </row>
    <row r="59" spans="1:2" ht="15" thickTop="1">
      <c r="A59" s="2843" t="s">
        <v>2678</v>
      </c>
      <c r="B59" s="2844" t="str">
        <f>'预评函-3'!A8</f>
        <v>2.本《评估意见函》仅供金融机构进行内部审核使用，不做其他目的之用。</v>
      </c>
    </row>
    <row r="60" spans="1:2">
      <c r="A60" s="2832" t="s">
        <v>2679</v>
      </c>
      <c r="B60" s="2833" t="str">
        <f>'预评函-3'!A9</f>
        <v>3.抵押双方在办理抵押登记手续时，应使用本公司出具的正式《土地估价报告》，特提请报告使用者注意。</v>
      </c>
    </row>
    <row r="61" spans="1:2">
      <c r="A61" s="2832" t="s">
        <v>2681</v>
      </c>
      <c r="B61" s="2833" t="str">
        <f>'预评函-3'!A10</f>
        <v>4.估价师所知悉的法定优先受偿款情况为：</v>
      </c>
    </row>
    <row r="62" spans="1:2">
      <c r="A62" s="2832" t="s">
        <v>2680</v>
      </c>
      <c r="B62" s="283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2" t="s">
        <v>2682</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2683</v>
      </c>
      <c r="B64" s="2838" t="str">
        <f>'预评函-3'!A13</f>
        <v>（3）。</v>
      </c>
    </row>
    <row r="65" spans="1:2">
      <c r="A65" s="2832" t="s">
        <v>2684</v>
      </c>
      <c r="B65" s="2839" t="str">
        <f>'预评函-3'!A14</f>
        <v>综上，本次评估不存在估价师知悉的法定优先受偿款</v>
      </c>
    </row>
    <row r="66" spans="1:2">
      <c r="A66" s="2832" t="s">
        <v>2685</v>
      </c>
      <c r="B66" s="28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2686</v>
      </c>
      <c r="B67" s="28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5" thickBot="1">
      <c r="A68" s="2854" t="s">
        <v>2689</v>
      </c>
      <c r="B68" s="2858">
        <f>'预评函-3'!D30</f>
        <v>42558</v>
      </c>
    </row>
    <row r="69" spans="1:2" ht="15" thickTop="1">
      <c r="A69" s="2843" t="s">
        <v>2687</v>
      </c>
      <c r="B69" s="2844" t="str">
        <f>'预评函-3'!A20</f>
        <v>吴薇</v>
      </c>
    </row>
    <row r="70" spans="1:2">
      <c r="A70" s="2832" t="s">
        <v>2687</v>
      </c>
      <c r="B70" s="2839">
        <f ca="1">'预评函-3'!B20</f>
        <v>2002110125</v>
      </c>
    </row>
    <row r="71" spans="1:2">
      <c r="A71" s="2832" t="s">
        <v>2688</v>
      </c>
      <c r="B71" s="2833" t="str">
        <f>'预评函-3'!A21</f>
        <v>郑燚</v>
      </c>
    </row>
    <row r="72" spans="1:2" s="2847" customFormat="1" ht="15" thickBot="1">
      <c r="A72" s="2854" t="s">
        <v>2688</v>
      </c>
      <c r="B72" s="2860">
        <f ca="1">'预评函-3'!B21</f>
        <v>2014110011</v>
      </c>
    </row>
    <row r="73" spans="1:2" ht="15" thickTop="1">
      <c r="A73" s="2843" t="s">
        <v>2747</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2748</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5" thickBot="1">
      <c r="A75" s="2854" t="s">
        <v>2749</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1" t="s">
        <v>2784</v>
      </c>
      <c r="B76" s="284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1901</v>
      </c>
      <c r="B36" s="1639" t="s">
        <v>1902</v>
      </c>
    </row>
    <row r="37" spans="1:9" ht="28.5" customHeight="1">
      <c r="A37" s="1639"/>
      <c r="B37" s="3256" t="str">
        <f>项目基本情况!B1</f>
        <v>海南省海口市秀英区西秀镇长德村出让国有建设用地使用权抵押价格预评估</v>
      </c>
      <c r="C37" s="3256"/>
      <c r="D37" s="3256"/>
      <c r="E37" s="3256"/>
      <c r="F37" s="3256"/>
      <c r="G37" s="3256"/>
      <c r="H37" s="3256"/>
      <c r="I37" s="3256"/>
    </row>
    <row r="38" spans="1:9">
      <c r="A38" s="1641"/>
      <c r="B38" s="1641"/>
    </row>
    <row r="39" spans="1:9">
      <c r="A39" s="1639" t="s">
        <v>1901</v>
      </c>
      <c r="B39" s="1639" t="s">
        <v>2046</v>
      </c>
    </row>
    <row r="40" spans="1:9">
      <c r="A40" s="1639"/>
      <c r="B40" s="1639">
        <f>项目基本情况!B5</f>
        <v>0</v>
      </c>
    </row>
    <row r="41" spans="1:9">
      <c r="A41" s="1639"/>
      <c r="B41" s="1639"/>
    </row>
    <row r="42" spans="1:9">
      <c r="A42" s="1639" t="s">
        <v>1901</v>
      </c>
      <c r="B42" s="1639" t="s">
        <v>2047</v>
      </c>
    </row>
    <row r="43" spans="1:9">
      <c r="A43" s="1639"/>
      <c r="B43" s="1639" t="s">
        <v>1903</v>
      </c>
    </row>
    <row r="44" spans="1:9">
      <c r="A44" s="1639"/>
      <c r="B44" s="1639"/>
    </row>
    <row r="45" spans="1:9">
      <c r="A45" s="1639" t="s">
        <v>1901</v>
      </c>
      <c r="B45" s="1639" t="s">
        <v>2045</v>
      </c>
    </row>
    <row r="46" spans="1:9" s="1639" customFormat="1" ht="12.75">
      <c r="B46" s="1639" t="str">
        <f>项目基本情况!K4</f>
        <v>吴薇、郑燚</v>
      </c>
    </row>
    <row r="47" spans="1:9">
      <c r="A47" s="1639"/>
      <c r="B47" s="1639"/>
    </row>
    <row r="48" spans="1:9">
      <c r="A48" s="1639" t="s">
        <v>1901</v>
      </c>
      <c r="B48" s="1639" t="s">
        <v>2048</v>
      </c>
    </row>
    <row r="49" spans="2:2">
      <c r="B49" s="163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1904</v>
      </c>
    </row>
    <row r="2" spans="1:4">
      <c r="A2" s="1764"/>
    </row>
    <row r="3" spans="1:4" ht="18.75">
      <c r="A3" s="1782" t="str">
        <f>项目基本情况!B5&amp;"："</f>
        <v>：</v>
      </c>
    </row>
    <row r="4" spans="1:4" ht="37.5">
      <c r="A4" s="1776" t="str">
        <f>"受贵公司委托，我公司对"&amp;项目基本情况!K2&amp;项目基本情况!B9&amp;"进行了预评估。"</f>
        <v>受贵公司委托，我公司对海南省海口市秀英区西秀镇长德村出让国有建设用地使用权抵押价格进行了预评估。</v>
      </c>
    </row>
    <row r="5" spans="1:4" ht="18.75">
      <c r="A5" s="1779" t="s">
        <v>1905</v>
      </c>
    </row>
    <row r="6" spans="1:4" ht="7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海南省海口市秀英区西秀镇长德村出让国有建设用地使用权。根据《国有土地使用证》[]，估价对象（分摊）出让国有建设用地使用权面积为31784.92平方米。根据《建设工程规划许可证》[]、《出让合同》[]，估价对象规划建筑面积为79462.3平方米。</v>
      </c>
    </row>
    <row r="7" spans="1:4" ht="56.25">
      <c r="A7" s="1780" t="s">
        <v>2744</v>
      </c>
    </row>
    <row r="8" spans="1:4" ht="18.75">
      <c r="A8" s="1779" t="s">
        <v>1906</v>
      </c>
    </row>
    <row r="9" spans="1:4" ht="75">
      <c r="A9" s="1781" t="str">
        <f>IF(项目基本情况!B8="抵押",IF(项目基本情况!B5=项目基本情况!B6,定义!C51,定义!B51),定义!D51)</f>
        <v>拟使用海南省海口市秀英区西秀镇长德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2" t="s">
        <v>2026</v>
      </c>
    </row>
    <row r="11" spans="1:4" ht="18.75">
      <c r="A11" s="1765" t="str">
        <f>TEXT(项目基本情况!D3,"yyyy年m月d日;;")&amp;IF(项目基本情况!B3=项目基本情况!D3,"（评估专业人员勘察现场之日）","")</f>
        <v>2020年2月7日（评估专业人员勘察现场之日）</v>
      </c>
    </row>
    <row r="12" spans="1:4" ht="18.75">
      <c r="A12" s="1782" t="s">
        <v>2025</v>
      </c>
    </row>
    <row r="13" spans="1:4" ht="18.75">
      <c r="A13" s="1776" t="s">
        <v>2934</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2072</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6" t="s">
        <v>2073</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根据《国有土地使用证》[]，估价对象（分摊）出让国有建设用地使用权面积为31784.92平方米。根据《建设工程规划许可证》[]、《出让合同》[]，估价对象规划建筑面积为79462.3平方米。</v>
      </c>
    </row>
    <row r="21" spans="1:1" ht="18.75">
      <c r="A21" s="1776" t="s">
        <v>2074</v>
      </c>
    </row>
    <row r="22" spans="1:1" ht="56.2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本次估价对象为出让国有建设用地使用权，《国有土地使用证》[]证载土地终止日期为住宅2088年2月11日、商业2058年2月11日。截至估价期日，出让国有建设用地使用权剩余土地使用年限为。</v>
      </c>
    </row>
    <row r="23" spans="1:1" ht="18.75">
      <c r="A23" s="1776" t="str">
        <f>IF(项目基本情况!B16="出让","本次评估设定估价对象剩余土地使用年限为"&amp;项目基本情况!D20&amp;"。","")</f>
        <v>本次评估设定估价对象剩余土地使用年限为。</v>
      </c>
    </row>
    <row r="24" spans="1:1" ht="18.75">
      <c r="A24" s="1776" t="s">
        <v>2075</v>
      </c>
    </row>
    <row r="25" spans="1:1" ht="75">
      <c r="A25" s="1776" t="str">
        <f>定义!C53</f>
        <v>本次估价的“出让国有建设用地使用权价格”是指在估价对象土地所有权为国家所有，使用权性质为出让，在公开市场条件下、于估价期日2020年2月7日，在规划利用条件下、设定土地开发程度为红线外“七通”、宗地内场地，设定用途为，剩余土地使用年限为的出让国有建设用地使用权价格。</v>
      </c>
    </row>
    <row r="26" spans="1:1" ht="37.5">
      <c r="A26" s="17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2027</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1904</v>
      </c>
    </row>
    <row r="2" spans="1:4">
      <c r="A2" s="1764"/>
    </row>
    <row r="3" spans="1:4" ht="18.75">
      <c r="A3" s="1782" t="str">
        <f>项目基本情况!B5&amp;"："</f>
        <v>：</v>
      </c>
    </row>
    <row r="4" spans="1:4" ht="37.5">
      <c r="A4" s="1776" t="str">
        <f>"受贵公司委托，我公司对"&amp;项目基本情况!K2&amp;项目基本情况!B9&amp;"进行了预评估。"</f>
        <v>受贵公司委托，我公司对海南省海口市秀英区西秀镇长德村出让国有建设用地使用权抵押价格进行了预评估。</v>
      </c>
    </row>
    <row r="5" spans="1:4" ht="18.75">
      <c r="A5" s="1779" t="s">
        <v>1905</v>
      </c>
    </row>
    <row r="6" spans="1:4" ht="7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海南省海口市秀英区西秀镇长德村出让国有建设用地使用权。根据《国有土地使用证》[]，估价对象（分摊）出让国有建设用地使用权面积为31784.92平方米。根据《建设工程规划许可证》[]、《出让合同》[]，估价对象规划建筑面积为79462.3平方米。</v>
      </c>
    </row>
    <row r="7" spans="1:4" ht="93.75">
      <c r="A7" s="2828" t="s">
        <v>2745</v>
      </c>
    </row>
    <row r="8" spans="1:4" ht="18.75">
      <c r="A8" s="1779" t="s">
        <v>1906</v>
      </c>
    </row>
    <row r="9" spans="1:4" ht="75">
      <c r="A9" s="1781" t="str">
        <f>IF(项目基本情况!B8="抵押",IF(项目基本情况!B5=项目基本情况!B6,定义!C51,定义!B51),定义!D51)</f>
        <v>拟使用海南省海口市秀英区西秀镇长德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2" t="s">
        <v>2026</v>
      </c>
    </row>
    <row r="11" spans="1:4" ht="18.75">
      <c r="A11" s="1765" t="str">
        <f>TEXT(项目基本情况!D3,"yyyy年m月d日;;")&amp;IF(项目基本情况!B3=项目基本情况!D3,"（评估专业人员勘察现场之日）","")</f>
        <v>2020年2月7日（评估专业人员勘察现场之日）</v>
      </c>
    </row>
    <row r="12" spans="1:4" ht="18.75">
      <c r="A12" s="1782" t="s">
        <v>2025</v>
      </c>
    </row>
    <row r="13" spans="1:4" ht="18.75">
      <c r="A13" s="1776" t="s">
        <v>2071</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2072</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6" t="s">
        <v>2073</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根据《国有土地使用证》[]，估价对象（分摊）出让国有建设用地使用权面积为31784.92平方米。根据《建设工程规划许可证》[]、《出让合同》[]，估价对象规划建筑面积为79462.3平方米。</v>
      </c>
    </row>
    <row r="21" spans="1:1" ht="93.75">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2074</v>
      </c>
    </row>
    <row r="23" spans="1:1" ht="18.75">
      <c r="A23" s="2830" t="s">
        <v>2746</v>
      </c>
    </row>
    <row r="24" spans="1:1" ht="18.75">
      <c r="A24" s="1776" t="s">
        <v>2075</v>
      </c>
    </row>
    <row r="25" spans="1:1" ht="75">
      <c r="A25" s="1776" t="str">
        <f>定义!C53</f>
        <v>本次估价的“出让国有建设用地使用权价格”是指在估价对象土地所有权为国家所有，使用权性质为出让，在公开市场条件下、于估价期日2020年2月7日，在规划利用条件下、设定土地开发程度为红线外“七通”、宗地内场地，设定用途为，剩余土地使用年限为的出让国有建设用地使用权价格。</v>
      </c>
    </row>
    <row r="26" spans="1:1" ht="37.5">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2027</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60" t="s">
        <v>2038</v>
      </c>
      <c r="B1" s="3260"/>
      <c r="C1" s="3260"/>
      <c r="D1" s="3260"/>
      <c r="E1" s="3260"/>
      <c r="F1" s="3260"/>
      <c r="G1" s="3260"/>
      <c r="H1" s="3260"/>
      <c r="I1" s="3260"/>
      <c r="J1" s="3260"/>
      <c r="K1" s="3260"/>
      <c r="L1" s="3260"/>
      <c r="M1" s="3260"/>
      <c r="N1" s="3260"/>
      <c r="O1" s="3260"/>
      <c r="P1" s="3260"/>
      <c r="Q1" s="3260"/>
      <c r="R1" s="3260"/>
    </row>
    <row r="2" spans="1:18">
      <c r="A2" s="1792" t="s">
        <v>2040</v>
      </c>
      <c r="B2" s="1792"/>
      <c r="C2" s="1792"/>
      <c r="D2" s="1792"/>
      <c r="E2" s="1792"/>
      <c r="F2" s="1792"/>
      <c r="G2" s="1792"/>
      <c r="H2" s="1792"/>
      <c r="I2" s="1793"/>
      <c r="J2" s="1793"/>
      <c r="K2" s="1794" t="str">
        <f>"估价期日："&amp;TEXT(项目基本情况!D3,"yyyy年m月d日;;")</f>
        <v>估价期日：2020年2月7日</v>
      </c>
      <c r="L2" s="1792"/>
      <c r="M2" s="1792"/>
      <c r="N2" s="1792"/>
      <c r="O2" s="1792"/>
      <c r="P2" s="1792"/>
      <c r="Q2" s="1792"/>
      <c r="R2" s="1794" t="str">
        <f>"估价期日的国有建设用地使用权性质："&amp;项目基本情况!B16</f>
        <v>估价期日的国有建设用地使用权性质：出让</v>
      </c>
    </row>
    <row r="3" spans="1:18" ht="23.25" customHeight="1">
      <c r="A3" s="3261" t="s">
        <v>2029</v>
      </c>
      <c r="B3" s="3261" t="s">
        <v>2728</v>
      </c>
      <c r="C3" s="3262" t="s">
        <v>2030</v>
      </c>
      <c r="D3" s="3261" t="s">
        <v>2732</v>
      </c>
      <c r="E3" s="3264" t="s">
        <v>2031</v>
      </c>
      <c r="F3" s="3264"/>
      <c r="G3" s="3264"/>
      <c r="H3" s="3264" t="s">
        <v>2032</v>
      </c>
      <c r="I3" s="3264"/>
      <c r="J3" s="3264"/>
      <c r="K3" s="3262" t="s">
        <v>2033</v>
      </c>
      <c r="L3" s="3262" t="s">
        <v>2034</v>
      </c>
      <c r="M3" s="3261" t="s">
        <v>2729</v>
      </c>
      <c r="N3" s="3263" t="str">
        <f>"（分摊）"&amp;项目基本情况!B16&amp;"国有建设用地使用权面积/㎡"</f>
        <v>（分摊）出让国有建设用地使用权面积/㎡</v>
      </c>
      <c r="O3" s="3261" t="s">
        <v>2063</v>
      </c>
      <c r="P3" s="3262" t="s">
        <v>2043</v>
      </c>
      <c r="Q3" s="3262" t="s">
        <v>2064</v>
      </c>
      <c r="R3" s="3262" t="s">
        <v>2035</v>
      </c>
    </row>
    <row r="4" spans="1:18" ht="36.75" customHeight="1">
      <c r="A4" s="3261"/>
      <c r="B4" s="3261"/>
      <c r="C4" s="3262"/>
      <c r="D4" s="3261"/>
      <c r="E4" s="2613" t="s">
        <v>2042</v>
      </c>
      <c r="F4" s="2613" t="s">
        <v>2741</v>
      </c>
      <c r="G4" s="2613" t="s">
        <v>2036</v>
      </c>
      <c r="H4" s="2613" t="s">
        <v>2037</v>
      </c>
      <c r="I4" s="2613" t="s">
        <v>2742</v>
      </c>
      <c r="J4" s="2613" t="s">
        <v>2036</v>
      </c>
      <c r="K4" s="3262"/>
      <c r="L4" s="3262"/>
      <c r="M4" s="3261"/>
      <c r="N4" s="3263"/>
      <c r="O4" s="3261"/>
      <c r="P4" s="3262"/>
      <c r="Q4" s="3262"/>
      <c r="R4" s="3262"/>
    </row>
    <row r="5" spans="1:18" ht="135" customHeight="1">
      <c r="A5" s="1928" t="s">
        <v>2652</v>
      </c>
      <c r="B5" s="2822" t="s">
        <v>2650</v>
      </c>
      <c r="C5" s="2612">
        <v>22</v>
      </c>
      <c r="D5" s="2611" t="s">
        <v>2651</v>
      </c>
      <c r="E5" s="1795">
        <f>项目基本情况!B12</f>
        <v>0</v>
      </c>
      <c r="F5" s="2611">
        <v>258</v>
      </c>
      <c r="G5" s="1795">
        <f>项目基本情况!B13</f>
        <v>0</v>
      </c>
      <c r="H5" s="2611">
        <v>1.5</v>
      </c>
      <c r="I5" s="2611">
        <v>1.5</v>
      </c>
      <c r="J5" s="2611">
        <v>1.5</v>
      </c>
      <c r="K5" s="1795" t="str">
        <f>"红线外"&amp;项目基本情况!T40&amp;"、宗地红线内"&amp;项目基本情况!B35</f>
        <v>红线外七通、宗地红线内</v>
      </c>
      <c r="L5" s="1795" t="str">
        <f>"红线外"&amp;项目基本情况!T40&amp;"、宗地红线内场地"&amp;项目基本情况!D36</f>
        <v>红线外七通、宗地红线内场地</v>
      </c>
      <c r="M5" s="1795">
        <f>IF(项目基本情况!B16="出让",项目基本情况!D20,"——")</f>
        <v>0</v>
      </c>
      <c r="N5" s="1795">
        <f>项目基本情况!C22</f>
        <v>31784.92</v>
      </c>
      <c r="O5" s="1795">
        <f>项目基本情况!C21</f>
        <v>79462.3</v>
      </c>
      <c r="P5" s="1795">
        <f ca="1">结果表!E42</f>
        <v>14219</v>
      </c>
      <c r="Q5" s="1795">
        <f ca="1">结果表!D42</f>
        <v>5688</v>
      </c>
      <c r="R5" s="1796">
        <f ca="1">结果表!C42</f>
        <v>45196</v>
      </c>
    </row>
    <row r="6" spans="1:18">
      <c r="A6" s="3257" t="str">
        <f>IF(项目基本情况!B9="市场价格","——","抵押价格")</f>
        <v>抵押价格</v>
      </c>
      <c r="B6" s="3258"/>
      <c r="C6" s="3258"/>
      <c r="D6" s="3258"/>
      <c r="E6" s="3258"/>
      <c r="F6" s="3258"/>
      <c r="G6" s="3258"/>
      <c r="H6" s="3258"/>
      <c r="I6" s="3258"/>
      <c r="J6" s="3258"/>
      <c r="K6" s="3258"/>
      <c r="L6" s="3258"/>
      <c r="M6" s="3258"/>
      <c r="N6" s="3258"/>
      <c r="O6" s="3258"/>
      <c r="P6" s="3258"/>
      <c r="Q6" s="3259"/>
      <c r="R6" s="1797">
        <f ca="1">结果表!O39</f>
        <v>45196</v>
      </c>
    </row>
    <row r="7" spans="1:18">
      <c r="A7" s="3257" t="str">
        <f>IF(项目基本情况!B9="市场价格","——",IF(项目基本情况!E8="已注销及未注销","抵押担保权已注销时的抵押价格","——"))</f>
        <v>——</v>
      </c>
      <c r="B7" s="3258"/>
      <c r="C7" s="3258"/>
      <c r="D7" s="3258"/>
      <c r="E7" s="3258"/>
      <c r="F7" s="3258"/>
      <c r="G7" s="3258"/>
      <c r="H7" s="3258"/>
      <c r="I7" s="3258"/>
      <c r="J7" s="3258"/>
      <c r="K7" s="3258"/>
      <c r="L7" s="3258"/>
      <c r="M7" s="3258"/>
      <c r="N7" s="3258"/>
      <c r="O7" s="3258"/>
      <c r="P7" s="3258"/>
      <c r="Q7" s="3259"/>
      <c r="R7" s="1797" t="str">
        <f>结果表!O40</f>
        <v>——</v>
      </c>
    </row>
    <row r="8" spans="1:18">
      <c r="A8" s="3257" t="str">
        <f>IF(项目基本情况!B9="市场价格","——",项目基本情况!E9)</f>
        <v>抵押净值</v>
      </c>
      <c r="B8" s="3258"/>
      <c r="C8" s="3258"/>
      <c r="D8" s="3258"/>
      <c r="E8" s="3258"/>
      <c r="F8" s="3258"/>
      <c r="G8" s="3258"/>
      <c r="H8" s="3258"/>
      <c r="I8" s="3258"/>
      <c r="J8" s="3258"/>
      <c r="K8" s="3258"/>
      <c r="L8" s="3258"/>
      <c r="M8" s="3258"/>
      <c r="N8" s="3258"/>
      <c r="O8" s="3258"/>
      <c r="P8" s="3258"/>
      <c r="Q8" s="3259"/>
      <c r="R8" s="1797">
        <f ca="1">结果表!O41</f>
        <v>24434</v>
      </c>
    </row>
    <row r="9" spans="1:18">
      <c r="A9" s="1798" t="s">
        <v>2041</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2028</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7" customWidth="1"/>
    <col min="2" max="3" width="21.375" style="1787" customWidth="1"/>
    <col min="4" max="4" width="19.875" style="1787" customWidth="1"/>
    <col min="5" max="16384" width="9" style="1787"/>
  </cols>
  <sheetData>
    <row r="1" spans="1:4">
      <c r="A1" s="3266" t="s">
        <v>2065</v>
      </c>
      <c r="B1" s="3266"/>
      <c r="C1" s="3266"/>
      <c r="D1" s="3266"/>
    </row>
    <row r="2" spans="1:4" ht="47.25" customHeight="1">
      <c r="A2" s="3267" t="str">
        <f>"1.权利限制："&amp;项目基本情况!L24&amp;"未设定租赁等其他他项权利。"</f>
        <v>1.权利限制：根据估价对象《不动产权证书》原件、《国有土地使用权》复印件，截至估价期日，估价对象抵押权未见登记。未设定租赁等其他他项权利。</v>
      </c>
      <c r="B2" s="3267"/>
      <c r="C2" s="3267"/>
      <c r="D2" s="3267"/>
    </row>
    <row r="3" spans="1:4" ht="48" customHeight="1">
      <c r="A3" s="326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66"/>
      <c r="C3" s="3266"/>
      <c r="D3" s="3266"/>
    </row>
    <row r="4" spans="1:4" ht="36.75" customHeight="1">
      <c r="A4" s="3266" t="str">
        <f>"3.估价规划限制条件：详见"&amp;项目基本情况!E21&amp;"。"</f>
        <v>3.估价规划限制条件：详见《建设工程规划许可证》[]、《出让合同》[]。</v>
      </c>
      <c r="B4" s="3266"/>
      <c r="C4" s="3266"/>
      <c r="D4" s="3266"/>
    </row>
    <row r="5" spans="1:4">
      <c r="A5" s="3265" t="s">
        <v>2066</v>
      </c>
      <c r="B5" s="3265"/>
      <c r="C5" s="3265"/>
      <c r="D5" s="3265"/>
    </row>
    <row r="6" spans="1:4">
      <c r="A6" s="3266" t="s">
        <v>2044</v>
      </c>
      <c r="B6" s="3266"/>
      <c r="C6" s="3266"/>
      <c r="D6" s="3266"/>
    </row>
    <row r="7" spans="1:4" ht="33" customHeight="1">
      <c r="A7" s="3266" t="s">
        <v>2572</v>
      </c>
      <c r="B7" s="3266"/>
      <c r="C7" s="3266"/>
      <c r="D7" s="3266"/>
    </row>
    <row r="8" spans="1:4" ht="32.25" customHeight="1">
      <c r="A8" s="326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66"/>
      <c r="C8" s="3266"/>
      <c r="D8" s="3266"/>
    </row>
    <row r="9" spans="1:4" ht="33.75" customHeight="1">
      <c r="A9" s="326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66"/>
      <c r="C9" s="3266"/>
      <c r="D9" s="3266"/>
    </row>
    <row r="10" spans="1:4">
      <c r="A10" s="3266" t="str">
        <f>IF(项目基本情况!B8="抵押","4.估价师所知悉的法定优先受偿款情况为：","——")</f>
        <v>4.估价师所知悉的法定优先受偿款情况为：</v>
      </c>
      <c r="B10" s="3266"/>
      <c r="C10" s="3266"/>
      <c r="D10" s="3266"/>
    </row>
    <row r="11" spans="1:4" ht="37.5" customHeight="1">
      <c r="A11" s="326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68"/>
      <c r="C11" s="3268"/>
      <c r="D11" s="3268"/>
    </row>
    <row r="12" spans="1:4" ht="168" customHeight="1">
      <c r="A12" s="3265" t="s">
        <v>2068</v>
      </c>
      <c r="B12" s="3265"/>
      <c r="C12" s="3265"/>
      <c r="D12" s="3265"/>
    </row>
    <row r="13" spans="1:4">
      <c r="A13" s="3269" t="s">
        <v>2743</v>
      </c>
      <c r="B13" s="3269"/>
      <c r="C13" s="3269"/>
      <c r="D13" s="3269"/>
    </row>
    <row r="14" spans="1:4">
      <c r="A14" s="3268" t="str">
        <f>IF(项目基本情况!B8="抵押","综上，"&amp;结果表!K47,"——")</f>
        <v>综上，本次评估不存在估价师知悉的法定优先受偿款</v>
      </c>
      <c r="B14" s="3268"/>
      <c r="C14" s="3268"/>
      <c r="D14" s="3268"/>
    </row>
    <row r="15" spans="1:4" ht="58.5" customHeight="1">
      <c r="A15" s="326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66"/>
      <c r="C15" s="3266"/>
      <c r="D15" s="3266"/>
    </row>
    <row r="16" spans="1:4" ht="70.5" customHeight="1">
      <c r="A16" s="326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66"/>
      <c r="C16" s="3266"/>
      <c r="D16" s="3266"/>
    </row>
    <row r="17" spans="1:4">
      <c r="A17" s="3266" t="s">
        <v>2699</v>
      </c>
      <c r="B17" s="3266"/>
      <c r="C17" s="3266"/>
      <c r="D17" s="3266"/>
    </row>
    <row r="18" spans="1:4">
      <c r="A18" s="3266" t="s">
        <v>2691</v>
      </c>
      <c r="B18" s="3266"/>
      <c r="C18" s="3266"/>
      <c r="D18" s="3266"/>
    </row>
    <row r="19" spans="1:4">
      <c r="A19" s="2823" t="s">
        <v>2692</v>
      </c>
      <c r="B19" s="2823" t="s">
        <v>2693</v>
      </c>
      <c r="C19" s="2823" t="s">
        <v>2694</v>
      </c>
      <c r="D19" s="2823" t="s">
        <v>2695</v>
      </c>
    </row>
    <row r="20" spans="1:4">
      <c r="A20" s="2823" t="str">
        <f>项目基本情况!B4</f>
        <v>吴薇</v>
      </c>
      <c r="B20" s="2823">
        <f ca="1">项目基本情况!C4</f>
        <v>2002110125</v>
      </c>
      <c r="C20" s="2825"/>
      <c r="D20" s="1785" t="s">
        <v>2700</v>
      </c>
    </row>
    <row r="21" spans="1:4">
      <c r="A21" s="2823" t="str">
        <f>项目基本情况!D4</f>
        <v>郑燚</v>
      </c>
      <c r="B21" s="2823">
        <f ca="1">项目基本情况!E4</f>
        <v>2014110011</v>
      </c>
      <c r="C21" s="2825"/>
      <c r="D21" s="1785" t="s">
        <v>2701</v>
      </c>
    </row>
    <row r="23" spans="1:4">
      <c r="A23" s="3266" t="s">
        <v>2696</v>
      </c>
      <c r="B23" s="3266"/>
      <c r="C23" s="3266"/>
      <c r="D23" s="3266"/>
    </row>
    <row r="24" spans="1:4">
      <c r="A24" s="2823" t="s">
        <v>2692</v>
      </c>
      <c r="B24" s="2823" t="s">
        <v>2697</v>
      </c>
      <c r="C24" s="2823" t="s">
        <v>2694</v>
      </c>
      <c r="D24" s="2823" t="s">
        <v>2695</v>
      </c>
    </row>
    <row r="25" spans="1:4">
      <c r="A25" s="2826" t="s">
        <v>2698</v>
      </c>
      <c r="B25" s="2823" t="s">
        <v>952</v>
      </c>
      <c r="C25" s="2825"/>
      <c r="D25" s="1785" t="s">
        <v>2701</v>
      </c>
    </row>
    <row r="29" spans="1:4">
      <c r="D29" s="2824" t="s">
        <v>2039</v>
      </c>
    </row>
    <row r="30" spans="1:4">
      <c r="D30" s="282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277" t="s">
        <v>53</v>
      </c>
      <c r="B15" s="3278" t="s">
        <v>846</v>
      </c>
      <c r="C15" s="3274"/>
    </row>
    <row r="16" spans="1:7" ht="14.25">
      <c r="A16" s="3277"/>
      <c r="B16" s="3275" t="s">
        <v>54</v>
      </c>
      <c r="C16" s="1168" t="s">
        <v>53</v>
      </c>
    </row>
    <row r="17" spans="1:3" ht="14.25">
      <c r="A17" s="3277"/>
      <c r="B17" s="3275"/>
      <c r="C17" s="1168" t="s">
        <v>55</v>
      </c>
    </row>
    <row r="18" spans="1:3" ht="14.25">
      <c r="A18" s="3277"/>
      <c r="B18" s="3275"/>
      <c r="C18" s="1168" t="s">
        <v>56</v>
      </c>
    </row>
    <row r="19" spans="1:3" ht="14.25">
      <c r="A19" s="3277"/>
      <c r="B19" s="3273" t="s">
        <v>57</v>
      </c>
      <c r="C19" s="3274"/>
    </row>
    <row r="20" spans="1:3" ht="14.25">
      <c r="A20" s="1169" t="s">
        <v>58</v>
      </c>
      <c r="B20" s="1170"/>
      <c r="C20" s="1171"/>
    </row>
    <row r="21" spans="1:3" ht="14.25">
      <c r="A21" s="3276" t="s">
        <v>59</v>
      </c>
      <c r="B21" s="3273" t="s">
        <v>60</v>
      </c>
      <c r="C21" s="3274"/>
    </row>
    <row r="22" spans="1:3" ht="14.25">
      <c r="A22" s="3276"/>
      <c r="B22" s="3273" t="s">
        <v>61</v>
      </c>
      <c r="C22" s="3274"/>
    </row>
    <row r="23" spans="1:3" ht="14.25">
      <c r="A23" s="3276"/>
      <c r="B23" s="3273" t="s">
        <v>62</v>
      </c>
      <c r="C23" s="3274"/>
    </row>
    <row r="24" spans="1:3" ht="14.25">
      <c r="A24" s="3276"/>
      <c r="B24" s="3279" t="s">
        <v>63</v>
      </c>
      <c r="C24" s="1172" t="s">
        <v>837</v>
      </c>
    </row>
    <row r="25" spans="1:3" ht="14.25">
      <c r="A25" s="3276"/>
      <c r="B25" s="3280"/>
      <c r="C25" s="1172" t="s">
        <v>838</v>
      </c>
    </row>
    <row r="26" spans="1:3" ht="14.25">
      <c r="A26" s="3276"/>
      <c r="B26" s="3280"/>
      <c r="C26" s="1172" t="s">
        <v>839</v>
      </c>
    </row>
    <row r="27" spans="1:3" ht="14.25">
      <c r="A27" s="3276"/>
      <c r="B27" s="3280"/>
      <c r="C27" s="1172" t="s">
        <v>840</v>
      </c>
    </row>
    <row r="28" spans="1:3" ht="14.25">
      <c r="A28" s="3276"/>
      <c r="B28" s="3280"/>
      <c r="C28" s="1172" t="s">
        <v>841</v>
      </c>
    </row>
    <row r="29" spans="1:3" ht="14.25">
      <c r="A29" s="3276"/>
      <c r="B29" s="3280"/>
      <c r="C29" s="1172" t="s">
        <v>842</v>
      </c>
    </row>
    <row r="30" spans="1:3" ht="14.25">
      <c r="A30" s="3276"/>
      <c r="B30" s="3280"/>
      <c r="C30" s="1172" t="s">
        <v>843</v>
      </c>
    </row>
    <row r="31" spans="1:3" ht="14.25">
      <c r="A31" s="3276"/>
      <c r="B31" s="3280"/>
      <c r="C31" s="1172" t="s">
        <v>844</v>
      </c>
    </row>
    <row r="32" spans="1:3" ht="14.25">
      <c r="A32" s="3276"/>
      <c r="B32" s="3280"/>
      <c r="C32" s="1172" t="s">
        <v>1646</v>
      </c>
    </row>
    <row r="33" spans="1:3" ht="14.25">
      <c r="A33" s="3276"/>
      <c r="B33" s="3270" t="s">
        <v>1652</v>
      </c>
      <c r="C33" s="1172" t="s">
        <v>1647</v>
      </c>
    </row>
    <row r="34" spans="1:3" ht="14.25">
      <c r="A34" s="3276"/>
      <c r="B34" s="3271"/>
      <c r="C34" s="1177" t="s">
        <v>1648</v>
      </c>
    </row>
    <row r="35" spans="1:3" ht="14.25">
      <c r="A35" s="3276"/>
      <c r="B35" s="3271"/>
      <c r="C35" s="1178" t="s">
        <v>1649</v>
      </c>
    </row>
    <row r="36" spans="1:3" ht="14.25">
      <c r="A36" s="3276"/>
      <c r="B36" s="3271"/>
      <c r="C36" s="1178" t="s">
        <v>1650</v>
      </c>
    </row>
    <row r="37" spans="1:3" ht="14.25">
      <c r="A37" s="3276"/>
      <c r="B37" s="3272"/>
      <c r="C37" s="1179" t="s">
        <v>1651</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25" defaultRowHeight="20.25" customHeight="1"/>
  <cols>
    <col min="1" max="1" width="24.75" style="3125" customWidth="1"/>
    <col min="2" max="5" width="22.625" style="3125"/>
    <col min="6" max="6" width="25.625" style="3125" customWidth="1"/>
    <col min="7" max="16384" width="22.625" style="3125"/>
  </cols>
  <sheetData>
    <row r="2" spans="1:6" ht="20.25" customHeight="1">
      <c r="A2" s="3122" t="s">
        <v>1907</v>
      </c>
      <c r="B2" s="3123">
        <f ca="1">TODAY()</f>
        <v>43867</v>
      </c>
      <c r="C2" s="3124" t="s">
        <v>1908</v>
      </c>
      <c r="D2" s="3124"/>
    </row>
    <row r="3" spans="1:6" ht="20.25" customHeight="1">
      <c r="A3" s="3126" t="s">
        <v>1909</v>
      </c>
      <c r="B3" s="3127" t="s">
        <v>1910</v>
      </c>
      <c r="C3" s="3127" t="s">
        <v>1911</v>
      </c>
      <c r="D3" s="3128" t="s">
        <v>1912</v>
      </c>
      <c r="E3" s="3127" t="s">
        <v>1913</v>
      </c>
      <c r="F3" s="3127" t="s">
        <v>1911</v>
      </c>
    </row>
    <row r="4" spans="1:6" ht="20.25" customHeight="1">
      <c r="A4" s="3127" t="s">
        <v>1914</v>
      </c>
      <c r="B4" s="3127" t="str">
        <f ca="1">IF(C4&lt;B2,"已过期",1119970066)</f>
        <v>已过期</v>
      </c>
      <c r="C4" s="3129">
        <v>43849</v>
      </c>
      <c r="D4" s="3127" t="s">
        <v>1914</v>
      </c>
      <c r="E4" s="3127">
        <f ca="1">IF(F4&lt;B2,"已过期",96010014)</f>
        <v>96010014</v>
      </c>
      <c r="F4" s="3130">
        <v>47118</v>
      </c>
    </row>
    <row r="5" spans="1:6" ht="20.25" customHeight="1">
      <c r="A5" s="3127" t="s">
        <v>1915</v>
      </c>
      <c r="B5" s="3127" t="str">
        <f ca="1">IF(C5&lt;B2,"已过期",1119970074)</f>
        <v>已过期</v>
      </c>
      <c r="C5" s="3129">
        <v>43849</v>
      </c>
      <c r="D5" s="3127" t="s">
        <v>1915</v>
      </c>
      <c r="E5" s="3127">
        <f ca="1">IF(F5&lt;B2,"已过期",2002110027)</f>
        <v>2002110027</v>
      </c>
      <c r="F5" s="3130">
        <v>46752</v>
      </c>
    </row>
    <row r="6" spans="1:6" ht="20.25" customHeight="1">
      <c r="A6" s="3127" t="s">
        <v>1916</v>
      </c>
      <c r="B6" s="3127" t="str">
        <f ca="1">IF(C6&lt;B2,"已过期",1119970111)</f>
        <v>已过期</v>
      </c>
      <c r="C6" s="3129">
        <v>43849</v>
      </c>
      <c r="D6" s="3127" t="s">
        <v>1916</v>
      </c>
      <c r="E6" s="3127">
        <f ca="1">IF(F6&lt;B2,"已过期",94010078)</f>
        <v>94010078</v>
      </c>
      <c r="F6" s="3130">
        <v>46387</v>
      </c>
    </row>
    <row r="7" spans="1:6" ht="20.25" customHeight="1">
      <c r="A7" s="3127" t="s">
        <v>1917</v>
      </c>
      <c r="B7" s="3127">
        <f ca="1">IF(C7&lt;B2,"已过期",1120050019)</f>
        <v>1120050019</v>
      </c>
      <c r="C7" s="3129">
        <v>44395</v>
      </c>
      <c r="D7" s="3127" t="s">
        <v>1917</v>
      </c>
      <c r="E7" s="3127">
        <f ca="1">IF(F7&lt;B2,"已过期",2002110030)</f>
        <v>2002110030</v>
      </c>
      <c r="F7" s="3130">
        <v>46387</v>
      </c>
    </row>
    <row r="8" spans="1:6" ht="20.25" customHeight="1">
      <c r="A8" s="3127" t="s">
        <v>1918</v>
      </c>
      <c r="B8" s="3127" t="str">
        <f ca="1">IF(C8&lt;B2,"已过期",1120000080)</f>
        <v>已过期</v>
      </c>
      <c r="C8" s="3129">
        <v>43849</v>
      </c>
      <c r="D8" s="3127" t="s">
        <v>1918</v>
      </c>
      <c r="E8" s="3127">
        <f ca="1">IF(F8&lt;B2,"已过期",2000110082)</f>
        <v>2000110082</v>
      </c>
      <c r="F8" s="3130">
        <v>46387</v>
      </c>
    </row>
    <row r="9" spans="1:6" ht="20.25" customHeight="1">
      <c r="A9" s="3127" t="s">
        <v>1919</v>
      </c>
      <c r="B9" s="3127">
        <f ca="1">IF(C9&lt;B2,"已过期",1419970001)</f>
        <v>1419970001</v>
      </c>
      <c r="C9" s="3129">
        <v>43867</v>
      </c>
      <c r="D9" s="3127" t="s">
        <v>1919</v>
      </c>
      <c r="E9" s="3127">
        <f ca="1">IF(F9&lt;B2,"已过期",2002110125)</f>
        <v>2002110125</v>
      </c>
      <c r="F9" s="3130">
        <v>47118</v>
      </c>
    </row>
    <row r="10" spans="1:6" ht="20.25" customHeight="1">
      <c r="A10" s="3127" t="s">
        <v>1920</v>
      </c>
      <c r="B10" s="3127">
        <f ca="1">IF(C10&lt;B2,"已过期",1120060040)</f>
        <v>1120060040</v>
      </c>
      <c r="C10" s="3129">
        <v>44554</v>
      </c>
      <c r="D10" s="3127" t="s">
        <v>1920</v>
      </c>
      <c r="E10" s="3127">
        <f ca="1">IF(F10&lt;B2,"已过期",2004110096)</f>
        <v>2004110096</v>
      </c>
      <c r="F10" s="3130">
        <v>47118</v>
      </c>
    </row>
    <row r="11" spans="1:6" ht="20.25" customHeight="1">
      <c r="A11" s="3127" t="s">
        <v>1921</v>
      </c>
      <c r="B11" s="3127">
        <f ca="1">IF(C11&lt;B2,"已过期",1120100036)</f>
        <v>1120100036</v>
      </c>
      <c r="C11" s="3129">
        <v>44675</v>
      </c>
      <c r="D11" s="3127" t="s">
        <v>1921</v>
      </c>
      <c r="E11" s="3127">
        <f ca="1">IF(F11&lt;B2,"已过期",2010110070)</f>
        <v>2010110070</v>
      </c>
      <c r="F11" s="3130">
        <v>47907</v>
      </c>
    </row>
    <row r="12" spans="1:6" ht="20.25" customHeight="1">
      <c r="A12" s="3127"/>
      <c r="B12" s="3127"/>
      <c r="C12" s="3129"/>
      <c r="D12" s="3127"/>
      <c r="E12" s="3127"/>
      <c r="F12" s="3130"/>
    </row>
    <row r="13" spans="1:6" ht="20.25" customHeight="1">
      <c r="A13" s="3127" t="s">
        <v>1922</v>
      </c>
      <c r="B13" s="3127" t="str">
        <f ca="1">IF(C13&lt;B2,"已过期",1120070131)</f>
        <v>已过期</v>
      </c>
      <c r="C13" s="3129">
        <v>43814</v>
      </c>
      <c r="D13" s="3127" t="s">
        <v>1922</v>
      </c>
      <c r="E13" s="3127">
        <f ca="1">IF(F13&lt;B2,"已过期",2014110011)</f>
        <v>2014110011</v>
      </c>
      <c r="F13" s="3130">
        <v>49302</v>
      </c>
    </row>
    <row r="14" spans="1:6" ht="20.25" customHeight="1">
      <c r="A14" s="3127" t="s">
        <v>2973</v>
      </c>
      <c r="B14" s="3127" t="str">
        <f ca="1">IF(C14&lt;B2,"已过期",1120040230)</f>
        <v>已过期</v>
      </c>
      <c r="C14" s="3131">
        <v>43835</v>
      </c>
      <c r="D14" s="3132" t="s">
        <v>2974</v>
      </c>
      <c r="E14" s="3127">
        <f ca="1">IF(F14&lt;B2,"已过期",98030020)</f>
        <v>98030020</v>
      </c>
      <c r="F14" s="3130">
        <v>47118</v>
      </c>
    </row>
    <row r="15" spans="1:6" ht="20.25" customHeight="1">
      <c r="A15" s="3127" t="s">
        <v>2571</v>
      </c>
      <c r="B15" s="3127" t="str">
        <f ca="1">IF(C15&lt;B2,"已过期",1120070085)</f>
        <v>已过期</v>
      </c>
      <c r="C15" s="3131">
        <v>43814</v>
      </c>
      <c r="D15" s="3127" t="s">
        <v>2975</v>
      </c>
      <c r="E15" s="3127">
        <f ca="1">IF(F15&lt;B2,"已过期",2004110128)</f>
        <v>2004110128</v>
      </c>
      <c r="F15" s="3133">
        <v>47118</v>
      </c>
    </row>
    <row r="16" spans="1:6" ht="20.25" customHeight="1">
      <c r="A16" s="3127" t="s">
        <v>1923</v>
      </c>
      <c r="B16" s="3127">
        <f ca="1">IF(C16&lt;B2,"已过期",1120140022)</f>
        <v>1120140022</v>
      </c>
      <c r="C16" s="3129">
        <v>44029</v>
      </c>
      <c r="D16" s="3127" t="s">
        <v>2976</v>
      </c>
      <c r="E16" s="3127">
        <f ca="1">IF(F16&lt;B2,"已过期",2008110059)</f>
        <v>2008110059</v>
      </c>
      <c r="F16" s="3130">
        <v>47177</v>
      </c>
    </row>
    <row r="17" spans="1:7" ht="20.25" customHeight="1">
      <c r="A17" s="3127"/>
      <c r="B17" s="3127"/>
      <c r="C17" s="3129"/>
      <c r="D17" s="3132" t="s">
        <v>2977</v>
      </c>
      <c r="E17" s="3127">
        <f ca="1">IF(F17&lt;B2,"已过期",2014110076)</f>
        <v>2014110076</v>
      </c>
      <c r="F17" s="3130">
        <v>49302</v>
      </c>
    </row>
    <row r="18" spans="1:7" ht="20.25" customHeight="1">
      <c r="A18" s="3127"/>
      <c r="B18" s="3127"/>
      <c r="C18" s="3129"/>
      <c r="D18" s="3127"/>
      <c r="E18" s="3127"/>
      <c r="F18" s="3130"/>
    </row>
    <row r="19" spans="1:7" ht="20.25" customHeight="1">
      <c r="A19" s="3127"/>
      <c r="B19" s="3127"/>
      <c r="C19" s="3129"/>
      <c r="D19" s="3127"/>
      <c r="E19" s="3127"/>
      <c r="F19" s="3127"/>
    </row>
    <row r="20" spans="1:7" ht="20.25" customHeight="1">
      <c r="A20" s="3127"/>
      <c r="B20" s="3127"/>
      <c r="C20" s="3129"/>
      <c r="D20" s="3127"/>
      <c r="E20" s="3127"/>
      <c r="F20" s="3127"/>
    </row>
    <row r="21" spans="1:7" ht="20.25" customHeight="1">
      <c r="A21" s="3127"/>
      <c r="B21" s="3127"/>
      <c r="C21" s="3129"/>
      <c r="D21" s="3127" t="s">
        <v>1924</v>
      </c>
      <c r="E21" s="3127">
        <f ca="1">IF(F21&lt;B2,"已过期",2011110090)</f>
        <v>2011110090</v>
      </c>
      <c r="F21" s="3130">
        <v>48302</v>
      </c>
    </row>
    <row r="22" spans="1:7" ht="20.25" customHeight="1">
      <c r="A22" s="3127" t="s">
        <v>1925</v>
      </c>
      <c r="B22" s="3127">
        <f ca="1">IF(C22&lt;B2,"已过期",1120020033)</f>
        <v>1120020033</v>
      </c>
      <c r="C22" s="3129">
        <v>44339</v>
      </c>
      <c r="D22" s="3127" t="s">
        <v>1925</v>
      </c>
      <c r="E22" s="3127">
        <f ca="1">IF(F22&lt;B2,"已过期",2000110137)</f>
        <v>2000110137</v>
      </c>
      <c r="F22" s="3130">
        <v>46387</v>
      </c>
    </row>
    <row r="23" spans="1:7" ht="20.25" customHeight="1">
      <c r="A23" s="3127"/>
      <c r="B23" s="3127"/>
      <c r="C23" s="3129"/>
      <c r="D23" s="3127"/>
      <c r="E23" s="3127"/>
      <c r="F23" s="3127"/>
    </row>
    <row r="24" spans="1:7" s="3135" customFormat="1" ht="20.25" customHeight="1">
      <c r="A24" s="3126" t="s">
        <v>2053</v>
      </c>
      <c r="B24" s="3126" t="s">
        <v>2053</v>
      </c>
      <c r="C24" s="3129"/>
      <c r="D24" s="3134" t="s">
        <v>2053</v>
      </c>
      <c r="E24" s="3126" t="s">
        <v>2053</v>
      </c>
      <c r="F24" s="3133"/>
    </row>
    <row r="25" spans="1:7" ht="20.25" customHeight="1">
      <c r="A25" s="3281" t="s">
        <v>1926</v>
      </c>
      <c r="B25" s="3281"/>
      <c r="C25" s="3281"/>
      <c r="D25" s="3281"/>
      <c r="E25" s="3281"/>
      <c r="F25" s="3281"/>
      <c r="G25" s="3281"/>
    </row>
    <row r="26" spans="1:7" ht="20.25" customHeight="1">
      <c r="A26" s="3282" t="s">
        <v>1927</v>
      </c>
      <c r="B26" s="3282"/>
      <c r="C26" s="3282"/>
      <c r="D26" s="3282" t="s">
        <v>1928</v>
      </c>
      <c r="E26" s="3282"/>
      <c r="F26" s="3282"/>
    </row>
    <row r="27" spans="1:7" s="3122" customFormat="1" ht="20.25" customHeight="1">
      <c r="A27" s="3136" t="s">
        <v>1929</v>
      </c>
      <c r="B27" s="3137" t="s">
        <v>1930</v>
      </c>
      <c r="C27" s="3137" t="s">
        <v>1931</v>
      </c>
      <c r="D27" s="3127" t="s">
        <v>1929</v>
      </c>
      <c r="E27" s="3137" t="s">
        <v>1930</v>
      </c>
      <c r="F27" s="3137" t="s">
        <v>1931</v>
      </c>
    </row>
    <row r="28" spans="1:7" s="3122" customFormat="1" ht="20.25" customHeight="1">
      <c r="A28" s="3138" t="s">
        <v>1932</v>
      </c>
      <c r="B28" s="3138" t="s">
        <v>1933</v>
      </c>
      <c r="C28" s="3130">
        <v>43725</v>
      </c>
      <c r="D28" s="3138" t="s">
        <v>1934</v>
      </c>
      <c r="E28" s="3138" t="s">
        <v>1935</v>
      </c>
      <c r="F28" s="3139">
        <v>44377</v>
      </c>
    </row>
    <row r="29" spans="1:7" s="3122" customFormat="1" ht="20.25" customHeight="1">
      <c r="A29" s="3138"/>
      <c r="B29" s="3138"/>
      <c r="C29" s="3140"/>
      <c r="D29" s="3138" t="s">
        <v>1936</v>
      </c>
      <c r="E29" s="3138" t="s">
        <v>2985</v>
      </c>
      <c r="F29" s="3139">
        <v>43646</v>
      </c>
    </row>
    <row r="30" spans="1:7" ht="20.25" customHeight="1">
      <c r="C30" s="3141"/>
      <c r="D30" s="3141"/>
    </row>
  </sheetData>
  <sheetProtection sheet="1" objects="1" scenarios="1"/>
  <mergeCells count="3">
    <mergeCell ref="A25:G25"/>
    <mergeCell ref="A26:C26"/>
    <mergeCell ref="D26:F26"/>
  </mergeCells>
  <phoneticPr fontId="3" type="noConversion"/>
  <conditionalFormatting sqref="C24:D24">
    <cfRule type="expression" dxfId="228" priority="121">
      <formula>AND($C24-TODAY()&lt;30,TODAY()&lt;$C24)</formula>
    </cfRule>
  </conditionalFormatting>
  <conditionalFormatting sqref="C28">
    <cfRule type="expression" dxfId="227" priority="120">
      <formula>AND($C28-TODAY()&lt;30,TODAY()&lt;$C28)</formula>
    </cfRule>
  </conditionalFormatting>
  <conditionalFormatting sqref="C28 F4">
    <cfRule type="cellIs" dxfId="226" priority="122" stopIfTrue="1" operator="lessThan">
      <formula>$B$2</formula>
    </cfRule>
  </conditionalFormatting>
  <conditionalFormatting sqref="F5">
    <cfRule type="cellIs" dxfId="225" priority="118" stopIfTrue="1" operator="lessThan">
      <formula>$B$2</formula>
    </cfRule>
  </conditionalFormatting>
  <conditionalFormatting sqref="F6 F8 F10">
    <cfRule type="cellIs" dxfId="224" priority="116" stopIfTrue="1" operator="lessThan">
      <formula>$B$2</formula>
    </cfRule>
  </conditionalFormatting>
  <conditionalFormatting sqref="C24:D24">
    <cfRule type="expression" dxfId="223" priority="114">
      <formula>AND($C24-TODAY()&lt;30,TODAY()&lt;$C24)</formula>
    </cfRule>
  </conditionalFormatting>
  <conditionalFormatting sqref="F7 F9 F11 C24:D24">
    <cfRule type="cellIs" dxfId="222" priority="115" stopIfTrue="1" operator="lessThan">
      <formula>$B$2</formula>
    </cfRule>
  </conditionalFormatting>
  <conditionalFormatting sqref="F18">
    <cfRule type="cellIs" dxfId="221" priority="87" stopIfTrue="1" operator="lessThan">
      <formula>$B$2</formula>
    </cfRule>
  </conditionalFormatting>
  <conditionalFormatting sqref="F22">
    <cfRule type="cellIs" dxfId="220" priority="86" stopIfTrue="1" operator="lessThan">
      <formula>$B$2</formula>
    </cfRule>
  </conditionalFormatting>
  <conditionalFormatting sqref="F21">
    <cfRule type="cellIs" dxfId="219" priority="85" stopIfTrue="1" operator="lessThan">
      <formula>$B$2</formula>
    </cfRule>
  </conditionalFormatting>
  <conditionalFormatting sqref="B4:B11 E4:E11 E18:E23 B17:B23 B13 E13">
    <cfRule type="cellIs" dxfId="218" priority="83" stopIfTrue="1" operator="equal">
      <formula>"已过期"</formula>
    </cfRule>
  </conditionalFormatting>
  <conditionalFormatting sqref="F28">
    <cfRule type="cellIs" dxfId="217" priority="80" stopIfTrue="1" operator="lessThan">
      <formula>$B$2</formula>
    </cfRule>
  </conditionalFormatting>
  <conditionalFormatting sqref="F28">
    <cfRule type="expression" dxfId="216" priority="124">
      <formula>AND($E28-TODAY()&lt;30,TODAY()&lt;$E28)</formula>
    </cfRule>
  </conditionalFormatting>
  <conditionalFormatting sqref="C5">
    <cfRule type="expression" dxfId="215" priority="75">
      <formula>AND($C5-TODAY()&lt;30,TODAY()&lt;$C5)</formula>
    </cfRule>
  </conditionalFormatting>
  <conditionalFormatting sqref="C5">
    <cfRule type="cellIs" dxfId="214" priority="76" stopIfTrue="1" operator="lessThan">
      <formula>$B$2</formula>
    </cfRule>
  </conditionalFormatting>
  <conditionalFormatting sqref="C4:C6">
    <cfRule type="expression" dxfId="213" priority="73">
      <formula>AND($C4-TODAY()&lt;30,TODAY()&lt;$C4)</formula>
    </cfRule>
  </conditionalFormatting>
  <conditionalFormatting sqref="C4:C6">
    <cfRule type="cellIs" dxfId="212" priority="74" stopIfTrue="1" operator="lessThan">
      <formula>$B$2</formula>
    </cfRule>
  </conditionalFormatting>
  <conditionalFormatting sqref="C8:C9">
    <cfRule type="expression" dxfId="211" priority="71">
      <formula>AND($C8-TODAY()&lt;30,TODAY()&lt;$C8)</formula>
    </cfRule>
  </conditionalFormatting>
  <conditionalFormatting sqref="C8:C9">
    <cfRule type="cellIs" dxfId="210" priority="72" stopIfTrue="1" operator="lessThan">
      <formula>$B$2</formula>
    </cfRule>
  </conditionalFormatting>
  <conditionalFormatting sqref="C7">
    <cfRule type="expression" dxfId="209" priority="54">
      <formula>AND($C7-TODAY()&lt;30,TODAY()&lt;$C7)</formula>
    </cfRule>
  </conditionalFormatting>
  <conditionalFormatting sqref="C7">
    <cfRule type="cellIs" dxfId="208" priority="55" stopIfTrue="1" operator="lessThan">
      <formula>$B$2</formula>
    </cfRule>
  </conditionalFormatting>
  <conditionalFormatting sqref="C13 C23 C17:C21">
    <cfRule type="expression" dxfId="207" priority="52">
      <formula>AND($C13-TODAY()&lt;30,TODAY()&lt;$C13)</formula>
    </cfRule>
  </conditionalFormatting>
  <conditionalFormatting sqref="C13 C23 C17:C21">
    <cfRule type="cellIs" dxfId="206" priority="53" stopIfTrue="1" operator="lessThan">
      <formula>$B$2</formula>
    </cfRule>
  </conditionalFormatting>
  <conditionalFormatting sqref="F13">
    <cfRule type="cellIs" dxfId="205" priority="51" stopIfTrue="1" operator="lessThan">
      <formula>$B$2</formula>
    </cfRule>
  </conditionalFormatting>
  <conditionalFormatting sqref="F12">
    <cfRule type="cellIs" dxfId="204" priority="43" stopIfTrue="1" operator="lessThan">
      <formula>$B$2</formula>
    </cfRule>
  </conditionalFormatting>
  <conditionalFormatting sqref="B12 E12">
    <cfRule type="cellIs" dxfId="203" priority="42" stopIfTrue="1" operator="equal">
      <formula>"已过期"</formula>
    </cfRule>
  </conditionalFormatting>
  <conditionalFormatting sqref="C12">
    <cfRule type="expression" dxfId="202" priority="40">
      <formula>AND($C12-TODAY()&lt;30,TODAY()&lt;$C12)</formula>
    </cfRule>
  </conditionalFormatting>
  <conditionalFormatting sqref="C12">
    <cfRule type="cellIs" dxfId="201" priority="41" stopIfTrue="1" operator="lessThan">
      <formula>$B$2</formula>
    </cfRule>
  </conditionalFormatting>
  <conditionalFormatting sqref="C22">
    <cfRule type="expression" dxfId="200" priority="32">
      <formula>AND($C22-TODAY()&lt;30,TODAY()&lt;$C22)</formula>
    </cfRule>
  </conditionalFormatting>
  <conditionalFormatting sqref="C22">
    <cfRule type="cellIs" dxfId="199" priority="33" stopIfTrue="1" operator="lessThan">
      <formula>$B$2</formula>
    </cfRule>
  </conditionalFormatting>
  <conditionalFormatting sqref="C16">
    <cfRule type="expression" dxfId="198" priority="30">
      <formula>AND($C16-TODAY()&lt;30,TODAY()&lt;$C16)</formula>
    </cfRule>
  </conditionalFormatting>
  <conditionalFormatting sqref="C16">
    <cfRule type="cellIs" dxfId="197" priority="31" stopIfTrue="1" operator="lessThan">
      <formula>$B$2</formula>
    </cfRule>
  </conditionalFormatting>
  <conditionalFormatting sqref="C16">
    <cfRule type="expression" dxfId="196" priority="28">
      <formula>AND($C16-TODAY()&lt;30,TODAY()&lt;$C16)</formula>
    </cfRule>
  </conditionalFormatting>
  <conditionalFormatting sqref="C16">
    <cfRule type="cellIs" dxfId="195" priority="29" stopIfTrue="1" operator="lessThan">
      <formula>$B$2</formula>
    </cfRule>
  </conditionalFormatting>
  <conditionalFormatting sqref="B16">
    <cfRule type="cellIs" dxfId="194" priority="27" stopIfTrue="1" operator="equal">
      <formula>"已过期"</formula>
    </cfRule>
  </conditionalFormatting>
  <conditionalFormatting sqref="C14:C15">
    <cfRule type="expression" dxfId="193" priority="25">
      <formula>AND($C14-TODAY()&lt;30,TODAY()&lt;$C14)</formula>
    </cfRule>
  </conditionalFormatting>
  <conditionalFormatting sqref="C14:C15">
    <cfRule type="cellIs" dxfId="192" priority="26" stopIfTrue="1" operator="lessThan">
      <formula>$B$2</formula>
    </cfRule>
  </conditionalFormatting>
  <conditionalFormatting sqref="C14">
    <cfRule type="expression" dxfId="191" priority="23">
      <formula>AND($C14-TODAY()&lt;30,TODAY()&lt;$C14)</formula>
    </cfRule>
  </conditionalFormatting>
  <conditionalFormatting sqref="C14">
    <cfRule type="cellIs" dxfId="190" priority="24" stopIfTrue="1" operator="lessThan">
      <formula>$B$2</formula>
    </cfRule>
  </conditionalFormatting>
  <conditionalFormatting sqref="C15">
    <cfRule type="expression" dxfId="189" priority="21">
      <formula>AND($C15-TODAY()&lt;30,TODAY()&lt;$C15)</formula>
    </cfRule>
  </conditionalFormatting>
  <conditionalFormatting sqref="C15">
    <cfRule type="cellIs" dxfId="188" priority="22" stopIfTrue="1" operator="lessThan">
      <formula>$B$2</formula>
    </cfRule>
  </conditionalFormatting>
  <conditionalFormatting sqref="B14">
    <cfRule type="cellIs" dxfId="187" priority="20" stopIfTrue="1" operator="equal">
      <formula>"已过期"</formula>
    </cfRule>
  </conditionalFormatting>
  <conditionalFormatting sqref="B15">
    <cfRule type="cellIs" dxfId="186" priority="19" stopIfTrue="1" operator="equal">
      <formula>"已过期"</formula>
    </cfRule>
  </conditionalFormatting>
  <conditionalFormatting sqref="A15">
    <cfRule type="cellIs" dxfId="185" priority="18" stopIfTrue="1" operator="equal">
      <formula>"已过期"</formula>
    </cfRule>
  </conditionalFormatting>
  <conditionalFormatting sqref="C15">
    <cfRule type="expression" dxfId="184" priority="17">
      <formula>AND($C15-TODAY()&lt;30,TODAY()&lt;$C15)</formula>
    </cfRule>
  </conditionalFormatting>
  <conditionalFormatting sqref="F16">
    <cfRule type="cellIs" dxfId="183" priority="16" stopIfTrue="1" operator="lessThan">
      <formula>$B$2</formula>
    </cfRule>
  </conditionalFormatting>
  <conditionalFormatting sqref="E16">
    <cfRule type="cellIs" dxfId="182" priority="15" stopIfTrue="1" operator="equal">
      <formula>"已过期"</formula>
    </cfRule>
  </conditionalFormatting>
  <conditionalFormatting sqref="E15">
    <cfRule type="cellIs" dxfId="181" priority="14" stopIfTrue="1" operator="equal">
      <formula>"已过期"</formula>
    </cfRule>
  </conditionalFormatting>
  <conditionalFormatting sqref="D15">
    <cfRule type="cellIs" dxfId="180" priority="13" stopIfTrue="1" operator="equal">
      <formula>"已过期"</formula>
    </cfRule>
  </conditionalFormatting>
  <conditionalFormatting sqref="F17">
    <cfRule type="cellIs" dxfId="179" priority="12" stopIfTrue="1" operator="lessThan">
      <formula>$B$2</formula>
    </cfRule>
  </conditionalFormatting>
  <conditionalFormatting sqref="E17">
    <cfRule type="cellIs" dxfId="178" priority="11" stopIfTrue="1" operator="equal">
      <formula>"已过期"</formula>
    </cfRule>
  </conditionalFormatting>
  <conditionalFormatting sqref="E14">
    <cfRule type="cellIs" dxfId="177" priority="10" stopIfTrue="1" operator="equal">
      <formula>"已过期"</formula>
    </cfRule>
  </conditionalFormatting>
  <conditionalFormatting sqref="F14">
    <cfRule type="cellIs" dxfId="176" priority="9" stopIfTrue="1" operator="lessThan">
      <formula>$B$2</formula>
    </cfRule>
  </conditionalFormatting>
  <conditionalFormatting sqref="C10:C11">
    <cfRule type="expression" dxfId="175" priority="5">
      <formula>AND($C10-TODAY()&lt;30,TODAY()&lt;$C10)</formula>
    </cfRule>
  </conditionalFormatting>
  <conditionalFormatting sqref="C10:C11">
    <cfRule type="cellIs" dxfId="174" priority="6" stopIfTrue="1" operator="lessThan">
      <formula>$B$2</formula>
    </cfRule>
  </conditionalFormatting>
  <conditionalFormatting sqref="F29">
    <cfRule type="cellIs" dxfId="173" priority="1" stopIfTrue="1" operator="lessThan">
      <formula>$B$2</formula>
    </cfRule>
  </conditionalFormatting>
  <conditionalFormatting sqref="F29">
    <cfRule type="expression" dxfId="17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856</v>
      </c>
      <c r="B1" s="5" t="s">
        <v>132</v>
      </c>
      <c r="C1" s="1536"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7" t="s">
        <v>2542</v>
      </c>
      <c r="R1" s="2546" t="s">
        <v>2536</v>
      </c>
      <c r="S1" s="6" t="s">
        <v>146</v>
      </c>
      <c r="T1" s="7" t="s">
        <v>147</v>
      </c>
      <c r="U1" s="6" t="s">
        <v>148</v>
      </c>
      <c r="V1" s="6" t="s">
        <v>149</v>
      </c>
      <c r="W1" s="1004" t="s">
        <v>874</v>
      </c>
    </row>
    <row r="2" spans="1:23">
      <c r="A2" s="8" t="s">
        <v>73</v>
      </c>
      <c r="B2" s="8" t="s">
        <v>150</v>
      </c>
      <c r="C2" s="1537"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2537</v>
      </c>
      <c r="S2" s="9" t="s">
        <v>75</v>
      </c>
      <c r="T2" s="9" t="s">
        <v>76</v>
      </c>
      <c r="U2" s="9" t="s">
        <v>75</v>
      </c>
      <c r="V2" s="9" t="s">
        <v>77</v>
      </c>
      <c r="W2" s="9" t="s">
        <v>875</v>
      </c>
    </row>
    <row r="3" spans="1:23">
      <c r="A3" s="8" t="s">
        <v>78</v>
      </c>
      <c r="B3" s="10" t="s">
        <v>151</v>
      </c>
      <c r="C3" s="1538"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2538</v>
      </c>
      <c r="S3" s="9" t="s">
        <v>84</v>
      </c>
      <c r="T3" s="9" t="s">
        <v>85</v>
      </c>
      <c r="U3" s="9" t="s">
        <v>84</v>
      </c>
      <c r="V3" s="9" t="s">
        <v>86</v>
      </c>
      <c r="W3" s="9" t="s">
        <v>876</v>
      </c>
    </row>
    <row r="4" spans="1:23">
      <c r="A4" s="8" t="s">
        <v>87</v>
      </c>
      <c r="B4" s="8" t="s">
        <v>152</v>
      </c>
      <c r="C4" s="1537"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2539</v>
      </c>
      <c r="S4" s="9" t="s">
        <v>92</v>
      </c>
      <c r="T4" s="9" t="s">
        <v>93</v>
      </c>
      <c r="U4" s="9" t="s">
        <v>92</v>
      </c>
      <c r="W4" s="9" t="s">
        <v>877</v>
      </c>
    </row>
    <row r="5" spans="1:23">
      <c r="A5" s="8" t="s">
        <v>94</v>
      </c>
      <c r="B5" s="8" t="s">
        <v>153</v>
      </c>
      <c r="C5" s="1537" t="s">
        <v>1712</v>
      </c>
      <c r="F5" s="9" t="s">
        <v>95</v>
      </c>
      <c r="H5" s="9" t="s">
        <v>70</v>
      </c>
      <c r="I5" s="9" t="s">
        <v>96</v>
      </c>
      <c r="K5" s="9" t="s">
        <v>97</v>
      </c>
      <c r="L5" s="9" t="s">
        <v>97</v>
      </c>
      <c r="M5" s="9" t="s">
        <v>97</v>
      </c>
      <c r="N5" s="9" t="s">
        <v>97</v>
      </c>
      <c r="O5" s="9" t="s">
        <v>97</v>
      </c>
      <c r="P5" s="1006" t="s">
        <v>546</v>
      </c>
      <c r="Q5" s="9" t="s">
        <v>97</v>
      </c>
      <c r="R5" s="1006" t="s">
        <v>2540</v>
      </c>
      <c r="S5" s="9" t="s">
        <v>97</v>
      </c>
      <c r="T5" s="9" t="s">
        <v>98</v>
      </c>
      <c r="U5" s="9" t="s">
        <v>97</v>
      </c>
      <c r="W5" s="9" t="s">
        <v>878</v>
      </c>
    </row>
    <row r="6" spans="1:23">
      <c r="A6" s="8" t="s">
        <v>99</v>
      </c>
      <c r="B6" s="1145" t="s">
        <v>1640</v>
      </c>
      <c r="C6" s="1539" t="s">
        <v>1713</v>
      </c>
      <c r="F6" s="9" t="s">
        <v>71</v>
      </c>
      <c r="H6" s="9" t="s">
        <v>72</v>
      </c>
      <c r="I6" s="9" t="s">
        <v>100</v>
      </c>
      <c r="K6" s="9" t="s">
        <v>101</v>
      </c>
      <c r="L6" s="9" t="s">
        <v>101</v>
      </c>
      <c r="M6" s="9" t="s">
        <v>101</v>
      </c>
      <c r="N6" s="9" t="s">
        <v>101</v>
      </c>
      <c r="O6" s="9" t="s">
        <v>101</v>
      </c>
      <c r="P6" s="1006" t="s">
        <v>881</v>
      </c>
      <c r="Q6" s="9" t="s">
        <v>101</v>
      </c>
      <c r="R6" s="1006" t="s">
        <v>2541</v>
      </c>
      <c r="S6" s="9" t="s">
        <v>101</v>
      </c>
      <c r="T6" s="9"/>
      <c r="U6" s="9" t="s">
        <v>101</v>
      </c>
      <c r="W6" s="9" t="s">
        <v>879</v>
      </c>
    </row>
    <row r="7" spans="1:23">
      <c r="A7" s="8" t="s">
        <v>102</v>
      </c>
      <c r="B7" s="8" t="s">
        <v>103</v>
      </c>
      <c r="C7" s="1537" t="s">
        <v>1714</v>
      </c>
      <c r="F7" s="9" t="s">
        <v>154</v>
      </c>
      <c r="H7" s="9" t="s">
        <v>104</v>
      </c>
      <c r="I7" s="9" t="s">
        <v>105</v>
      </c>
    </row>
    <row r="8" spans="1:23">
      <c r="A8" s="8" t="s">
        <v>106</v>
      </c>
      <c r="B8" s="8" t="s">
        <v>107</v>
      </c>
      <c r="C8" s="1537" t="s">
        <v>1715</v>
      </c>
      <c r="F8" s="9" t="s">
        <v>155</v>
      </c>
      <c r="H8" s="9"/>
      <c r="I8" s="9" t="s">
        <v>108</v>
      </c>
    </row>
    <row r="9" spans="1:23">
      <c r="A9" s="8" t="s">
        <v>109</v>
      </c>
      <c r="B9" s="8" t="s">
        <v>156</v>
      </c>
      <c r="C9" s="1537" t="s">
        <v>1716</v>
      </c>
      <c r="F9" s="9" t="s">
        <v>110</v>
      </c>
      <c r="H9" s="9"/>
    </row>
    <row r="10" spans="1:23">
      <c r="A10" s="8" t="s">
        <v>111</v>
      </c>
      <c r="B10" s="8" t="s">
        <v>157</v>
      </c>
      <c r="C10" s="1537" t="s">
        <v>1717</v>
      </c>
      <c r="F10" s="9" t="s">
        <v>6</v>
      </c>
    </row>
    <row r="11" spans="1:23">
      <c r="A11" s="8" t="s">
        <v>112</v>
      </c>
      <c r="B11" s="8" t="s">
        <v>158</v>
      </c>
      <c r="C11" s="1537" t="s">
        <v>1718</v>
      </c>
    </row>
    <row r="12" spans="1:23">
      <c r="A12" s="8" t="s">
        <v>113</v>
      </c>
      <c r="B12" s="8" t="s">
        <v>159</v>
      </c>
      <c r="C12" s="1537" t="s">
        <v>1719</v>
      </c>
    </row>
    <row r="13" spans="1:23">
      <c r="A13" s="8" t="s">
        <v>114</v>
      </c>
      <c r="B13" s="8" t="s">
        <v>160</v>
      </c>
      <c r="C13" s="1537" t="s">
        <v>1720</v>
      </c>
    </row>
    <row r="14" spans="1:23">
      <c r="A14" s="8" t="s">
        <v>115</v>
      </c>
      <c r="B14" s="8" t="s">
        <v>161</v>
      </c>
      <c r="C14" s="1540" t="s">
        <v>1896</v>
      </c>
    </row>
    <row r="15" spans="1:23">
      <c r="A15" s="8" t="s">
        <v>116</v>
      </c>
      <c r="B15" s="8" t="s">
        <v>1681</v>
      </c>
      <c r="C15" s="1540"/>
    </row>
    <row r="16" spans="1:23">
      <c r="A16" s="8" t="s">
        <v>117</v>
      </c>
      <c r="B16" s="8" t="s">
        <v>1682</v>
      </c>
      <c r="C16" s="1540"/>
    </row>
    <row r="17" spans="1:3">
      <c r="A17" s="8" t="s">
        <v>118</v>
      </c>
      <c r="B17" s="8" t="s">
        <v>1683</v>
      </c>
      <c r="C17" s="1540"/>
    </row>
    <row r="18" spans="1:3">
      <c r="A18" s="8" t="s">
        <v>119</v>
      </c>
      <c r="B18" s="3060" t="s">
        <v>2947</v>
      </c>
      <c r="C18" s="1540"/>
    </row>
    <row r="19" spans="1:3">
      <c r="A19" s="8" t="s">
        <v>120</v>
      </c>
      <c r="B19" s="3060" t="s">
        <v>2955</v>
      </c>
      <c r="C19" s="1540"/>
    </row>
    <row r="20" spans="1:3">
      <c r="A20" s="8" t="s">
        <v>121</v>
      </c>
      <c r="B20" s="8" t="s">
        <v>1641</v>
      </c>
      <c r="C20" s="1540"/>
    </row>
    <row r="21" spans="1:3">
      <c r="A21" s="8" t="s">
        <v>122</v>
      </c>
      <c r="B21" s="8" t="s">
        <v>1641</v>
      </c>
      <c r="C21" s="1540"/>
    </row>
    <row r="22" spans="1:3">
      <c r="A22" s="8" t="s">
        <v>123</v>
      </c>
      <c r="B22" s="8" t="s">
        <v>1641</v>
      </c>
      <c r="C22" s="1540"/>
    </row>
    <row r="23" spans="1:3">
      <c r="A23" s="8" t="s">
        <v>124</v>
      </c>
      <c r="B23" s="8" t="s">
        <v>1641</v>
      </c>
      <c r="C23" s="1540"/>
    </row>
    <row r="24" spans="1:3">
      <c r="A24" s="8" t="s">
        <v>12</v>
      </c>
      <c r="B24" s="8" t="s">
        <v>1641</v>
      </c>
      <c r="C24" s="1540"/>
    </row>
    <row r="25" spans="1:3">
      <c r="A25" s="8" t="s">
        <v>125</v>
      </c>
      <c r="B25" s="8" t="s">
        <v>1641</v>
      </c>
      <c r="C25" s="1540"/>
    </row>
    <row r="26" spans="1:3">
      <c r="A26" s="8" t="s">
        <v>126</v>
      </c>
      <c r="B26" s="8" t="s">
        <v>1641</v>
      </c>
      <c r="C26" s="1540"/>
    </row>
    <row r="27" spans="1:3">
      <c r="A27" s="8" t="s">
        <v>1641</v>
      </c>
      <c r="B27" s="8" t="s">
        <v>1641</v>
      </c>
      <c r="C27" s="1540"/>
    </row>
    <row r="28" spans="1:3">
      <c r="A28" s="8" t="s">
        <v>1641</v>
      </c>
      <c r="B28" s="8" t="s">
        <v>1641</v>
      </c>
      <c r="C28" s="1540"/>
    </row>
    <row r="29" spans="1:3">
      <c r="A29" s="8" t="s">
        <v>1641</v>
      </c>
      <c r="B29" s="8" t="s">
        <v>1641</v>
      </c>
      <c r="C29" s="1540"/>
    </row>
    <row r="30" spans="1:3">
      <c r="A30" s="8" t="s">
        <v>1641</v>
      </c>
      <c r="B30" s="8" t="s">
        <v>1641</v>
      </c>
      <c r="C30" s="1540"/>
    </row>
    <row r="31" spans="1:3">
      <c r="A31" s="8" t="s">
        <v>1641</v>
      </c>
      <c r="B31" s="8" t="s">
        <v>1641</v>
      </c>
      <c r="C31" s="1540"/>
    </row>
    <row r="32" spans="1:3">
      <c r="A32" s="8" t="s">
        <v>1641</v>
      </c>
      <c r="B32" s="8" t="s">
        <v>1641</v>
      </c>
      <c r="C32" s="1540"/>
    </row>
    <row r="33" spans="1:3">
      <c r="A33" s="8" t="s">
        <v>1641</v>
      </c>
      <c r="B33" s="8" t="s">
        <v>1641</v>
      </c>
      <c r="C33" s="1540"/>
    </row>
    <row r="34" spans="1:3">
      <c r="A34" s="8" t="s">
        <v>1641</v>
      </c>
      <c r="B34" s="8" t="s">
        <v>1641</v>
      </c>
      <c r="C34" s="1540"/>
    </row>
    <row r="35" spans="1:3">
      <c r="A35" s="8" t="s">
        <v>1641</v>
      </c>
      <c r="B35" s="8" t="s">
        <v>1641</v>
      </c>
      <c r="C35" s="1540"/>
    </row>
    <row r="36" spans="1:3">
      <c r="A36" s="8" t="s">
        <v>1641</v>
      </c>
      <c r="B36" s="8" t="s">
        <v>1641</v>
      </c>
      <c r="C36" s="1540"/>
    </row>
    <row r="37" spans="1:3">
      <c r="A37" s="8" t="s">
        <v>1641</v>
      </c>
      <c r="B37" s="8" t="s">
        <v>1641</v>
      </c>
      <c r="C37" s="1540"/>
    </row>
    <row r="38" spans="1:3">
      <c r="A38" s="8" t="s">
        <v>1641</v>
      </c>
      <c r="B38" s="8" t="s">
        <v>1641</v>
      </c>
      <c r="C38" s="1540"/>
    </row>
    <row r="39" spans="1:3">
      <c r="A39" s="8" t="s">
        <v>1641</v>
      </c>
      <c r="B39" s="8" t="s">
        <v>1641</v>
      </c>
      <c r="C39" s="1540"/>
    </row>
    <row r="40" spans="1:3">
      <c r="A40" s="8" t="s">
        <v>1641</v>
      </c>
      <c r="B40" s="8" t="s">
        <v>1641</v>
      </c>
      <c r="C40" s="1540"/>
    </row>
    <row r="41" spans="1:3">
      <c r="A41" s="8" t="s">
        <v>1641</v>
      </c>
      <c r="B41" s="8" t="s">
        <v>1641</v>
      </c>
      <c r="C41" s="1540"/>
    </row>
    <row r="42" spans="1:3">
      <c r="A42" s="8" t="s">
        <v>1641</v>
      </c>
      <c r="B42" s="8" t="s">
        <v>1641</v>
      </c>
      <c r="C42" s="1540"/>
    </row>
    <row r="43" spans="1:3">
      <c r="A43" s="8" t="s">
        <v>1641</v>
      </c>
      <c r="B43" s="8" t="s">
        <v>1641</v>
      </c>
      <c r="C43" s="1540"/>
    </row>
    <row r="44" spans="1:3">
      <c r="A44" s="8" t="s">
        <v>1641</v>
      </c>
      <c r="B44" s="8" t="s">
        <v>1641</v>
      </c>
      <c r="C44" s="1540"/>
    </row>
    <row r="45" spans="1:3">
      <c r="A45" s="8" t="s">
        <v>1641</v>
      </c>
      <c r="B45" s="8" t="s">
        <v>1641</v>
      </c>
      <c r="C45" s="1540"/>
    </row>
    <row r="46" spans="1:3">
      <c r="A46" s="8" t="s">
        <v>1641</v>
      </c>
      <c r="B46" s="8" t="s">
        <v>1641</v>
      </c>
      <c r="C46" s="1540"/>
    </row>
    <row r="47" spans="1:3">
      <c r="A47" s="8" t="s">
        <v>1641</v>
      </c>
      <c r="B47" s="8" t="s">
        <v>1641</v>
      </c>
      <c r="C47" s="1540"/>
    </row>
    <row r="48" spans="1:3">
      <c r="A48" s="8" t="s">
        <v>1641</v>
      </c>
      <c r="B48" s="8" t="s">
        <v>1641</v>
      </c>
      <c r="C48" s="1540"/>
    </row>
    <row r="49" spans="1:5">
      <c r="A49" s="8" t="s">
        <v>1641</v>
      </c>
      <c r="B49" s="8" t="s">
        <v>1641</v>
      </c>
      <c r="C49" s="1540"/>
    </row>
    <row r="50" spans="1:5">
      <c r="A50" s="8" t="s">
        <v>1641</v>
      </c>
      <c r="B50" s="8" t="s">
        <v>1641</v>
      </c>
      <c r="C50" s="1540"/>
    </row>
    <row r="51" spans="1:5">
      <c r="A51" s="1750" t="s">
        <v>1942</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海南省海口市秀英区西秀镇长德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1986</v>
      </c>
      <c r="B52" s="1753" t="s">
        <v>1987</v>
      </c>
      <c r="C52" s="1751" t="s">
        <v>1988</v>
      </c>
      <c r="D52" s="1751" t="s">
        <v>1989</v>
      </c>
      <c r="E52" s="1752"/>
    </row>
    <row r="53" spans="1:5">
      <c r="A53" s="3283" t="s">
        <v>1990</v>
      </c>
      <c r="B53" s="1751" t="s">
        <v>1996</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2月7日，在规划利用条件下、设定土地开发程度为红线外“七通”、宗地内场地，设定用途为，剩余土地使用年限为的出让国有建设用地使用权价格。</v>
      </c>
      <c r="D53" s="1752"/>
      <c r="E53" s="1752"/>
    </row>
    <row r="54" spans="1:5">
      <c r="A54" s="3283"/>
      <c r="B54" s="1751" t="s">
        <v>1997</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283"/>
      <c r="B55" s="1751" t="s">
        <v>1991</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283"/>
      <c r="B56" s="1751" t="s">
        <v>1992</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283"/>
      <c r="B57" s="1751" t="s">
        <v>1993</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2049</v>
      </c>
      <c r="B58" s="1751" t="s">
        <v>2050</v>
      </c>
      <c r="C58" s="11" t="s">
        <v>2051</v>
      </c>
      <c r="D58" s="1315"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9" sqref="E9"/>
    </sheetView>
  </sheetViews>
  <sheetFormatPr defaultColWidth="10" defaultRowHeight="14.25"/>
  <cols>
    <col min="1" max="1" width="15.375" style="1674" customWidth="1"/>
    <col min="2" max="2" width="11.375" style="1674" customWidth="1"/>
    <col min="3" max="3" width="12.625" style="1674" customWidth="1"/>
    <col min="4" max="4" width="12.25" style="1674" customWidth="1"/>
    <col min="5" max="5" width="12.5" style="1674" customWidth="1"/>
    <col min="6" max="6" width="11.375" style="1674" customWidth="1"/>
    <col min="7" max="7" width="12.375" style="1674" customWidth="1"/>
    <col min="8" max="8" width="10" style="1674" customWidth="1"/>
    <col min="9" max="9" width="1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5" thickBot="1">
      <c r="A1" s="1642" t="s">
        <v>1937</v>
      </c>
      <c r="B1" s="3299" t="str">
        <f>IF(B10="北京市","北京市",C10)&amp;F10&amp;B16&amp;"国有建设用地使用权"&amp;B9&amp;"预评估"</f>
        <v>海南省海口市秀英区西秀镇长德村出让国有建设用地使用权抵押价格预评估</v>
      </c>
      <c r="C1" s="3300"/>
      <c r="D1" s="3300"/>
      <c r="E1" s="3300"/>
      <c r="F1" s="3300"/>
      <c r="G1" s="3300"/>
      <c r="H1" s="3300"/>
      <c r="I1" s="3301"/>
      <c r="J1" s="1677"/>
      <c r="K1" s="2418" t="str">
        <f>IF(B10="北京市","北京市",C10)&amp;F10&amp;B16&amp;"国有建设用地使用权"&amp;B9</f>
        <v>海南省海口市秀英区西秀镇长德村出让国有建设用地使用权抵押价格</v>
      </c>
      <c r="L1" s="1706"/>
      <c r="M1" s="1706"/>
      <c r="N1" s="1677"/>
      <c r="O1" s="1678"/>
      <c r="P1" s="1677"/>
      <c r="Q1" s="1677"/>
      <c r="R1" s="1677"/>
      <c r="S1" s="1677"/>
      <c r="T1" s="1677"/>
      <c r="U1" s="1677"/>
    </row>
    <row r="2" spans="1:21">
      <c r="A2" s="1643" t="s">
        <v>1938</v>
      </c>
      <c r="B2" s="1825"/>
      <c r="D2" s="1677"/>
      <c r="E2" s="1677"/>
      <c r="F2" s="1677"/>
      <c r="G2" s="1677"/>
      <c r="H2" s="1643"/>
      <c r="I2" s="1678"/>
      <c r="J2" s="1677"/>
      <c r="K2" s="2418" t="str">
        <f>IF(B10="北京市","北京市",C10)&amp;F10&amp;B16&amp;"国有建设用地使用权"</f>
        <v>海南省海口市秀英区西秀镇长德村出让国有建设用地使用权</v>
      </c>
      <c r="L2" s="1706"/>
      <c r="M2" s="1706"/>
      <c r="N2" s="1677"/>
      <c r="O2" s="1678"/>
      <c r="P2" s="1677"/>
      <c r="Q2" s="1677"/>
      <c r="R2" s="1677"/>
      <c r="S2" s="1677"/>
      <c r="T2" s="1677"/>
      <c r="U2" s="1677"/>
    </row>
    <row r="3" spans="1:21">
      <c r="A3" s="1644" t="s">
        <v>1939</v>
      </c>
      <c r="B3" s="1645">
        <v>43868</v>
      </c>
      <c r="C3" s="1646" t="s">
        <v>1995</v>
      </c>
      <c r="D3" s="1645">
        <f>B3</f>
        <v>43868</v>
      </c>
      <c r="E3" s="1677"/>
      <c r="F3" s="1677"/>
      <c r="G3" s="1677"/>
      <c r="H3" s="1643"/>
      <c r="I3" s="1678"/>
      <c r="J3" s="1677"/>
      <c r="K3" s="1757"/>
      <c r="L3" s="1706"/>
      <c r="M3" s="1706"/>
      <c r="N3" s="1677"/>
      <c r="O3" s="1678"/>
      <c r="P3" s="1677"/>
      <c r="Q3" s="1677"/>
      <c r="R3" s="1677"/>
      <c r="S3" s="1677"/>
      <c r="T3" s="1677"/>
      <c r="U3" s="1677"/>
    </row>
    <row r="4" spans="1:21" ht="15" thickBot="1">
      <c r="A4" s="1647" t="s">
        <v>1940</v>
      </c>
      <c r="B4" s="1826" t="s">
        <v>2991</v>
      </c>
      <c r="C4" s="1829">
        <f ca="1">SUMIF(土地估价师,B4,估价师及机构信息!E3:E24)</f>
        <v>2002110125</v>
      </c>
      <c r="D4" s="1826" t="s">
        <v>2992</v>
      </c>
      <c r="E4" s="1829">
        <f ca="1">SUMIF(土地估价师,D4,估价师及机构信息!E3:E24)</f>
        <v>2014110011</v>
      </c>
      <c r="F4" s="1826" t="s">
        <v>952</v>
      </c>
      <c r="G4" s="1829">
        <f>SUMIF(土地估价师,F4,估价师及机构信息!E3:E24)</f>
        <v>0</v>
      </c>
      <c r="H4" s="1826" t="s">
        <v>952</v>
      </c>
      <c r="I4" s="1829">
        <f>SUMIF(土地估价师,H4,估价师及机构信息!E3:E24)</f>
        <v>0</v>
      </c>
      <c r="J4" s="1677"/>
      <c r="K4" s="2418" t="str">
        <f>IF(AND(F4="——",H4="——"),B4&amp;"、"&amp;D4,IF(AND(F4&lt;&gt;"——",H4="——"),B4&amp;"、"&amp;D4&amp;"、"&amp;F4,B4&amp;"、"&amp;D4&amp;"、"&amp;F4&amp;"、"&amp;H4))</f>
        <v>吴薇、郑燚</v>
      </c>
      <c r="L4" s="1706"/>
      <c r="M4" s="1706"/>
      <c r="N4" s="1677"/>
      <c r="O4" s="1678"/>
      <c r="P4" s="1677"/>
      <c r="Q4" s="1677"/>
      <c r="R4" s="1677"/>
      <c r="S4" s="1677"/>
      <c r="T4" s="1677"/>
      <c r="U4" s="1677"/>
    </row>
    <row r="5" spans="1:21" ht="15" thickTop="1">
      <c r="A5" s="1648" t="s">
        <v>1941</v>
      </c>
      <c r="B5" s="1772"/>
      <c r="C5" s="1649"/>
      <c r="D5" s="1650"/>
      <c r="E5" s="1677"/>
      <c r="F5" s="1677"/>
      <c r="G5" s="1677"/>
      <c r="H5" s="1643"/>
      <c r="I5" s="1678"/>
      <c r="J5" s="1677"/>
      <c r="K5" s="1757"/>
      <c r="L5" s="1706"/>
      <c r="M5" s="1706"/>
      <c r="N5" s="1677"/>
      <c r="O5" s="1678"/>
      <c r="P5" s="1677"/>
      <c r="Q5" s="1677"/>
      <c r="R5" s="1677"/>
      <c r="S5" s="1677"/>
      <c r="T5" s="1677"/>
      <c r="U5" s="1677"/>
    </row>
    <row r="6" spans="1:21" ht="26.25">
      <c r="A6" s="1646" t="s">
        <v>2703</v>
      </c>
      <c r="B6" s="1772"/>
      <c r="C6" s="1744"/>
      <c r="D6" s="1651"/>
      <c r="E6" s="1677"/>
      <c r="F6" s="1677"/>
      <c r="G6" s="1677"/>
      <c r="H6" s="1643"/>
      <c r="I6" s="1678"/>
      <c r="J6" s="1677"/>
      <c r="K6" s="3002" t="str">
        <f>IF(COUNTIF(B6,"*上海银行*"),"上海银行","")</f>
        <v/>
      </c>
      <c r="L6" s="1706"/>
      <c r="M6" s="1706"/>
      <c r="N6" s="1677"/>
      <c r="O6" s="1678"/>
      <c r="P6" s="1677"/>
      <c r="Q6" s="1677"/>
      <c r="R6" s="1677"/>
      <c r="S6" s="1677"/>
      <c r="T6" s="1677"/>
      <c r="U6" s="1677"/>
    </row>
    <row r="7" spans="1:21">
      <c r="A7" s="1652" t="s">
        <v>2704</v>
      </c>
      <c r="B7" s="1772"/>
      <c r="C7" s="1744"/>
      <c r="D7" s="1651"/>
      <c r="E7" s="1677"/>
      <c r="F7" s="1677"/>
      <c r="G7" s="1677"/>
      <c r="H7" s="1643"/>
      <c r="I7" s="1678"/>
      <c r="J7" s="1677"/>
      <c r="K7" s="1757"/>
      <c r="L7" s="1706"/>
      <c r="M7" s="1706"/>
      <c r="N7" s="1677"/>
      <c r="O7" s="1678"/>
      <c r="P7" s="1677"/>
      <c r="Q7" s="1677"/>
      <c r="R7" s="1677"/>
      <c r="S7" s="1677"/>
      <c r="T7" s="1677"/>
      <c r="U7" s="1677"/>
    </row>
    <row r="8" spans="1:21">
      <c r="A8" s="1652" t="s">
        <v>1942</v>
      </c>
      <c r="B8" s="1653" t="s">
        <v>2989</v>
      </c>
      <c r="C8" s="1654"/>
      <c r="D8" s="3305" t="s">
        <v>1944</v>
      </c>
      <c r="E8" s="1827" t="s">
        <v>2993</v>
      </c>
      <c r="F8" s="1655"/>
      <c r="G8" s="1643"/>
      <c r="H8" s="1643"/>
      <c r="I8" s="1690"/>
      <c r="J8" s="1677"/>
      <c r="K8" s="1757"/>
      <c r="L8" s="1706"/>
      <c r="M8" s="1706"/>
      <c r="N8" s="1677"/>
      <c r="O8" s="1678"/>
      <c r="P8" s="1677"/>
      <c r="Q8" s="1677"/>
      <c r="R8" s="1677"/>
      <c r="S8" s="1677"/>
      <c r="T8" s="1677"/>
      <c r="U8" s="1677"/>
    </row>
    <row r="9" spans="1:21" ht="15" thickBot="1">
      <c r="A9" s="1656" t="s">
        <v>1943</v>
      </c>
      <c r="B9" s="1657" t="s">
        <v>2993</v>
      </c>
      <c r="C9" s="1658"/>
      <c r="D9" s="3306"/>
      <c r="E9" s="1657" t="s">
        <v>2851</v>
      </c>
      <c r="F9" s="1730"/>
      <c r="G9" s="1725"/>
      <c r="H9" s="1725"/>
      <c r="I9" s="1726"/>
      <c r="J9" s="1677"/>
      <c r="K9" s="1757"/>
      <c r="L9" s="1706"/>
      <c r="M9" s="1706"/>
      <c r="N9" s="1677"/>
      <c r="O9" s="1678"/>
      <c r="P9" s="1677"/>
      <c r="Q9" s="1677"/>
      <c r="R9" s="1677"/>
      <c r="S9" s="1677"/>
      <c r="T9" s="1677"/>
      <c r="U9" s="1677"/>
    </row>
    <row r="10" spans="1:21" ht="15" thickTop="1">
      <c r="A10" s="1727" t="s">
        <v>1999</v>
      </c>
      <c r="B10" s="1702" t="s">
        <v>2994</v>
      </c>
      <c r="C10" s="1659" t="s">
        <v>3122</v>
      </c>
      <c r="D10" s="1650"/>
      <c r="E10" s="1660" t="s">
        <v>1946</v>
      </c>
      <c r="F10" s="1661" t="s">
        <v>3123</v>
      </c>
      <c r="G10" s="1728"/>
      <c r="H10" s="1729"/>
      <c r="I10" s="1650"/>
      <c r="J10" s="1677"/>
      <c r="K10" s="1757"/>
      <c r="L10" s="1706"/>
      <c r="M10" s="1706"/>
      <c r="N10" s="1677"/>
      <c r="O10" s="1678"/>
      <c r="P10" s="1677"/>
      <c r="Q10" s="1677"/>
      <c r="R10" s="1677"/>
      <c r="S10" s="1677"/>
      <c r="T10" s="1677"/>
      <c r="U10" s="1677"/>
    </row>
    <row r="11" spans="1:21">
      <c r="A11" s="1680" t="s">
        <v>2000</v>
      </c>
      <c r="B11" s="1681" t="s">
        <v>2995</v>
      </c>
      <c r="C11" s="1662"/>
      <c r="D11" s="1745"/>
      <c r="E11" s="1643"/>
      <c r="F11" s="1643"/>
      <c r="G11" s="1643"/>
      <c r="H11" s="1643"/>
      <c r="I11" s="1643"/>
      <c r="J11" s="1677"/>
      <c r="K11" s="1757"/>
      <c r="L11" s="1706"/>
      <c r="M11" s="1706"/>
      <c r="N11" s="1677"/>
      <c r="O11" s="1678"/>
      <c r="P11" s="1677"/>
      <c r="Q11" s="1677"/>
      <c r="R11" s="1677"/>
      <c r="S11" s="1677"/>
      <c r="T11" s="1677"/>
      <c r="U11" s="1677"/>
    </row>
    <row r="12" spans="1:21">
      <c r="A12" s="1768" t="s">
        <v>2058</v>
      </c>
      <c r="B12" s="3302"/>
      <c r="C12" s="3303"/>
      <c r="D12" s="3304"/>
      <c r="E12" s="1682" t="s">
        <v>2061</v>
      </c>
      <c r="F12" s="3320" t="s">
        <v>2885</v>
      </c>
      <c r="G12" s="3321"/>
      <c r="H12" s="3321"/>
      <c r="I12" s="3322"/>
      <c r="J12" s="1677"/>
      <c r="K12" s="1757"/>
      <c r="L12" s="1706"/>
      <c r="M12" s="1706"/>
      <c r="N12" s="1677"/>
      <c r="O12" s="1678"/>
      <c r="P12" s="1677"/>
      <c r="Q12" s="1677"/>
      <c r="R12" s="1677"/>
      <c r="S12" s="1677"/>
      <c r="T12" s="1677"/>
      <c r="U12" s="1677"/>
    </row>
    <row r="13" spans="1:21">
      <c r="A13" s="1670" t="s">
        <v>2059</v>
      </c>
      <c r="B13" s="3302"/>
      <c r="C13" s="3303"/>
      <c r="D13" s="3304"/>
      <c r="E13" s="1682" t="s">
        <v>2061</v>
      </c>
      <c r="F13" s="3320" t="s">
        <v>2886</v>
      </c>
      <c r="G13" s="3321"/>
      <c r="H13" s="3321"/>
      <c r="I13" s="3322"/>
      <c r="J13" s="1677"/>
      <c r="K13" s="1757"/>
      <c r="L13" s="1706"/>
      <c r="M13" s="1706"/>
      <c r="N13" s="1677"/>
      <c r="O13" s="1678"/>
      <c r="P13" s="1677"/>
      <c r="Q13" s="1677"/>
      <c r="R13" s="1677"/>
      <c r="S13" s="1677"/>
      <c r="T13" s="1677"/>
      <c r="U13" s="1677"/>
    </row>
    <row r="14" spans="1:21">
      <c r="A14" s="1644" t="s">
        <v>2062</v>
      </c>
      <c r="B14" s="1682"/>
      <c r="C14" s="1828" t="s">
        <v>2997</v>
      </c>
      <c r="D14" s="1716" t="str">
        <f>IF(C14="不一致","是否符合证载地类范围","")</f>
        <v/>
      </c>
      <c r="E14" s="1682"/>
      <c r="F14" s="1773"/>
      <c r="G14" s="1711"/>
      <c r="H14" s="1711"/>
      <c r="I14" s="1820"/>
      <c r="J14" s="1677"/>
      <c r="K14" s="1757"/>
      <c r="L14" s="1706"/>
      <c r="M14" s="1706"/>
      <c r="N14" s="1677"/>
      <c r="O14" s="1678"/>
      <c r="P14" s="1677"/>
      <c r="Q14" s="1677"/>
      <c r="R14" s="1677"/>
      <c r="S14" s="1677"/>
      <c r="T14" s="1677"/>
      <c r="U14" s="1677"/>
    </row>
    <row r="15" spans="1:21" hidden="1">
      <c r="A15" s="2608"/>
      <c r="B15" s="1646"/>
      <c r="C15" s="1646"/>
      <c r="D15" s="1749" t="s">
        <v>1949</v>
      </c>
      <c r="E15" s="1749" t="s">
        <v>1950</v>
      </c>
      <c r="F15" s="1749" t="s">
        <v>1951</v>
      </c>
      <c r="G15" s="1669" t="s">
        <v>1952</v>
      </c>
      <c r="H15" s="1669" t="s">
        <v>1953</v>
      </c>
      <c r="I15" s="1669" t="s">
        <v>1954</v>
      </c>
      <c r="J15" s="1677"/>
      <c r="K15" s="1757"/>
      <c r="L15" s="1706"/>
      <c r="M15" s="1706"/>
      <c r="N15" s="1677"/>
      <c r="O15" s="1678"/>
      <c r="P15" s="1677"/>
      <c r="Q15" s="1677"/>
      <c r="R15" s="1677"/>
      <c r="S15" s="1677"/>
      <c r="T15" s="1677"/>
      <c r="U15" s="1677"/>
    </row>
    <row r="16" spans="1:21" ht="28.5">
      <c r="A16" s="1663" t="s">
        <v>1947</v>
      </c>
      <c r="B16" s="1664" t="s">
        <v>2982</v>
      </c>
      <c r="C16" s="1682" t="s">
        <v>1948</v>
      </c>
      <c r="D16" s="2609" t="s">
        <v>1949</v>
      </c>
      <c r="E16" s="1705" t="s">
        <v>2996</v>
      </c>
      <c r="F16" s="1705" t="s">
        <v>1677</v>
      </c>
      <c r="G16" s="1705"/>
      <c r="H16" s="1705"/>
      <c r="I16" s="1669" t="s">
        <v>1954</v>
      </c>
      <c r="J16" s="1677"/>
      <c r="K16" s="2419" t="str">
        <f>IF(D17="","",D16&amp;TEXT(D17,"yyyy年m月d日;;"))</f>
        <v>住宅2088年2月11日</v>
      </c>
      <c r="L16" s="1682" t="str">
        <f>IF(OR(K16="",M16=""),"","、")</f>
        <v>、</v>
      </c>
      <c r="M16" s="2419" t="str">
        <f>IF(E17="","",E16&amp;TEXT(E17,"yyyy年m月d日;;"))</f>
        <v>商业2058年2月11日</v>
      </c>
      <c r="N16" s="1682" t="str">
        <f>IF(OR(M16="",O16=""),"","、")</f>
        <v/>
      </c>
      <c r="O16" s="2419" t="str">
        <f>IF(F17="","",F16&amp;TEXT(F17,"yyyy年m月d日;;"))</f>
        <v/>
      </c>
      <c r="P16" s="1682" t="str">
        <f>IF(OR(O16="",Q16=""),"","、")</f>
        <v/>
      </c>
      <c r="Q16" s="2419" t="str">
        <f>IF(G17="","",G16&amp;TEXT(G17,"yyyy年m月d日;;"))</f>
        <v/>
      </c>
      <c r="R16" s="1682" t="str">
        <f>IF(OR(Q16="",S16=""),"","、")</f>
        <v/>
      </c>
      <c r="S16" s="2419" t="str">
        <f>IF(H17="","",H16&amp;TEXT(H17,"yyyy年m月d日;;"))</f>
        <v/>
      </c>
      <c r="T16" s="1682" t="str">
        <f>IF(OR(S16="",U16=""),"","、")</f>
        <v/>
      </c>
      <c r="U16" s="2419" t="str">
        <f>IF(I17="","",I16&amp;TEXT(I17,"yyyy年m月d日;;"))</f>
        <v/>
      </c>
    </row>
    <row r="17" spans="1:21">
      <c r="A17" s="1746"/>
      <c r="B17" s="1665"/>
      <c r="C17" s="1666" t="s">
        <v>1955</v>
      </c>
      <c r="D17" s="1683">
        <v>68709</v>
      </c>
      <c r="E17" s="1683">
        <v>57752</v>
      </c>
      <c r="F17" s="1683"/>
      <c r="G17" s="1683"/>
      <c r="H17" s="1683"/>
      <c r="I17" s="1683"/>
      <c r="J17" s="1677"/>
      <c r="K17" s="2418" t="str">
        <f>CONCATENATE(K16,L16,M16,N16,O16,P16,Q16,R16,S16,T16,,U16)</f>
        <v>住宅2088年2月11日、商业2058年2月11日</v>
      </c>
      <c r="L17" s="1706"/>
      <c r="M17" s="1706"/>
      <c r="N17" s="1677"/>
      <c r="O17" s="1678"/>
      <c r="P17" s="1677"/>
      <c r="Q17" s="1677"/>
      <c r="R17" s="1677"/>
      <c r="S17" s="1677"/>
      <c r="T17" s="1677"/>
      <c r="U17" s="1677"/>
    </row>
    <row r="18" spans="1:21">
      <c r="A18" s="1746"/>
      <c r="B18" s="1665"/>
      <c r="C18" s="1666" t="s">
        <v>1956</v>
      </c>
      <c r="D18" s="1667">
        <v>70</v>
      </c>
      <c r="E18" s="1667">
        <v>40</v>
      </c>
      <c r="F18" s="1667"/>
      <c r="G18" s="1667"/>
      <c r="H18" s="1667"/>
      <c r="I18" s="1667"/>
      <c r="J18" s="1677"/>
      <c r="K18" s="1757"/>
      <c r="L18" s="1706"/>
      <c r="M18" s="1706"/>
      <c r="N18" s="1677"/>
      <c r="O18" s="1678"/>
      <c r="P18" s="1677"/>
      <c r="Q18" s="1677"/>
      <c r="R18" s="1677"/>
      <c r="S18" s="1677"/>
      <c r="T18" s="1677"/>
      <c r="U18" s="1677"/>
    </row>
    <row r="19" spans="1:21">
      <c r="A19" s="1746"/>
      <c r="B19" s="1665"/>
      <c r="C19" s="1643" t="s">
        <v>1957</v>
      </c>
      <c r="D19" s="1741">
        <f>IF(B16="出让",IF(D17="","",ROUNDDOWN(MIN((D17-$D$3)/365,D18),2)),D18)</f>
        <v>68.05</v>
      </c>
      <c r="E19" s="1668">
        <f>IF(B16="出让",IF(E17="","",ROUNDDOWN(MIN((E17-$D$3)/365,E18),2)),E18)</f>
        <v>38.03</v>
      </c>
      <c r="F19" s="1668" t="str">
        <f>IF(B16="出让",IF(F17="","",ROUNDDOWN(MIN((F17-$D$3)/365,F18),2)),F18)</f>
        <v/>
      </c>
      <c r="G19" s="1668" t="str">
        <f>IF(B16="出让",IF(G17="","",ROUNDDOWN(MIN((G17-$D$3)/365,G18),2)),G18)</f>
        <v/>
      </c>
      <c r="H19" s="1668" t="str">
        <f>IF(B16="出让",IF(H17="","",ROUNDDOWN(MIN((H17-$D$3)/365,H18),2)),H18)</f>
        <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2060</v>
      </c>
      <c r="D20" s="3317"/>
      <c r="E20" s="3318"/>
      <c r="F20" s="3318"/>
      <c r="G20" s="3318"/>
      <c r="H20" s="3318"/>
      <c r="I20" s="3319"/>
      <c r="J20" s="1677"/>
      <c r="K20" s="1757"/>
      <c r="L20" s="1706"/>
      <c r="M20" s="1706"/>
      <c r="N20" s="1677"/>
      <c r="O20" s="1678"/>
      <c r="P20" s="1677"/>
      <c r="Q20" s="1677"/>
      <c r="R20" s="1677"/>
      <c r="S20" s="1677"/>
      <c r="T20" s="1677"/>
      <c r="U20" s="1677"/>
    </row>
    <row r="21" spans="1:21">
      <c r="A21" s="1746" t="s">
        <v>1958</v>
      </c>
      <c r="B21" s="1747" t="s">
        <v>1959</v>
      </c>
      <c r="C21" s="1742">
        <f>'数据-汇总表'!E3</f>
        <v>79462.3</v>
      </c>
      <c r="D21" s="1743" t="s">
        <v>1960</v>
      </c>
      <c r="E21" s="3307" t="s">
        <v>1998</v>
      </c>
      <c r="F21" s="3308"/>
      <c r="G21" s="3308"/>
      <c r="H21" s="3308"/>
      <c r="I21" s="3309"/>
      <c r="J21" s="1677"/>
      <c r="K21" s="1757"/>
      <c r="L21" s="1706"/>
      <c r="M21" s="1706"/>
      <c r="N21" s="1677"/>
      <c r="O21" s="1678"/>
      <c r="P21" s="1677"/>
      <c r="Q21" s="1677"/>
      <c r="R21" s="1677"/>
      <c r="S21" s="1677"/>
      <c r="T21" s="1677"/>
      <c r="U21" s="1677"/>
    </row>
    <row r="22" spans="1:21">
      <c r="A22" s="3092" t="s">
        <v>952</v>
      </c>
      <c r="B22" s="1644" t="s">
        <v>1961</v>
      </c>
      <c r="C22" s="1669">
        <f>'数据-汇总表'!D3</f>
        <v>31784.92</v>
      </c>
      <c r="D22" s="1670" t="s">
        <v>1960</v>
      </c>
      <c r="E22" s="3307" t="s">
        <v>2887</v>
      </c>
      <c r="F22" s="3308"/>
      <c r="G22" s="3308"/>
      <c r="H22" s="3308"/>
      <c r="I22" s="3309"/>
      <c r="J22" s="1677"/>
      <c r="K22" s="1757"/>
      <c r="L22" s="1706"/>
      <c r="M22" s="1706"/>
      <c r="N22" s="1677"/>
      <c r="O22" s="1678"/>
      <c r="P22" s="1677"/>
      <c r="Q22" s="1677"/>
      <c r="R22" s="1677"/>
      <c r="S22" s="1677"/>
      <c r="T22" s="1677"/>
      <c r="U22" s="1677"/>
    </row>
    <row r="23" spans="1:21" ht="43.5" thickBot="1">
      <c r="A23" s="1748" t="s">
        <v>1962</v>
      </c>
      <c r="B23" s="1684" t="s">
        <v>1963</v>
      </c>
      <c r="C23" s="1685"/>
      <c r="D23" s="1686" t="s">
        <v>1964</v>
      </c>
      <c r="E23" s="1687"/>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1965</v>
      </c>
      <c r="B24" s="3310" t="s">
        <v>1966</v>
      </c>
      <c r="C24" s="3311"/>
      <c r="D24" s="3312" t="s">
        <v>1967</v>
      </c>
      <c r="E24" s="3313"/>
      <c r="F24" s="1691" t="s">
        <v>1968</v>
      </c>
      <c r="G24" s="1677"/>
      <c r="H24" s="1677"/>
      <c r="I24" s="1690"/>
      <c r="J24" s="1677"/>
      <c r="K24" s="3298" t="s">
        <v>1969</v>
      </c>
      <c r="L24" s="242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6"/>
      <c r="N24" s="1677"/>
      <c r="O24" s="1678"/>
      <c r="P24" s="1677"/>
      <c r="Q24" s="1677"/>
      <c r="R24" s="1677"/>
      <c r="S24" s="1677"/>
      <c r="T24" s="1677"/>
      <c r="U24" s="1677"/>
    </row>
    <row r="25" spans="1:21" ht="28.5">
      <c r="A25" s="1734"/>
      <c r="B25" s="1731" t="s">
        <v>2325</v>
      </c>
      <c r="C25" s="1692" t="s">
        <v>1970</v>
      </c>
      <c r="D25" s="1693"/>
      <c r="E25" s="1694" t="s">
        <v>952</v>
      </c>
      <c r="F25" s="1695"/>
      <c r="G25" s="1677"/>
      <c r="H25" s="1677"/>
      <c r="I25" s="1690"/>
      <c r="J25" s="1677"/>
      <c r="K25" s="3298"/>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6"/>
      <c r="N25" s="1677"/>
      <c r="O25" s="1678"/>
      <c r="P25" s="1677"/>
      <c r="Q25" s="1677"/>
      <c r="R25" s="1677"/>
      <c r="S25" s="1677"/>
      <c r="T25" s="1677"/>
      <c r="U25" s="1677"/>
    </row>
    <row r="26" spans="1:21" ht="29.25" thickBot="1">
      <c r="A26" s="1735"/>
      <c r="B26" s="1732" t="s">
        <v>1971</v>
      </c>
      <c r="C26" s="1692" t="s">
        <v>2326</v>
      </c>
      <c r="D26" s="1643"/>
      <c r="E26" s="1643"/>
      <c r="F26" s="1671"/>
      <c r="G26" s="1677"/>
      <c r="H26" s="1677"/>
      <c r="I26" s="1690"/>
      <c r="J26" s="1677"/>
      <c r="K26" s="3298"/>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1972</v>
      </c>
      <c r="B27" s="1736" t="s">
        <v>1973</v>
      </c>
      <c r="C27" s="1696"/>
      <c r="D27" s="2614" t="s">
        <v>1973</v>
      </c>
      <c r="E27" s="1697"/>
      <c r="F27" s="1671"/>
      <c r="G27" s="1677"/>
      <c r="H27" s="1677"/>
      <c r="I27" s="1690"/>
      <c r="J27" s="1677"/>
      <c r="K27" s="1757"/>
      <c r="L27" s="1706"/>
      <c r="M27" s="1706"/>
      <c r="N27" s="1677"/>
      <c r="O27" s="1678"/>
      <c r="P27" s="1677"/>
      <c r="Q27" s="1677"/>
      <c r="R27" s="1677"/>
      <c r="S27" s="1677"/>
      <c r="T27" s="1677"/>
      <c r="U27" s="1677"/>
    </row>
    <row r="28" spans="1:21">
      <c r="A28" s="1739"/>
      <c r="B28" s="1736" t="s">
        <v>1974</v>
      </c>
      <c r="C28" s="1698"/>
      <c r="D28" s="2615" t="s">
        <v>1974</v>
      </c>
      <c r="E28" s="1699"/>
      <c r="F28" s="1671"/>
      <c r="G28" s="1677"/>
      <c r="H28" s="1677"/>
      <c r="I28" s="1690"/>
      <c r="J28" s="1677"/>
      <c r="K28" s="1757"/>
      <c r="L28" s="1706"/>
      <c r="M28" s="1706"/>
      <c r="N28" s="1677"/>
      <c r="O28" s="1678"/>
      <c r="P28" s="1677"/>
      <c r="Q28" s="1677"/>
      <c r="R28" s="1677"/>
      <c r="S28" s="1677"/>
      <c r="T28" s="1677"/>
      <c r="U28" s="1677"/>
    </row>
    <row r="29" spans="1:21">
      <c r="A29" s="1739"/>
      <c r="B29" s="1736" t="s">
        <v>1975</v>
      </c>
      <c r="C29" s="1698"/>
      <c r="D29" s="2615" t="s">
        <v>1975</v>
      </c>
      <c r="E29" s="1699"/>
      <c r="F29" s="1671"/>
      <c r="G29" s="1677"/>
      <c r="H29" s="1677"/>
      <c r="I29" s="1690"/>
      <c r="J29" s="1677"/>
      <c r="K29" s="1757"/>
      <c r="L29" s="1706"/>
      <c r="M29" s="1706"/>
      <c r="N29" s="1677"/>
      <c r="O29" s="1678"/>
      <c r="P29" s="1677"/>
      <c r="Q29" s="1677"/>
      <c r="R29" s="1677"/>
      <c r="S29" s="1677"/>
      <c r="T29" s="1677"/>
      <c r="U29" s="1677"/>
    </row>
    <row r="30" spans="1:21" ht="15" thickBot="1">
      <c r="A30" s="1740"/>
      <c r="B30" s="1737" t="s">
        <v>1976</v>
      </c>
      <c r="C30" s="1700"/>
      <c r="D30" s="2616" t="s">
        <v>1976</v>
      </c>
      <c r="E30" s="1701"/>
      <c r="F30" s="1672"/>
      <c r="G30" s="1725"/>
      <c r="H30" s="1725"/>
      <c r="I30" s="1726"/>
      <c r="J30" s="1677"/>
      <c r="K30" s="1757"/>
      <c r="L30" s="1706"/>
      <c r="M30" s="1706"/>
      <c r="N30" s="1677"/>
      <c r="O30" s="1678"/>
      <c r="P30" s="1677"/>
      <c r="Q30" s="1677"/>
      <c r="R30" s="1677"/>
      <c r="S30" s="1677"/>
      <c r="T30" s="1677"/>
      <c r="U30" s="1677"/>
    </row>
    <row r="31" spans="1:21" ht="15" thickTop="1">
      <c r="A31" s="3284" t="s">
        <v>2001</v>
      </c>
      <c r="B31" s="1747" t="s">
        <v>2002</v>
      </c>
      <c r="C31" s="3323"/>
      <c r="D31" s="3324"/>
      <c r="E31" s="1677"/>
      <c r="F31" s="1677"/>
      <c r="G31" s="1677"/>
      <c r="H31" s="1677"/>
      <c r="I31" s="1690"/>
      <c r="J31" s="1677"/>
      <c r="K31" s="2421"/>
      <c r="L31" s="1677"/>
      <c r="M31" s="1677"/>
      <c r="N31" s="1677"/>
      <c r="O31" s="1677"/>
      <c r="P31" s="1677"/>
      <c r="Q31" s="1677"/>
      <c r="R31" s="1677"/>
      <c r="S31" s="1677"/>
      <c r="T31" s="1677"/>
      <c r="U31" s="1677"/>
    </row>
    <row r="32" spans="1:21">
      <c r="A32" s="3284"/>
      <c r="B32" s="1644" t="s">
        <v>2003</v>
      </c>
      <c r="C32" s="1702"/>
      <c r="D32" s="1703"/>
      <c r="E32" s="1677"/>
      <c r="F32" s="1677"/>
      <c r="G32" s="1677"/>
      <c r="H32" s="1677"/>
      <c r="I32" s="1690"/>
      <c r="J32" s="1677"/>
      <c r="K32" s="2421"/>
      <c r="L32" s="1677"/>
      <c r="M32" s="1677"/>
      <c r="N32" s="1677"/>
      <c r="O32" s="1677"/>
      <c r="P32" s="1677"/>
      <c r="Q32" s="1677"/>
      <c r="R32" s="1677"/>
      <c r="S32" s="1677"/>
      <c r="T32" s="1677"/>
      <c r="U32" s="1677"/>
    </row>
    <row r="33" spans="1:21">
      <c r="A33" s="3284"/>
      <c r="B33" s="1644" t="s">
        <v>2004</v>
      </c>
      <c r="C33" s="1704"/>
      <c r="D33" s="1821"/>
      <c r="E33" s="1677"/>
      <c r="F33" s="1677"/>
      <c r="G33" s="1677"/>
      <c r="H33" s="1677"/>
      <c r="I33" s="1690"/>
      <c r="J33" s="1677"/>
      <c r="K33" s="2421"/>
      <c r="L33" s="1677"/>
      <c r="M33" s="1677"/>
      <c r="N33" s="1677"/>
      <c r="O33" s="1677"/>
      <c r="P33" s="1677"/>
      <c r="Q33" s="1677"/>
      <c r="R33" s="1677"/>
      <c r="S33" s="1677"/>
      <c r="T33" s="1677"/>
      <c r="U33" s="1677"/>
    </row>
    <row r="34" spans="1:21">
      <c r="A34" s="3285"/>
      <c r="B34" s="1644" t="s">
        <v>2005</v>
      </c>
      <c r="C34" s="3286"/>
      <c r="D34" s="3287"/>
      <c r="E34" s="1677"/>
      <c r="F34" s="1677"/>
      <c r="G34" s="1677"/>
      <c r="H34" s="1677"/>
      <c r="I34" s="1690"/>
      <c r="J34" s="1677"/>
      <c r="K34" s="2421"/>
      <c r="L34" s="1677"/>
      <c r="M34" s="1677"/>
      <c r="N34" s="1677"/>
      <c r="O34" s="1677"/>
      <c r="P34" s="1677"/>
      <c r="Q34" s="1677"/>
      <c r="R34" s="1677"/>
      <c r="S34" s="1677"/>
      <c r="T34" s="1677"/>
      <c r="U34" s="1677"/>
    </row>
    <row r="35" spans="1:21">
      <c r="A35" s="3288" t="s">
        <v>847</v>
      </c>
      <c r="B35" s="1705"/>
      <c r="C35" s="1759" t="str">
        <f>IF(B35="场地平整","——","具体情况：")</f>
        <v>具体情况：</v>
      </c>
      <c r="D35" s="3290"/>
      <c r="E35" s="3291"/>
      <c r="F35" s="3291"/>
      <c r="G35" s="3291"/>
      <c r="H35" s="3291"/>
      <c r="I35" s="3292"/>
      <c r="J35" s="1677"/>
      <c r="K35" s="1758"/>
      <c r="L35" s="1706"/>
      <c r="M35" s="1706"/>
      <c r="N35" s="1677"/>
      <c r="O35" s="1678"/>
      <c r="P35" s="1677"/>
      <c r="Q35" s="1677"/>
      <c r="R35" s="1677"/>
      <c r="S35" s="1677"/>
      <c r="T35" s="1677"/>
      <c r="U35" s="1677"/>
    </row>
    <row r="36" spans="1:21">
      <c r="A36" s="3284"/>
      <c r="B36" s="3293" t="s">
        <v>2054</v>
      </c>
      <c r="C36" s="3294"/>
      <c r="D36" s="1775"/>
      <c r="E36" s="3295"/>
      <c r="F36" s="3295"/>
      <c r="G36" s="1670" t="str">
        <f>IF(B35="场地未平整","估价结果处理","")</f>
        <v/>
      </c>
      <c r="H36" s="3296"/>
      <c r="I36" s="3296"/>
      <c r="J36" s="1677"/>
      <c r="K36" s="1758"/>
      <c r="L36" s="1706"/>
      <c r="M36" s="1706"/>
      <c r="N36" s="1677"/>
      <c r="O36" s="1678"/>
      <c r="P36" s="1677"/>
      <c r="Q36" s="1677"/>
      <c r="R36" s="1677"/>
      <c r="S36" s="1677"/>
      <c r="T36" s="1677"/>
      <c r="U36" s="1677"/>
    </row>
    <row r="37" spans="1:21" ht="28.5">
      <c r="A37" s="3284"/>
      <c r="B37" s="3314" t="s">
        <v>848</v>
      </c>
      <c r="C37" s="1707" t="s">
        <v>849</v>
      </c>
      <c r="D37" s="1708"/>
      <c r="E37" s="1709"/>
      <c r="F37" s="1677"/>
      <c r="G37" s="1677"/>
      <c r="H37" s="1677"/>
      <c r="I37" s="1690"/>
      <c r="J37" s="1677"/>
      <c r="K37" s="1758"/>
      <c r="L37" s="1677"/>
      <c r="M37" s="1677"/>
      <c r="N37" s="1677"/>
      <c r="O37" s="1677"/>
      <c r="P37" s="1677"/>
      <c r="Q37" s="1677"/>
      <c r="R37" s="1677"/>
      <c r="S37" s="1677"/>
      <c r="T37" s="1677"/>
      <c r="U37" s="1677"/>
    </row>
    <row r="38" spans="1:21">
      <c r="A38" s="3284"/>
      <c r="B38" s="3315"/>
      <c r="C38" s="1652" t="s">
        <v>850</v>
      </c>
      <c r="D38" s="1774">
        <f>ROUNDDOWN(MIN(('数据-取费表'!$B$2-D37)/365,D34),1)</f>
        <v>120.1</v>
      </c>
      <c r="E38" s="1710" t="s">
        <v>851</v>
      </c>
      <c r="F38" s="1677"/>
      <c r="G38" s="1677"/>
      <c r="H38" s="1677"/>
      <c r="I38" s="1690"/>
      <c r="J38" s="1677"/>
      <c r="K38" s="1758"/>
      <c r="L38" s="1677"/>
      <c r="M38" s="1677"/>
      <c r="N38" s="1677"/>
      <c r="O38" s="1677"/>
      <c r="P38" s="1677"/>
      <c r="Q38" s="1677"/>
      <c r="R38" s="1677"/>
      <c r="S38" s="1677"/>
      <c r="T38" s="1677"/>
      <c r="U38" s="1677"/>
    </row>
    <row r="39" spans="1:21">
      <c r="A39" s="3285"/>
      <c r="B39" s="3316"/>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1977</v>
      </c>
      <c r="B40" s="1673"/>
      <c r="C40" s="1673"/>
      <c r="D40" s="1673"/>
      <c r="E40" s="1673"/>
      <c r="F40" s="1673"/>
      <c r="G40" s="1673"/>
      <c r="H40" s="1673"/>
      <c r="I40" s="1690"/>
      <c r="J40" s="1677"/>
      <c r="K40" s="1713">
        <f>COUNTIF(B40:H40,"——")</f>
        <v>0</v>
      </c>
      <c r="L40" s="1682" t="s">
        <v>1978</v>
      </c>
      <c r="M40" s="1679" t="s">
        <v>1979</v>
      </c>
      <c r="N40" s="1679" t="s">
        <v>1980</v>
      </c>
      <c r="O40" s="1679" t="s">
        <v>1981</v>
      </c>
      <c r="P40" s="1679" t="s">
        <v>1982</v>
      </c>
      <c r="Q40" s="1679" t="s">
        <v>1983</v>
      </c>
      <c r="R40" s="1679" t="s">
        <v>1984</v>
      </c>
      <c r="S40" s="3297" t="s">
        <v>1985</v>
      </c>
      <c r="T40" s="1714" t="str">
        <f>NUMBERSTRING(7-K40,1)&amp;"通"</f>
        <v>七通</v>
      </c>
      <c r="U40" s="1677"/>
    </row>
    <row r="41" spans="1:21" ht="28.5">
      <c r="A41" s="1646"/>
      <c r="B41" s="3289" t="s">
        <v>1721</v>
      </c>
      <c r="C41" s="3289"/>
      <c r="D41" s="3289"/>
      <c r="E41" s="3289"/>
      <c r="F41" s="1715" t="str">
        <f>C10</f>
        <v>海南省海口市</v>
      </c>
      <c r="G41" s="1677"/>
      <c r="H41" s="1677"/>
      <c r="I41" s="1690"/>
      <c r="J41" s="1677"/>
      <c r="K41" s="1682"/>
      <c r="L41" s="1679">
        <f>B40</f>
        <v>0</v>
      </c>
      <c r="M41" s="1716" t="str">
        <f>B40&amp;"、"&amp;C40</f>
        <v>、</v>
      </c>
      <c r="N41" s="1717" t="str">
        <f>B40&amp;"、"&amp;C40&amp;"、"&amp;D40</f>
        <v>、、</v>
      </c>
      <c r="O41" s="1717" t="str">
        <f>B40&amp;"、"&amp;C40&amp;"、"&amp;D40&amp;"、"&amp;E40</f>
        <v>、、、</v>
      </c>
      <c r="P41" s="1717" t="str">
        <f>B40&amp;"、"&amp;C40&amp;"、"&amp;D40&amp;"、"&amp;E40&amp;"、"&amp;F40</f>
        <v>、、、、</v>
      </c>
      <c r="Q41" s="1717" t="str">
        <f>B40&amp;"、"&amp;C40&amp;"、"&amp;D40&amp;"、"&amp;E40&amp;"、"&amp;F40&amp;"、"&amp;G40</f>
        <v>、、、、、</v>
      </c>
      <c r="R41" s="1717" t="str">
        <f>B40&amp;"、"&amp;C40&amp;"、"&amp;D40&amp;"、"&amp;E40&amp;"、"&amp;F40&amp;"、"&amp;G40&amp;"、"&amp;H40</f>
        <v>、、、、、、</v>
      </c>
      <c r="S41" s="3297"/>
      <c r="T41" s="1716" t="str">
        <f>IF(T40="一通",L41,IF(T40="二通",M41,IF(T40="三通",N41,IF(T40="四通",O41,IF(T40="五通",P41,IF(T40="六通",Q41,R41))))))</f>
        <v>、、、、、、</v>
      </c>
      <c r="U41" s="1677"/>
    </row>
    <row r="42" spans="1:21">
      <c r="A42" s="1718"/>
      <c r="B42" s="1749" t="s">
        <v>1897</v>
      </c>
      <c r="C42" s="1749" t="s">
        <v>1898</v>
      </c>
      <c r="D42" s="1749" t="s">
        <v>1899</v>
      </c>
      <c r="E42" s="1682" t="s">
        <v>1900</v>
      </c>
      <c r="F42" s="1719"/>
      <c r="G42" s="1677"/>
      <c r="H42" s="1677"/>
      <c r="I42" s="1690"/>
      <c r="J42" s="1677"/>
      <c r="K42" s="1757"/>
      <c r="L42" s="1706"/>
      <c r="M42" s="1706"/>
      <c r="N42" s="1677"/>
      <c r="O42" s="1678"/>
      <c r="P42" s="1677"/>
      <c r="Q42" s="1677"/>
      <c r="R42" s="1677"/>
      <c r="S42" s="1677"/>
      <c r="T42" s="1677"/>
      <c r="U42" s="1677"/>
    </row>
    <row r="43" spans="1:21">
      <c r="A43" s="1720" t="s">
        <v>1706</v>
      </c>
      <c r="B43" s="1721"/>
      <c r="C43" s="1721"/>
      <c r="D43" s="1721"/>
      <c r="E43" s="1721"/>
      <c r="F43" s="1722"/>
      <c r="G43" s="1677"/>
      <c r="H43" s="1677"/>
      <c r="I43" s="1690"/>
      <c r="J43" s="1677"/>
      <c r="K43" s="1757"/>
      <c r="L43" s="1706"/>
      <c r="M43" s="1706"/>
      <c r="N43" s="1677"/>
      <c r="O43" s="1678"/>
      <c r="P43" s="1677"/>
      <c r="Q43" s="1677"/>
      <c r="R43" s="1677"/>
      <c r="S43" s="1677"/>
      <c r="T43" s="1677"/>
      <c r="U43" s="1677"/>
    </row>
    <row r="44" spans="1:21">
      <c r="A44" s="1720" t="s">
        <v>1707</v>
      </c>
      <c r="B44" s="1721"/>
      <c r="C44" s="1721"/>
      <c r="D44" s="1721"/>
      <c r="E44" s="1775"/>
      <c r="F44" s="1722"/>
      <c r="G44" s="1677"/>
      <c r="H44" s="1677"/>
      <c r="I44" s="1690"/>
      <c r="J44" s="1677"/>
      <c r="K44" s="1757"/>
      <c r="L44" s="1706"/>
      <c r="M44" s="1706"/>
      <c r="N44" s="1677"/>
      <c r="O44" s="1678"/>
      <c r="P44" s="1677"/>
      <c r="Q44" s="1677"/>
      <c r="R44" s="1677"/>
      <c r="S44" s="1677"/>
      <c r="T44" s="1677"/>
      <c r="U44" s="1677"/>
    </row>
    <row r="45" spans="1:21" s="3019" customFormat="1" ht="21" thickBot="1">
      <c r="A45" s="3020" t="s">
        <v>2888</v>
      </c>
      <c r="B45" s="3015"/>
      <c r="C45" s="3015"/>
      <c r="D45" s="3015"/>
      <c r="E45" s="3015"/>
      <c r="F45" s="3015"/>
      <c r="G45" s="3015"/>
      <c r="H45" s="3015"/>
      <c r="I45" s="3016"/>
      <c r="J45" s="3015"/>
      <c r="K45" s="3017"/>
      <c r="L45" s="3018"/>
      <c r="M45" s="3018"/>
      <c r="N45" s="3015"/>
      <c r="O45" s="3016"/>
      <c r="P45" s="3015"/>
      <c r="Q45" s="3015"/>
      <c r="R45" s="3015"/>
      <c r="S45" s="3015"/>
      <c r="T45" s="3015"/>
      <c r="U45" s="3015"/>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2006</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28.5">
      <c r="A48" s="1682" t="s">
        <v>2007</v>
      </c>
      <c r="B48" s="1669" t="s">
        <v>2008</v>
      </c>
      <c r="C48" s="1669" t="s">
        <v>2009</v>
      </c>
      <c r="D48" s="1669" t="s">
        <v>2010</v>
      </c>
      <c r="E48" s="1669" t="s">
        <v>2011</v>
      </c>
      <c r="F48" s="1669" t="s">
        <v>2012</v>
      </c>
      <c r="G48" s="1669" t="s">
        <v>2013</v>
      </c>
      <c r="H48" s="1669" t="s">
        <v>2014</v>
      </c>
      <c r="I48" s="1669" t="s">
        <v>2015</v>
      </c>
      <c r="J48" s="1755" t="s">
        <v>2016</v>
      </c>
      <c r="K48" s="1749" t="s">
        <v>2017</v>
      </c>
      <c r="L48" s="1749" t="s">
        <v>2018</v>
      </c>
      <c r="M48" s="1749" t="s">
        <v>2019</v>
      </c>
      <c r="N48" s="1669" t="s">
        <v>2020</v>
      </c>
      <c r="O48" s="1669" t="s">
        <v>2021</v>
      </c>
      <c r="P48" s="1669" t="s">
        <v>2022</v>
      </c>
      <c r="Q48" s="1682" t="s">
        <v>2023</v>
      </c>
      <c r="R48" s="1682" t="s">
        <v>2024</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39"/>
  <sheetViews>
    <sheetView workbookViewId="0">
      <selection activeCell="F26" sqref="F26"/>
    </sheetView>
  </sheetViews>
  <sheetFormatPr defaultColWidth="9" defaultRowHeight="12"/>
  <cols>
    <col min="1" max="1" width="19.25" style="3191" bestFit="1" customWidth="1"/>
    <col min="2" max="2" width="32.875" style="3191" bestFit="1" customWidth="1"/>
    <col min="3" max="3" width="22.25" style="3191" bestFit="1" customWidth="1"/>
    <col min="4" max="4" width="10" style="3191" bestFit="1" customWidth="1"/>
    <col min="5" max="5" width="8.75" style="3191" bestFit="1" customWidth="1"/>
    <col min="6" max="6" width="28.125" style="3191" bestFit="1" customWidth="1"/>
    <col min="7" max="7" width="15" style="3191" bestFit="1" customWidth="1"/>
    <col min="8" max="10" width="9" style="3191"/>
    <col min="11" max="11" width="11.75" style="3191" bestFit="1" customWidth="1"/>
    <col min="12" max="12" width="9.625" style="3191" bestFit="1" customWidth="1"/>
    <col min="13" max="16384" width="9" style="3191"/>
  </cols>
  <sheetData>
    <row r="2" spans="1:13">
      <c r="A2" s="3191" t="s">
        <v>3124</v>
      </c>
      <c r="B2" s="3191" t="s">
        <v>3125</v>
      </c>
      <c r="C2" s="3191" t="s">
        <v>3126</v>
      </c>
      <c r="D2" s="3191" t="s">
        <v>3127</v>
      </c>
      <c r="E2" s="3191" t="s">
        <v>3128</v>
      </c>
      <c r="F2" s="3191" t="s">
        <v>3129</v>
      </c>
      <c r="G2" s="3191" t="s">
        <v>3130</v>
      </c>
      <c r="H2" s="3191" t="s">
        <v>3131</v>
      </c>
      <c r="I2" s="3191" t="s">
        <v>3132</v>
      </c>
      <c r="J2" s="3191" t="s">
        <v>3133</v>
      </c>
      <c r="K2" s="3191" t="s">
        <v>3134</v>
      </c>
      <c r="L2" s="3191" t="s">
        <v>3135</v>
      </c>
      <c r="M2" s="3191" t="s">
        <v>3136</v>
      </c>
    </row>
    <row r="3" spans="1:13">
      <c r="A3" s="3191" t="s">
        <v>3137</v>
      </c>
      <c r="B3" s="3191" t="s">
        <v>3138</v>
      </c>
      <c r="C3" s="3191" t="s">
        <v>3139</v>
      </c>
      <c r="D3" s="3191" t="s">
        <v>3140</v>
      </c>
      <c r="E3" s="3191">
        <v>31784.92</v>
      </c>
      <c r="F3" s="3191" t="s">
        <v>3141</v>
      </c>
      <c r="G3" s="3192">
        <v>42133</v>
      </c>
      <c r="H3" s="3191" t="s">
        <v>3142</v>
      </c>
      <c r="I3" s="3191" t="s">
        <v>3143</v>
      </c>
      <c r="J3" s="3191" t="s">
        <v>3144</v>
      </c>
      <c r="K3" s="3191">
        <v>6735.8602460000002</v>
      </c>
      <c r="L3" s="3193">
        <v>43143</v>
      </c>
      <c r="M3" s="3191" t="s">
        <v>3145</v>
      </c>
    </row>
    <row r="4" spans="1:13">
      <c r="A4" s="3191" t="s">
        <v>3137</v>
      </c>
      <c r="B4" s="3191" t="s">
        <v>3146</v>
      </c>
      <c r="C4" s="3191" t="s">
        <v>3139</v>
      </c>
      <c r="D4" s="3191" t="s">
        <v>3140</v>
      </c>
      <c r="E4" s="3191">
        <v>86061.55</v>
      </c>
      <c r="F4" s="3191" t="s">
        <v>3141</v>
      </c>
      <c r="G4" s="3192">
        <v>42133</v>
      </c>
      <c r="H4" s="3191" t="s">
        <v>3147</v>
      </c>
      <c r="I4" s="3191" t="s">
        <v>3143</v>
      </c>
      <c r="J4" s="3191" t="s">
        <v>3144</v>
      </c>
      <c r="K4" s="3191">
        <v>18757.631099999999</v>
      </c>
      <c r="L4" s="3193">
        <v>43143</v>
      </c>
      <c r="M4" s="3191" t="s">
        <v>3148</v>
      </c>
    </row>
    <row r="7" spans="1:13">
      <c r="C7" s="3194" t="s">
        <v>3149</v>
      </c>
      <c r="D7" s="3194"/>
    </row>
    <row r="8" spans="1:13">
      <c r="C8" s="3194" t="s">
        <v>3128</v>
      </c>
      <c r="D8" s="3194">
        <f>E3+E4</f>
        <v>117846.47</v>
      </c>
    </row>
    <row r="9" spans="1:13">
      <c r="C9" s="3194" t="s">
        <v>3150</v>
      </c>
      <c r="D9" s="3194">
        <v>311828.49</v>
      </c>
    </row>
    <row r="10" spans="1:13">
      <c r="C10" s="3194" t="s">
        <v>3151</v>
      </c>
      <c r="D10" s="3194">
        <v>10781.68</v>
      </c>
    </row>
    <row r="11" spans="1:13">
      <c r="C11" s="3194" t="s">
        <v>3152</v>
      </c>
      <c r="D11" s="3194">
        <v>52862.44</v>
      </c>
    </row>
    <row r="12" spans="1:13">
      <c r="C12" s="3194" t="s">
        <v>3153</v>
      </c>
      <c r="D12" s="3194">
        <v>960</v>
      </c>
    </row>
    <row r="13" spans="1:13">
      <c r="C13" s="3194" t="s">
        <v>3154</v>
      </c>
      <c r="D13" s="3194">
        <v>1089</v>
      </c>
    </row>
    <row r="14" spans="1:13">
      <c r="C14" s="3194" t="s">
        <v>3155</v>
      </c>
      <c r="D14" s="3194">
        <v>976.28</v>
      </c>
    </row>
    <row r="15" spans="1:13">
      <c r="C15" s="3194" t="s">
        <v>3156</v>
      </c>
      <c r="D15" s="3194">
        <v>500</v>
      </c>
    </row>
    <row r="16" spans="1:13">
      <c r="C16" s="3194" t="s">
        <v>3157</v>
      </c>
      <c r="D16" s="3194">
        <v>242294.11</v>
      </c>
    </row>
    <row r="17" spans="3:5">
      <c r="C17" s="3194" t="s">
        <v>3158</v>
      </c>
      <c r="D17" s="3194">
        <v>2364.98</v>
      </c>
    </row>
    <row r="20" spans="3:5">
      <c r="C20" s="3194" t="s">
        <v>3159</v>
      </c>
      <c r="D20" s="3194"/>
      <c r="E20" s="3191" t="s">
        <v>3160</v>
      </c>
    </row>
    <row r="21" spans="3:5">
      <c r="C21" s="3194" t="s">
        <v>3128</v>
      </c>
      <c r="D21" s="3194">
        <f>E3</f>
        <v>31784.92</v>
      </c>
    </row>
    <row r="22" spans="3:5">
      <c r="C22" s="3194" t="s">
        <v>3150</v>
      </c>
      <c r="D22" s="3194">
        <v>79462.3</v>
      </c>
      <c r="E22" s="3191">
        <f>ROUND(K3/D22*10000,0)</f>
        <v>848</v>
      </c>
    </row>
    <row r="23" spans="3:5">
      <c r="C23" s="3194" t="s">
        <v>3151</v>
      </c>
      <c r="D23" s="3194">
        <v>4369.76</v>
      </c>
    </row>
    <row r="24" spans="3:5">
      <c r="C24" s="3194" t="s">
        <v>3152</v>
      </c>
      <c r="D24" s="3194">
        <v>11545.32</v>
      </c>
    </row>
    <row r="25" spans="3:5">
      <c r="C25" s="3194" t="s">
        <v>3153</v>
      </c>
      <c r="D25" s="3194">
        <v>960</v>
      </c>
    </row>
    <row r="26" spans="3:5">
      <c r="C26" s="3194" t="s">
        <v>3154</v>
      </c>
      <c r="D26" s="3194">
        <v>1089</v>
      </c>
    </row>
    <row r="27" spans="3:5">
      <c r="C27" s="3194" t="s">
        <v>3155</v>
      </c>
      <c r="D27" s="3194">
        <v>976.28</v>
      </c>
    </row>
    <row r="28" spans="3:5">
      <c r="C28" s="3194" t="s">
        <v>3157</v>
      </c>
      <c r="D28" s="3194">
        <v>59916.959999999999</v>
      </c>
    </row>
    <row r="29" spans="3:5">
      <c r="C29" s="3194" t="s">
        <v>3158</v>
      </c>
      <c r="D29" s="3194">
        <v>604.98</v>
      </c>
    </row>
    <row r="32" spans="3:5">
      <c r="C32" s="3194" t="s">
        <v>3161</v>
      </c>
      <c r="D32" s="3194"/>
    </row>
    <row r="33" spans="3:5">
      <c r="C33" s="3194" t="s">
        <v>3128</v>
      </c>
      <c r="D33" s="3194">
        <f>E4</f>
        <v>86061.55</v>
      </c>
    </row>
    <row r="34" spans="3:5">
      <c r="C34" s="3194" t="s">
        <v>3150</v>
      </c>
      <c r="D34" s="3194">
        <v>232366.19</v>
      </c>
      <c r="E34" s="3191">
        <f>ROUND(K4/D34*10000,0)</f>
        <v>807</v>
      </c>
    </row>
    <row r="35" spans="3:5">
      <c r="C35" s="3194" t="s">
        <v>3151</v>
      </c>
      <c r="D35" s="3194">
        <v>6411.92</v>
      </c>
    </row>
    <row r="36" spans="3:5">
      <c r="C36" s="3194" t="s">
        <v>3152</v>
      </c>
      <c r="D36" s="3194">
        <v>41317.120000000003</v>
      </c>
    </row>
    <row r="37" spans="3:5">
      <c r="C37" s="3194" t="s">
        <v>3156</v>
      </c>
      <c r="D37" s="3194">
        <v>500</v>
      </c>
    </row>
    <row r="38" spans="3:5">
      <c r="C38" s="3194" t="s">
        <v>3157</v>
      </c>
      <c r="D38" s="3194">
        <v>182509.7</v>
      </c>
    </row>
    <row r="39" spans="3:5">
      <c r="C39" s="3194" t="s">
        <v>3158</v>
      </c>
      <c r="D39" s="3194">
        <v>1627.45</v>
      </c>
    </row>
  </sheetData>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4" sqref="K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hidden="1" customWidth="1"/>
    <col min="32" max="37" width="9.5" style="15" hidden="1" customWidth="1"/>
    <col min="38" max="39" width="9.5" style="15" customWidth="1"/>
    <col min="40" max="40" width="11.25" style="15" customWidth="1"/>
    <col min="41"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3" t="s">
        <v>2333</v>
      </c>
      <c r="BA2" s="2324" t="s">
        <v>2332</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f>基本情况表!D21</f>
        <v>31784.92</v>
      </c>
      <c r="B3" s="22">
        <f>IF(C3="否",G5-AT5,G5)</f>
        <v>79462.3</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5"/>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79462.3</v>
      </c>
      <c r="H5" s="27">
        <f t="shared" ref="H5:AT5" si="0">SUM(H13:H641)</f>
        <v>78857.320000000007</v>
      </c>
      <c r="I5" s="27">
        <f t="shared" si="0"/>
        <v>52440.110000000008</v>
      </c>
      <c r="J5" s="27">
        <f t="shared" si="0"/>
        <v>0</v>
      </c>
      <c r="K5" s="27">
        <f t="shared" si="0"/>
        <v>2760.01</v>
      </c>
      <c r="L5" s="27">
        <f t="shared" si="0"/>
        <v>0</v>
      </c>
      <c r="M5" s="27">
        <f t="shared" si="0"/>
        <v>23657.200000000001</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604.98</v>
      </c>
      <c r="AD5" s="27">
        <f t="shared" si="0"/>
        <v>0</v>
      </c>
      <c r="AE5" s="27">
        <f t="shared" si="0"/>
        <v>0</v>
      </c>
      <c r="AF5" s="27">
        <f t="shared" si="0"/>
        <v>0</v>
      </c>
      <c r="AG5" s="27">
        <f t="shared" si="0"/>
        <v>0</v>
      </c>
      <c r="AH5" s="27">
        <f t="shared" si="0"/>
        <v>0</v>
      </c>
      <c r="AI5" s="27">
        <f t="shared" si="0"/>
        <v>0</v>
      </c>
      <c r="AJ5" s="27">
        <f t="shared" si="0"/>
        <v>0</v>
      </c>
      <c r="AK5" s="27">
        <f t="shared" si="0"/>
        <v>0</v>
      </c>
      <c r="AL5" s="27">
        <f t="shared" si="0"/>
        <v>604.98</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79462.3</v>
      </c>
      <c r="BA5" s="29">
        <f t="shared" si="1"/>
        <v>78857.320000000007</v>
      </c>
      <c r="BB5" s="29">
        <f t="shared" si="1"/>
        <v>52440.110000000008</v>
      </c>
      <c r="BC5" s="29">
        <f t="shared" si="1"/>
        <v>2760.01</v>
      </c>
      <c r="BD5" s="29">
        <f t="shared" si="1"/>
        <v>23657.200000000001</v>
      </c>
      <c r="BE5" s="29">
        <f t="shared" si="1"/>
        <v>0</v>
      </c>
      <c r="BF5" s="29">
        <f t="shared" si="1"/>
        <v>0</v>
      </c>
      <c r="BG5" s="29">
        <f t="shared" si="1"/>
        <v>0</v>
      </c>
      <c r="BH5" s="29">
        <f t="shared" si="1"/>
        <v>0</v>
      </c>
      <c r="BI5" s="29">
        <f t="shared" si="1"/>
        <v>0</v>
      </c>
      <c r="BJ5" s="29">
        <f t="shared" si="1"/>
        <v>0</v>
      </c>
      <c r="BK5" s="29">
        <f t="shared" si="1"/>
        <v>0</v>
      </c>
      <c r="BL5" s="29">
        <f t="shared" si="1"/>
        <v>604.98</v>
      </c>
      <c r="BM5" s="29">
        <f t="shared" si="1"/>
        <v>0</v>
      </c>
      <c r="BN5" s="29">
        <f t="shared" si="1"/>
        <v>0</v>
      </c>
      <c r="BO5" s="29">
        <f t="shared" si="1"/>
        <v>0</v>
      </c>
      <c r="BP5" s="29">
        <f t="shared" si="1"/>
        <v>0</v>
      </c>
      <c r="BQ5" s="29">
        <f t="shared" si="1"/>
        <v>604.98</v>
      </c>
      <c r="BR5" s="29">
        <f t="shared" si="1"/>
        <v>0</v>
      </c>
      <c r="BS5" s="29">
        <f t="shared" si="1"/>
        <v>0</v>
      </c>
      <c r="BT5" s="30">
        <f t="shared" si="1"/>
        <v>0</v>
      </c>
    </row>
    <row r="6" spans="1:72" s="37" customFormat="1" ht="12.75">
      <c r="A6" s="26" t="s">
        <v>169</v>
      </c>
      <c r="B6" s="31"/>
      <c r="C6" s="31"/>
      <c r="D6" s="32"/>
      <c r="E6" s="27">
        <f>H6+AC6+AT6</f>
        <v>31784.91</v>
      </c>
      <c r="F6" s="27" t="s">
        <v>1</v>
      </c>
      <c r="G6" s="27" t="s">
        <v>2</v>
      </c>
      <c r="H6" s="33">
        <f>SUMIF(I$12:AB$12,"总值",I6:AB6)</f>
        <v>31542.92</v>
      </c>
      <c r="I6" s="27">
        <f t="shared" ref="I6:AB6" si="2">ROUND($A$3*I5/$B$3,2)</f>
        <v>20976.04</v>
      </c>
      <c r="J6" s="27">
        <f t="shared" si="2"/>
        <v>0</v>
      </c>
      <c r="K6" s="27">
        <f t="shared" si="2"/>
        <v>1104</v>
      </c>
      <c r="L6" s="27">
        <f t="shared" si="2"/>
        <v>0</v>
      </c>
      <c r="M6" s="27">
        <f t="shared" si="2"/>
        <v>9462.8799999999992</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241.99</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241.99</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31784.92</v>
      </c>
      <c r="AZ6" s="27" t="s">
        <v>3</v>
      </c>
      <c r="BA6" s="27">
        <f>ROUND($AY$6*BA5/$AZ$5,2)</f>
        <v>31542.93</v>
      </c>
      <c r="BB6" s="27">
        <f>ROUND($AY$6*BB5/$AZ$5,2)</f>
        <v>20976.04</v>
      </c>
      <c r="BC6" s="27">
        <f t="shared" ref="BC6:BH6" si="4">ROUND($AY$6*BC5/$AZ$5,2)</f>
        <v>1104</v>
      </c>
      <c r="BD6" s="27">
        <f t="shared" si="4"/>
        <v>9462.8799999999992</v>
      </c>
      <c r="BE6" s="27">
        <f t="shared" si="4"/>
        <v>0</v>
      </c>
      <c r="BF6" s="27">
        <f t="shared" si="4"/>
        <v>0</v>
      </c>
      <c r="BG6" s="27">
        <f t="shared" si="4"/>
        <v>0</v>
      </c>
      <c r="BH6" s="27">
        <f t="shared" si="4"/>
        <v>0</v>
      </c>
      <c r="BI6" s="27">
        <f t="shared" ref="BI6:BT6" si="5">ROUND($AY$6*BI5/$AZ$5,2)</f>
        <v>0</v>
      </c>
      <c r="BJ6" s="27">
        <f t="shared" si="5"/>
        <v>0</v>
      </c>
      <c r="BK6" s="27">
        <f t="shared" si="5"/>
        <v>0</v>
      </c>
      <c r="BL6" s="27">
        <f t="shared" si="5"/>
        <v>241.99</v>
      </c>
      <c r="BM6" s="27">
        <f t="shared" si="5"/>
        <v>0</v>
      </c>
      <c r="BN6" s="27">
        <f t="shared" si="5"/>
        <v>0</v>
      </c>
      <c r="BO6" s="27">
        <f t="shared" si="5"/>
        <v>0</v>
      </c>
      <c r="BP6" s="27">
        <f t="shared" si="5"/>
        <v>0</v>
      </c>
      <c r="BQ6" s="27">
        <f t="shared" si="5"/>
        <v>241.99</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1"/>
      <c r="AT8" s="2312"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67" t="s">
        <v>2998</v>
      </c>
      <c r="J9" s="51"/>
      <c r="K9" s="2967" t="s">
        <v>2998</v>
      </c>
      <c r="L9" s="51"/>
      <c r="M9" s="2967" t="s">
        <v>2998</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3"/>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67" t="s">
        <v>2996</v>
      </c>
      <c r="J10" s="51"/>
      <c r="K10" s="2969" t="s">
        <v>2996</v>
      </c>
      <c r="L10" s="51"/>
      <c r="M10" s="2969" t="s">
        <v>923</v>
      </c>
      <c r="N10" s="51"/>
      <c r="O10" s="66"/>
      <c r="P10" s="51"/>
      <c r="Q10" s="66"/>
      <c r="R10" s="51"/>
      <c r="S10" s="66"/>
      <c r="T10" s="51"/>
      <c r="U10" s="66"/>
      <c r="V10" s="51"/>
      <c r="W10" s="66"/>
      <c r="X10" s="51"/>
      <c r="Y10" s="66"/>
      <c r="Z10" s="51"/>
      <c r="AA10" s="66"/>
      <c r="AB10" s="51"/>
      <c r="AC10" s="55"/>
      <c r="AD10" s="2298" t="s">
        <v>2317</v>
      </c>
      <c r="AE10" s="2320"/>
      <c r="AF10" s="2298" t="s">
        <v>2317</v>
      </c>
      <c r="AG10" s="2320"/>
      <c r="AH10" s="2298" t="s">
        <v>2318</v>
      </c>
      <c r="AI10" s="2320"/>
      <c r="AJ10" s="26" t="s">
        <v>2331</v>
      </c>
      <c r="AK10" s="2317"/>
      <c r="AL10" s="2298" t="s">
        <v>2319</v>
      </c>
      <c r="AM10" s="2299"/>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68" t="s">
        <v>3162</v>
      </c>
      <c r="J11" s="71"/>
      <c r="K11" s="2968" t="s">
        <v>3163</v>
      </c>
      <c r="L11" s="71"/>
      <c r="M11" s="70" t="s">
        <v>3164</v>
      </c>
      <c r="N11" s="71"/>
      <c r="O11" s="70"/>
      <c r="P11" s="71"/>
      <c r="Q11" s="70"/>
      <c r="R11" s="71"/>
      <c r="S11" s="70"/>
      <c r="T11" s="71"/>
      <c r="U11" s="70"/>
      <c r="V11" s="71"/>
      <c r="W11" s="70"/>
      <c r="X11" s="71"/>
      <c r="Y11" s="70"/>
      <c r="Z11" s="71"/>
      <c r="AA11" s="70"/>
      <c r="AB11" s="71"/>
      <c r="AC11" s="55"/>
      <c r="AD11" s="2318" t="s">
        <v>2330</v>
      </c>
      <c r="AE11" s="1002"/>
      <c r="AF11" s="2318" t="s">
        <v>2330</v>
      </c>
      <c r="AG11" s="1002"/>
      <c r="AH11" s="2318" t="s">
        <v>2329</v>
      </c>
      <c r="AI11" s="2319"/>
      <c r="AJ11" s="2318" t="s">
        <v>2329</v>
      </c>
      <c r="AK11" s="2317"/>
      <c r="AL11" s="1000"/>
      <c r="AM11" s="1002"/>
      <c r="AN11" s="1000"/>
      <c r="AO11" s="1002"/>
      <c r="AP11" s="1184"/>
      <c r="AQ11" s="1186"/>
      <c r="AR11" s="1184"/>
      <c r="AS11" s="1186"/>
      <c r="AT11" s="1003"/>
      <c r="AU11" s="45"/>
      <c r="AV11" s="55"/>
      <c r="AW11" s="1003"/>
      <c r="AX11" s="55"/>
      <c r="AY11" s="62"/>
      <c r="AZ11" s="62"/>
      <c r="BA11" s="62"/>
      <c r="BB11" s="50" t="str">
        <f>I10</f>
        <v>商业</v>
      </c>
      <c r="BC11" s="50" t="str">
        <f>K10</f>
        <v>商业</v>
      </c>
      <c r="BD11" s="50" t="str">
        <f>M10</f>
        <v>住宅</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LOFT住宅</v>
      </c>
      <c r="BC12" s="79" t="str">
        <f>K11</f>
        <v>独立商业</v>
      </c>
      <c r="BD12" s="79" t="str">
        <f>M11</f>
        <v>普通住宅</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5"/>
      <c r="B13" s="2965"/>
      <c r="C13" s="3187">
        <f>基本情况表!D22</f>
        <v>79462.3</v>
      </c>
      <c r="D13" s="80" t="s">
        <v>1678</v>
      </c>
      <c r="E13" s="27">
        <f t="shared" ref="E13:E20" si="6">IF($C$3="是",ROUND($A$3*G13/$B$3,2),ROUND($A$3*(G13-AT13)/$B$3,2))</f>
        <v>31784.92</v>
      </c>
      <c r="F13" s="81"/>
      <c r="G13" s="82">
        <f t="shared" ref="G13:G20" si="7">H13+AC13+AT13</f>
        <v>79462.3</v>
      </c>
      <c r="H13" s="33">
        <f t="shared" ref="H13:H20" si="8">SUMIF(I$12:AB$12,"总值",I13:AB13)</f>
        <v>78857.320000000007</v>
      </c>
      <c r="I13" s="2966">
        <f>C13-K13-M13-AC13</f>
        <v>52440.110000000008</v>
      </c>
      <c r="J13" s="2966"/>
      <c r="K13" s="2966">
        <f>ROUND((C13-M13-AC13)*0.05,2)</f>
        <v>2760.01</v>
      </c>
      <c r="L13" s="2966"/>
      <c r="M13" s="2966">
        <f>ROUND((C13-AL13)*0.3,2)</f>
        <v>23657.200000000001</v>
      </c>
      <c r="N13" s="83"/>
      <c r="O13" s="83"/>
      <c r="P13" s="83"/>
      <c r="Q13" s="83"/>
      <c r="R13" s="83"/>
      <c r="S13" s="83"/>
      <c r="T13" s="83"/>
      <c r="U13" s="83"/>
      <c r="V13" s="83"/>
      <c r="W13" s="83"/>
      <c r="X13" s="83"/>
      <c r="Y13" s="83"/>
      <c r="Z13" s="83"/>
      <c r="AA13" s="83"/>
      <c r="AB13" s="83"/>
      <c r="AC13" s="27">
        <f t="shared" ref="AC13:AC20" si="9">SUMIF(AD$12:AS$12,"总值",AD13:AS13)</f>
        <v>604.98</v>
      </c>
      <c r="AD13" s="2970"/>
      <c r="AE13" s="2970"/>
      <c r="AF13" s="2970"/>
      <c r="AG13" s="2970"/>
      <c r="AH13" s="2970"/>
      <c r="AI13" s="2970"/>
      <c r="AJ13" s="2970"/>
      <c r="AK13" s="2970"/>
      <c r="AL13" s="2970">
        <f>基本情况表!D29</f>
        <v>604.98</v>
      </c>
      <c r="AM13" s="2970"/>
      <c r="AN13" s="2970"/>
      <c r="AO13" s="2970"/>
      <c r="AP13" s="2970"/>
      <c r="AQ13" s="2970"/>
      <c r="AR13" s="2970"/>
      <c r="AS13" s="2970"/>
      <c r="AT13" s="2971"/>
      <c r="AU13" s="2972"/>
      <c r="AV13" s="17">
        <f t="shared" ref="AV13:AX20" si="10">A13</f>
        <v>0</v>
      </c>
      <c r="AW13" s="17">
        <f t="shared" si="10"/>
        <v>0</v>
      </c>
      <c r="AX13" s="17">
        <f t="shared" si="10"/>
        <v>79462.3</v>
      </c>
      <c r="AY13" s="996">
        <f t="shared" ref="AY13:AY20" si="11">ROUND($AY$6*AZ13/$AZ$5,2)</f>
        <v>31784.92</v>
      </c>
      <c r="AZ13" s="27">
        <f t="shared" ref="AZ13:AZ20" si="12">BA13+BL13</f>
        <v>79462.3</v>
      </c>
      <c r="BA13" s="27">
        <f t="shared" ref="BA13:BA20" si="13">SUM(BB13:BK13)</f>
        <v>78857.320000000007</v>
      </c>
      <c r="BB13" s="27">
        <f t="shared" ref="BB13:BB20" si="14">IF($D13="是",I13-J13,0)</f>
        <v>52440.110000000008</v>
      </c>
      <c r="BC13" s="27">
        <f t="shared" ref="BC13:BC20" si="15">IF($D13="是",K13-L13,0)</f>
        <v>2760.01</v>
      </c>
      <c r="BD13" s="27">
        <f t="shared" ref="BD13:BD20" si="16">IF($D13="是",M13-N13,0)</f>
        <v>23657.200000000001</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604.98</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604.98</v>
      </c>
      <c r="BR13" s="27">
        <f t="shared" ref="BR13:BR20" si="30">IF($D13="是",AN13-AO13,0)</f>
        <v>0</v>
      </c>
      <c r="BS13" s="27">
        <f t="shared" ref="BS13:BS20" si="31">IF($D13="是",AP13-AQ13,0)</f>
        <v>0</v>
      </c>
      <c r="BT13" s="36">
        <f t="shared" ref="BT13:BT20" si="32">IF($D13="是",AR13-AS13,0)</f>
        <v>0</v>
      </c>
    </row>
    <row r="14" spans="1:72" s="18" customFormat="1" ht="12.75">
      <c r="A14" s="2965"/>
      <c r="B14" s="2965"/>
      <c r="C14" s="3188"/>
      <c r="D14" s="80"/>
      <c r="E14" s="27">
        <f t="shared" si="6"/>
        <v>0</v>
      </c>
      <c r="F14" s="81"/>
      <c r="G14" s="82">
        <f t="shared" si="7"/>
        <v>0</v>
      </c>
      <c r="H14" s="33">
        <f t="shared" si="8"/>
        <v>0</v>
      </c>
      <c r="I14" s="2966"/>
      <c r="J14" s="2966"/>
      <c r="K14" s="2966"/>
      <c r="L14" s="2966"/>
      <c r="M14" s="2966"/>
      <c r="N14" s="83"/>
      <c r="O14" s="83"/>
      <c r="P14" s="83"/>
      <c r="Q14" s="83"/>
      <c r="R14" s="83"/>
      <c r="S14" s="83"/>
      <c r="T14" s="83"/>
      <c r="U14" s="83"/>
      <c r="V14" s="83"/>
      <c r="W14" s="83"/>
      <c r="X14" s="83"/>
      <c r="Y14" s="83"/>
      <c r="Z14" s="83"/>
      <c r="AA14" s="83"/>
      <c r="AB14" s="83"/>
      <c r="AC14" s="27">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5"/>
      <c r="B15" s="2965"/>
      <c r="C15" s="3188"/>
      <c r="D15" s="80"/>
      <c r="E15" s="27">
        <f t="shared" si="6"/>
        <v>0</v>
      </c>
      <c r="F15" s="81"/>
      <c r="G15" s="82">
        <f t="shared" si="7"/>
        <v>0</v>
      </c>
      <c r="H15" s="33">
        <f t="shared" si="8"/>
        <v>0</v>
      </c>
      <c r="I15" s="2966"/>
      <c r="J15" s="2966"/>
      <c r="K15" s="2966"/>
      <c r="L15" s="2966"/>
      <c r="M15" s="2966"/>
      <c r="N15" s="83"/>
      <c r="O15" s="83"/>
      <c r="P15" s="83"/>
      <c r="Q15" s="83"/>
      <c r="R15" s="83"/>
      <c r="S15" s="83"/>
      <c r="T15" s="83"/>
      <c r="U15" s="83"/>
      <c r="V15" s="83"/>
      <c r="W15" s="83"/>
      <c r="X15" s="83"/>
      <c r="Y15" s="83"/>
      <c r="Z15" s="83"/>
      <c r="AA15" s="83"/>
      <c r="AB15" s="83"/>
      <c r="AC15" s="27">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5"/>
      <c r="B16" s="2965"/>
      <c r="C16" s="3187"/>
      <c r="D16" s="80"/>
      <c r="E16" s="27">
        <f t="shared" si="6"/>
        <v>0</v>
      </c>
      <c r="F16" s="81"/>
      <c r="G16" s="82">
        <f t="shared" si="7"/>
        <v>0</v>
      </c>
      <c r="H16" s="33">
        <f t="shared" si="8"/>
        <v>0</v>
      </c>
      <c r="I16" s="2966"/>
      <c r="J16" s="2966"/>
      <c r="K16" s="2966"/>
      <c r="L16" s="2966"/>
      <c r="M16" s="2966"/>
      <c r="N16" s="83"/>
      <c r="O16" s="83"/>
      <c r="P16" s="83"/>
      <c r="Q16" s="83"/>
      <c r="R16" s="83"/>
      <c r="S16" s="83"/>
      <c r="T16" s="83"/>
      <c r="U16" s="83"/>
      <c r="V16" s="83"/>
      <c r="W16" s="83"/>
      <c r="X16" s="83"/>
      <c r="Y16" s="83"/>
      <c r="Z16" s="83"/>
      <c r="AA16" s="83"/>
      <c r="AB16" s="83"/>
      <c r="AC16" s="27">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5"/>
      <c r="B17" s="2965"/>
      <c r="C17" s="3188"/>
      <c r="D17" s="80"/>
      <c r="E17" s="27">
        <f t="shared" si="6"/>
        <v>0</v>
      </c>
      <c r="F17" s="81"/>
      <c r="G17" s="82">
        <f t="shared" si="7"/>
        <v>0</v>
      </c>
      <c r="H17" s="33">
        <f t="shared" si="8"/>
        <v>0</v>
      </c>
      <c r="I17" s="2966"/>
      <c r="J17" s="2966"/>
      <c r="K17" s="2966"/>
      <c r="L17" s="2966"/>
      <c r="M17" s="2966"/>
      <c r="N17" s="83"/>
      <c r="O17" s="83"/>
      <c r="P17" s="83"/>
      <c r="Q17" s="83"/>
      <c r="R17" s="83"/>
      <c r="S17" s="83"/>
      <c r="T17" s="83"/>
      <c r="U17" s="83"/>
      <c r="V17" s="83"/>
      <c r="W17" s="83"/>
      <c r="X17" s="83"/>
      <c r="Y17" s="83"/>
      <c r="Z17" s="83"/>
      <c r="AA17" s="83"/>
      <c r="AB17" s="83"/>
      <c r="AC17" s="27">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187"/>
      <c r="D18" s="80"/>
      <c r="E18" s="87">
        <f t="shared" si="6"/>
        <v>0</v>
      </c>
      <c r="F18" s="88"/>
      <c r="G18" s="89">
        <f t="shared" si="7"/>
        <v>0</v>
      </c>
      <c r="H18" s="90">
        <f t="shared" si="8"/>
        <v>0</v>
      </c>
      <c r="I18" s="2966"/>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60"/>
      <c r="AM18" s="92"/>
      <c r="AN18" s="2970"/>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3188"/>
      <c r="D19" s="80"/>
      <c r="E19" s="87">
        <f t="shared" si="6"/>
        <v>0</v>
      </c>
      <c r="F19" s="88"/>
      <c r="G19" s="89">
        <f t="shared" si="7"/>
        <v>0</v>
      </c>
      <c r="H19" s="90">
        <f t="shared" si="8"/>
        <v>0</v>
      </c>
      <c r="I19" s="2966"/>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2970"/>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3187"/>
      <c r="D20" s="80"/>
      <c r="E20" s="87">
        <f t="shared" si="6"/>
        <v>0</v>
      </c>
      <c r="F20" s="88"/>
      <c r="G20" s="89">
        <f t="shared" si="7"/>
        <v>0</v>
      </c>
      <c r="H20" s="90">
        <f t="shared" si="8"/>
        <v>0</v>
      </c>
      <c r="I20" s="2966"/>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2970"/>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3187"/>
      <c r="D21" s="80"/>
      <c r="E21" s="87">
        <f t="shared" ref="E21:E112" si="33">IF($C$3="是",ROUND($A$3*G21/$B$3,2),ROUND($A$3*(G21-AT21)/$B$3,2))</f>
        <v>0</v>
      </c>
      <c r="F21" s="88"/>
      <c r="G21" s="89">
        <f t="shared" ref="G21:G109" si="34">H21+AC21+AT21</f>
        <v>0</v>
      </c>
      <c r="H21" s="90">
        <f t="shared" ref="H21:H109" si="35">SUMIF(I$12:AB$12,"总值",I21:AB21)</f>
        <v>0</v>
      </c>
      <c r="I21" s="2966"/>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2970"/>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3187"/>
      <c r="D22" s="80"/>
      <c r="E22" s="87">
        <f t="shared" si="33"/>
        <v>0</v>
      </c>
      <c r="F22" s="88"/>
      <c r="G22" s="89">
        <f t="shared" si="34"/>
        <v>0</v>
      </c>
      <c r="H22" s="90">
        <f t="shared" si="35"/>
        <v>0</v>
      </c>
      <c r="I22" s="2966"/>
      <c r="J22" s="91"/>
      <c r="K22" s="1392"/>
      <c r="L22" s="91"/>
      <c r="M22" s="1360"/>
      <c r="N22" s="91"/>
      <c r="O22" s="91"/>
      <c r="P22" s="91"/>
      <c r="Q22" s="91"/>
      <c r="R22" s="91"/>
      <c r="S22" s="91"/>
      <c r="T22" s="91"/>
      <c r="U22" s="91"/>
      <c r="V22" s="91"/>
      <c r="W22" s="91"/>
      <c r="X22" s="91"/>
      <c r="Y22" s="91"/>
      <c r="Z22" s="91"/>
      <c r="AA22" s="91"/>
      <c r="AB22" s="91"/>
      <c r="AC22" s="87">
        <f t="shared" si="36"/>
        <v>0</v>
      </c>
      <c r="AD22" s="1360"/>
      <c r="AE22" s="92"/>
      <c r="AF22" s="1393"/>
      <c r="AG22" s="92"/>
      <c r="AH22" s="92"/>
      <c r="AI22" s="92"/>
      <c r="AJ22" s="92"/>
      <c r="AK22" s="92"/>
      <c r="AL22" s="1360"/>
      <c r="AM22" s="92"/>
      <c r="AN22" s="2970"/>
      <c r="AO22" s="92"/>
      <c r="AP22" s="92"/>
      <c r="AQ22" s="92"/>
      <c r="AR22" s="92"/>
      <c r="AS22" s="92"/>
      <c r="AT22" s="93"/>
      <c r="AU22" s="94"/>
      <c r="AV22" s="1963">
        <f t="shared" si="37"/>
        <v>0</v>
      </c>
      <c r="AW22" s="1963">
        <f t="shared" si="38"/>
        <v>0</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3187"/>
      <c r="D23" s="80"/>
      <c r="E23" s="87">
        <f t="shared" si="33"/>
        <v>0</v>
      </c>
      <c r="F23" s="88"/>
      <c r="G23" s="89">
        <f t="shared" si="34"/>
        <v>0</v>
      </c>
      <c r="H23" s="90">
        <f t="shared" si="35"/>
        <v>0</v>
      </c>
      <c r="I23" s="2966"/>
      <c r="J23" s="91"/>
      <c r="K23" s="1392"/>
      <c r="L23" s="91"/>
      <c r="M23" s="1360"/>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0"/>
      <c r="AM23" s="92"/>
      <c r="AN23" s="2970"/>
      <c r="AO23" s="92"/>
      <c r="AP23" s="92"/>
      <c r="AQ23" s="92"/>
      <c r="AR23" s="92"/>
      <c r="AS23" s="92"/>
      <c r="AT23" s="93"/>
      <c r="AU23" s="94"/>
      <c r="AV23" s="1963">
        <f t="shared" si="37"/>
        <v>0</v>
      </c>
      <c r="AW23" s="1963">
        <f t="shared" si="38"/>
        <v>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3188"/>
      <c r="D24" s="80"/>
      <c r="E24" s="87">
        <f t="shared" si="33"/>
        <v>0</v>
      </c>
      <c r="F24" s="88"/>
      <c r="G24" s="89">
        <f t="shared" si="34"/>
        <v>0</v>
      </c>
      <c r="H24" s="90">
        <f t="shared" si="35"/>
        <v>0</v>
      </c>
      <c r="I24" s="2966"/>
      <c r="J24" s="91"/>
      <c r="K24" s="1392"/>
      <c r="L24" s="91"/>
      <c r="M24" s="91"/>
      <c r="N24" s="91"/>
      <c r="O24" s="1360"/>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2970"/>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3187"/>
      <c r="D25" s="80"/>
      <c r="E25" s="87">
        <f t="shared" si="33"/>
        <v>0</v>
      </c>
      <c r="F25" s="88"/>
      <c r="G25" s="89">
        <f t="shared" si="34"/>
        <v>0</v>
      </c>
      <c r="H25" s="90">
        <f t="shared" si="35"/>
        <v>0</v>
      </c>
      <c r="I25" s="2966"/>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2970"/>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3188"/>
      <c r="D26" s="80"/>
      <c r="E26" s="87">
        <f t="shared" si="33"/>
        <v>0</v>
      </c>
      <c r="F26" s="88"/>
      <c r="G26" s="89">
        <f t="shared" si="34"/>
        <v>0</v>
      </c>
      <c r="H26" s="90">
        <f t="shared" si="35"/>
        <v>0</v>
      </c>
      <c r="I26" s="2966"/>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2970"/>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3187"/>
      <c r="D27" s="80"/>
      <c r="E27" s="87">
        <f t="shared" si="33"/>
        <v>0</v>
      </c>
      <c r="F27" s="88"/>
      <c r="G27" s="89">
        <f t="shared" si="34"/>
        <v>0</v>
      </c>
      <c r="H27" s="90">
        <f t="shared" si="35"/>
        <v>0</v>
      </c>
      <c r="I27" s="2966"/>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2970"/>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3188"/>
      <c r="D28" s="80"/>
      <c r="E28" s="87">
        <f t="shared" si="33"/>
        <v>0</v>
      </c>
      <c r="F28" s="88"/>
      <c r="G28" s="89">
        <f t="shared" si="34"/>
        <v>0</v>
      </c>
      <c r="H28" s="90">
        <f t="shared" si="35"/>
        <v>0</v>
      </c>
      <c r="I28" s="2966"/>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2970"/>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3188"/>
      <c r="D29" s="80"/>
      <c r="E29" s="87">
        <f t="shared" si="33"/>
        <v>0</v>
      </c>
      <c r="F29" s="88"/>
      <c r="G29" s="89">
        <f t="shared" si="34"/>
        <v>0</v>
      </c>
      <c r="H29" s="90">
        <f t="shared" si="35"/>
        <v>0</v>
      </c>
      <c r="I29" s="2966"/>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2970"/>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3188"/>
      <c r="D30" s="80"/>
      <c r="E30" s="87">
        <f t="shared" si="33"/>
        <v>0</v>
      </c>
      <c r="F30" s="88"/>
      <c r="G30" s="89">
        <f t="shared" si="34"/>
        <v>0</v>
      </c>
      <c r="H30" s="90">
        <f t="shared" si="35"/>
        <v>0</v>
      </c>
      <c r="I30" s="2966"/>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2970"/>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3187"/>
      <c r="D31" s="80"/>
      <c r="E31" s="87">
        <f t="shared" si="33"/>
        <v>0</v>
      </c>
      <c r="F31" s="88"/>
      <c r="G31" s="89">
        <f t="shared" si="34"/>
        <v>0</v>
      </c>
      <c r="H31" s="90">
        <f t="shared" si="35"/>
        <v>0</v>
      </c>
      <c r="I31" s="2966"/>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2970"/>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3189"/>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2970"/>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3189"/>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2970"/>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2970"/>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2970"/>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2970"/>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0"/>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3"/>
      <c r="AG114" s="92"/>
      <c r="AH114" s="92"/>
      <c r="AI114" s="92"/>
      <c r="AJ114" s="92"/>
      <c r="AK114" s="92"/>
      <c r="AL114" s="1360"/>
      <c r="AM114" s="92"/>
      <c r="AN114" s="1360"/>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0"/>
      <c r="AM115" s="92"/>
      <c r="AN115" s="1360"/>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0"/>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0"/>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3"/>
      <c r="AG206" s="92"/>
      <c r="AH206" s="92"/>
      <c r="AI206" s="92"/>
      <c r="AJ206" s="92"/>
      <c r="AK206" s="92"/>
      <c r="AL206" s="1360"/>
      <c r="AM206" s="92"/>
      <c r="AN206" s="1360"/>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0"/>
      <c r="AM207" s="92"/>
      <c r="AN207" s="1360"/>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0"/>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0"/>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3"/>
      <c r="AG298" s="92"/>
      <c r="AH298" s="92"/>
      <c r="AI298" s="92"/>
      <c r="AJ298" s="92"/>
      <c r="AK298" s="92"/>
      <c r="AL298" s="1360"/>
      <c r="AM298" s="92"/>
      <c r="AN298" s="1360"/>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0"/>
      <c r="AM299" s="92"/>
      <c r="AN299" s="1360"/>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0"/>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0"/>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3"/>
      <c r="AG390" s="92"/>
      <c r="AH390" s="92"/>
      <c r="AI390" s="92"/>
      <c r="AJ390" s="92"/>
      <c r="AK390" s="92"/>
      <c r="AL390" s="1360"/>
      <c r="AM390" s="92"/>
      <c r="AN390" s="1360"/>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0"/>
      <c r="AM391" s="92"/>
      <c r="AN391" s="1360"/>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0"/>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3"/>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25" t="s">
        <v>0</v>
      </c>
      <c r="B1" s="3325" t="s">
        <v>4</v>
      </c>
      <c r="C1" s="3325" t="s">
        <v>5</v>
      </c>
      <c r="D1" s="3326" t="s">
        <v>40</v>
      </c>
      <c r="E1" s="3326" t="s">
        <v>41</v>
      </c>
      <c r="F1" s="3326"/>
      <c r="G1" s="3326"/>
      <c r="H1" s="3326"/>
      <c r="I1" s="3326"/>
      <c r="J1" s="3326"/>
      <c r="K1" s="3326"/>
      <c r="L1" s="3326"/>
      <c r="M1" s="3326"/>
    </row>
    <row r="2" spans="1:13" ht="27" customHeight="1">
      <c r="A2" s="3325"/>
      <c r="B2" s="3325"/>
      <c r="C2" s="3325"/>
      <c r="D2" s="3326"/>
      <c r="E2" s="3326" t="s">
        <v>24</v>
      </c>
      <c r="F2" s="3326" t="s">
        <v>25</v>
      </c>
      <c r="G2" s="3326"/>
      <c r="H2" s="3326"/>
      <c r="I2" s="3326"/>
      <c r="J2" s="3326" t="s">
        <v>26</v>
      </c>
      <c r="K2" s="3326"/>
      <c r="L2" s="3326"/>
      <c r="M2" s="3326"/>
    </row>
    <row r="3" spans="1:13" ht="28.5">
      <c r="A3" s="3325"/>
      <c r="B3" s="3325"/>
      <c r="C3" s="3325"/>
      <c r="D3" s="3326"/>
      <c r="E3" s="332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6" t="s">
        <v>42</v>
      </c>
      <c r="B9" s="3326"/>
      <c r="C9" s="332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32" sqref="I32"/>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4" t="s">
        <v>202</v>
      </c>
      <c r="B1" s="1968"/>
      <c r="C1" s="1968"/>
      <c r="D1" s="1968"/>
      <c r="E1" s="1968"/>
      <c r="F1" s="1968"/>
      <c r="G1" s="1968"/>
      <c r="H1" s="1968"/>
      <c r="I1" s="1968"/>
      <c r="J1" s="1968"/>
      <c r="K1" s="1968"/>
      <c r="L1" s="1968"/>
    </row>
    <row r="2" spans="1:16" ht="15">
      <c r="A2" s="3336" t="s">
        <v>203</v>
      </c>
      <c r="B2" s="3336"/>
      <c r="C2" s="3336"/>
      <c r="D2" s="1959" t="s">
        <v>204</v>
      </c>
      <c r="E2" s="106" t="s">
        <v>205</v>
      </c>
      <c r="F2" s="1968"/>
      <c r="G2" s="1194"/>
      <c r="H2" s="1195"/>
      <c r="I2" s="1196" t="s">
        <v>857</v>
      </c>
      <c r="J2" s="1968"/>
      <c r="K2" s="1968"/>
      <c r="L2" s="1968"/>
    </row>
    <row r="3" spans="1:16" ht="15.75" thickBot="1">
      <c r="A3" s="3337" t="s">
        <v>206</v>
      </c>
      <c r="B3" s="3337"/>
      <c r="C3" s="3337"/>
      <c r="D3" s="107">
        <f>'数据-基础表'!AY6</f>
        <v>31784.92</v>
      </c>
      <c r="E3" s="107">
        <f>'数据-基础表'!AZ5</f>
        <v>79462.3</v>
      </c>
      <c r="F3" s="1968"/>
      <c r="G3" s="280" t="s">
        <v>858</v>
      </c>
      <c r="H3" s="275" t="s">
        <v>859</v>
      </c>
      <c r="I3" s="1960">
        <f>ROUND('数据-基础表'!B3/'数据-基础表'!A3,2)</f>
        <v>2.5</v>
      </c>
      <c r="J3" s="1968"/>
      <c r="K3" s="1968"/>
      <c r="L3" s="1968"/>
    </row>
    <row r="4" spans="1:16" ht="15">
      <c r="A4" s="3338"/>
      <c r="B4" s="3339"/>
      <c r="C4" s="3340"/>
      <c r="D4" s="108" t="s">
        <v>204</v>
      </c>
      <c r="E4" s="109" t="s">
        <v>205</v>
      </c>
      <c r="F4" s="1968"/>
      <c r="G4" s="1197"/>
      <c r="H4" s="275" t="s">
        <v>860</v>
      </c>
      <c r="I4" s="1960">
        <f>ROUND(SUMIF('数据-基础表'!I9:AS9,"地上",'数据-基础表'!I5:AS5)/'数据-基础表'!A3,2)</f>
        <v>2.5</v>
      </c>
      <c r="J4" s="1968"/>
      <c r="K4" s="1968"/>
      <c r="L4" s="1968"/>
    </row>
    <row r="5" spans="1:16">
      <c r="A5" s="110" t="s">
        <v>207</v>
      </c>
      <c r="B5" s="3341" t="s">
        <v>230</v>
      </c>
      <c r="C5" s="3341"/>
      <c r="D5" s="111">
        <f>ROUND($D$3*E5/$E$3,2)</f>
        <v>9462.8799999999992</v>
      </c>
      <c r="E5" s="112">
        <f>SUMIF('数据-基础表'!$11:$11,"住宅",'数据-基础表'!$5:$5)</f>
        <v>23657.200000000001</v>
      </c>
      <c r="F5" s="1968"/>
      <c r="G5" s="280" t="s">
        <v>861</v>
      </c>
      <c r="H5" s="275" t="s">
        <v>859</v>
      </c>
      <c r="I5" s="1960">
        <f>ROUND(E31/D31,2)</f>
        <v>2.5</v>
      </c>
      <c r="J5" s="1968"/>
      <c r="K5" s="1968"/>
      <c r="L5" s="1968"/>
    </row>
    <row r="6" spans="1:16" ht="15" thickBot="1">
      <c r="A6" s="113"/>
      <c r="B6" s="3341" t="s">
        <v>208</v>
      </c>
      <c r="C6" s="3341"/>
      <c r="D6" s="111">
        <f>ROUND($D$3*E6/$E$3,2)</f>
        <v>22322.04</v>
      </c>
      <c r="E6" s="112">
        <f>E3-E5</f>
        <v>55805.100000000006</v>
      </c>
      <c r="F6" s="1968"/>
      <c r="G6" s="1197"/>
      <c r="H6" s="275" t="s">
        <v>860</v>
      </c>
      <c r="I6" s="1960">
        <f>ROUND(F31/D31,2)</f>
        <v>2.5</v>
      </c>
      <c r="J6" s="1968"/>
      <c r="K6" s="1968"/>
      <c r="L6" s="1968"/>
    </row>
    <row r="7" spans="1:16" ht="15">
      <c r="A7" s="3333"/>
      <c r="B7" s="3334"/>
      <c r="C7" s="3335"/>
      <c r="D7" s="108" t="s">
        <v>204</v>
      </c>
      <c r="E7" s="114" t="s">
        <v>231</v>
      </c>
      <c r="F7" s="1968"/>
      <c r="G7" s="1152" t="s">
        <v>1645</v>
      </c>
      <c r="H7" s="1153"/>
      <c r="I7" s="1830"/>
      <c r="J7" s="1968"/>
      <c r="K7" s="1968"/>
      <c r="L7" s="1968"/>
    </row>
    <row r="8" spans="1:16">
      <c r="A8" s="110" t="s">
        <v>209</v>
      </c>
      <c r="B8" s="115" t="s">
        <v>210</v>
      </c>
      <c r="C8" s="111" t="s">
        <v>211</v>
      </c>
      <c r="D8" s="111">
        <f t="shared" ref="D8:D15" si="0">ROUND($D$3*E8/$E$3,2)</f>
        <v>31542.93</v>
      </c>
      <c r="E8" s="116">
        <f>SUMIF('数据-基础表'!BB10:BK10,"地上",'数据-基础表'!BB5:BK5)</f>
        <v>78857.320000000007</v>
      </c>
      <c r="F8" s="1968"/>
      <c r="G8" s="1970"/>
      <c r="H8" s="1970"/>
      <c r="I8" s="1968"/>
      <c r="J8" s="1968"/>
      <c r="K8" s="1968"/>
      <c r="L8" s="1968"/>
    </row>
    <row r="9" spans="1:16">
      <c r="A9" s="117"/>
      <c r="B9" s="118"/>
      <c r="C9" s="111" t="s">
        <v>212</v>
      </c>
      <c r="D9" s="111">
        <f t="shared" si="0"/>
        <v>0</v>
      </c>
      <c r="E9" s="119">
        <v>0</v>
      </c>
      <c r="F9" s="1968"/>
      <c r="G9" s="1970"/>
      <c r="H9" s="1970"/>
      <c r="I9" s="1968"/>
      <c r="J9" s="1968"/>
      <c r="K9" s="1968"/>
      <c r="L9" s="1968"/>
    </row>
    <row r="10" spans="1:16">
      <c r="A10" s="117"/>
      <c r="B10" s="118"/>
      <c r="C10" s="111" t="s">
        <v>213</v>
      </c>
      <c r="D10" s="111">
        <f t="shared" si="0"/>
        <v>0</v>
      </c>
      <c r="E10" s="116">
        <f>SUMPRODUCT(('数据-基础表'!BB10:BK10="地下")*('数据-基础表'!BB11:BK11="商业")*('数据-基础表'!BB5:BK5))</f>
        <v>0</v>
      </c>
      <c r="F10" s="1968"/>
      <c r="G10" s="1970"/>
      <c r="H10" s="1970"/>
      <c r="I10" s="1968"/>
      <c r="J10" s="1968"/>
      <c r="K10" s="1968"/>
      <c r="L10" s="1968"/>
    </row>
    <row r="11" spans="1:16">
      <c r="A11" s="117"/>
      <c r="B11" s="118"/>
      <c r="C11" s="2315" t="s">
        <v>2327</v>
      </c>
      <c r="D11" s="111">
        <f t="shared" si="0"/>
        <v>0</v>
      </c>
      <c r="E11" s="116">
        <f>SUMPRODUCT(('数据-基础表'!BB10:BK10="地下")*('数据-基础表'!BB11:BK11="办公")*('数据-基础表'!BB5:BK5))+'数据-基础表'!AJ5</f>
        <v>0</v>
      </c>
      <c r="F11" s="1968"/>
      <c r="G11" s="1970"/>
      <c r="H11" s="1970"/>
      <c r="I11" s="1968"/>
      <c r="J11" s="1968"/>
      <c r="K11" s="1968"/>
      <c r="L11" s="1968"/>
    </row>
    <row r="12" spans="1:16">
      <c r="A12" s="117"/>
      <c r="B12" s="118"/>
      <c r="C12" s="111" t="s">
        <v>214</v>
      </c>
      <c r="D12" s="111">
        <f t="shared" si="0"/>
        <v>0</v>
      </c>
      <c r="E12" s="116">
        <f>SUMPRODUCT(('数据-基础表'!BB10:BK10="地下")*('数据-基础表'!BB11:BK11="仓储")*('数据-基础表'!BB5:BK5))</f>
        <v>0</v>
      </c>
      <c r="F12" s="1968"/>
      <c r="G12" s="1970"/>
      <c r="H12" s="1970"/>
      <c r="I12" s="1968"/>
      <c r="J12" s="1968"/>
      <c r="K12" s="1968"/>
      <c r="L12" s="1968"/>
    </row>
    <row r="13" spans="1:16">
      <c r="A13" s="117"/>
      <c r="B13" s="118"/>
      <c r="C13" s="2315" t="s">
        <v>2334</v>
      </c>
      <c r="D13" s="111">
        <f t="shared" si="0"/>
        <v>0</v>
      </c>
      <c r="E13" s="116">
        <f>SUMPRODUCT(('数据-基础表'!BB10:BK10="地下")*('数据-基础表'!BB11:BK11="车库")*('数据-基础表'!BB5:BK5))</f>
        <v>0</v>
      </c>
      <c r="F13" s="1968"/>
      <c r="G13" s="1970"/>
      <c r="H13" s="1970"/>
      <c r="I13" s="1968"/>
      <c r="J13" s="1968"/>
      <c r="K13" s="1968"/>
      <c r="L13" s="1968"/>
    </row>
    <row r="14" spans="1:16">
      <c r="A14" s="117"/>
      <c r="B14" s="118"/>
      <c r="C14" s="111" t="s">
        <v>232</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233</v>
      </c>
      <c r="D15" s="111">
        <f t="shared" si="0"/>
        <v>0</v>
      </c>
      <c r="E15" s="116">
        <f>SUMPRODUCT(('数据-基础表'!BB10:BK10="地下")*('数据-基础表'!BB11:BK11="车库—办公")*('数据-基础表'!BB5:BK5))</f>
        <v>0</v>
      </c>
      <c r="F15" s="1968"/>
      <c r="G15" s="1970"/>
      <c r="H15" s="1970"/>
      <c r="I15" s="1968"/>
      <c r="J15" s="1968"/>
      <c r="K15" s="1968"/>
      <c r="L15" s="1968"/>
    </row>
    <row r="16" spans="1:16" ht="15.75" thickBot="1">
      <c r="A16" s="113"/>
      <c r="B16" s="118"/>
      <c r="C16" s="115" t="s">
        <v>215</v>
      </c>
      <c r="D16" s="115">
        <f>SUM(D8:D15)</f>
        <v>31542.93</v>
      </c>
      <c r="E16" s="120">
        <f>SUM(E8:E15)</f>
        <v>78857.320000000007</v>
      </c>
      <c r="F16" s="1968"/>
      <c r="G16" s="1970"/>
      <c r="H16" s="968" t="s">
        <v>219</v>
      </c>
      <c r="I16" s="969"/>
      <c r="J16" s="1968"/>
      <c r="K16" s="3327" t="s">
        <v>2563</v>
      </c>
      <c r="L16" s="3328"/>
      <c r="M16" s="3328"/>
      <c r="N16" s="3328"/>
      <c r="O16" s="3328"/>
      <c r="P16" s="3329"/>
    </row>
    <row r="17" spans="1:19" ht="15">
      <c r="A17" s="121" t="s">
        <v>216</v>
      </c>
      <c r="B17" s="122" t="s">
        <v>217</v>
      </c>
      <c r="C17" s="2282" t="s">
        <v>2313</v>
      </c>
      <c r="D17" s="108" t="s">
        <v>204</v>
      </c>
      <c r="E17" s="124" t="s">
        <v>205</v>
      </c>
      <c r="F17" s="125"/>
      <c r="G17" s="1362"/>
      <c r="H17" s="970" t="s">
        <v>218</v>
      </c>
      <c r="I17" s="971" t="s">
        <v>2312</v>
      </c>
      <c r="J17" s="1968"/>
      <c r="K17" s="3330" t="s">
        <v>2564</v>
      </c>
      <c r="L17" s="3331"/>
      <c r="M17" s="3332"/>
      <c r="N17" s="3330" t="s">
        <v>2565</v>
      </c>
      <c r="O17" s="3331"/>
      <c r="P17" s="3332"/>
      <c r="R17" s="2283" t="s">
        <v>2311</v>
      </c>
      <c r="S17" s="144"/>
    </row>
    <row r="18" spans="1:19" ht="15">
      <c r="A18" s="117"/>
      <c r="B18" s="128"/>
      <c r="C18" s="129"/>
      <c r="D18" s="2605"/>
      <c r="E18" s="130" t="s">
        <v>220</v>
      </c>
      <c r="F18" s="131" t="s">
        <v>221</v>
      </c>
      <c r="G18" s="1363" t="s">
        <v>222</v>
      </c>
      <c r="H18" s="972" t="s">
        <v>223</v>
      </c>
      <c r="I18" s="973" t="s">
        <v>224</v>
      </c>
      <c r="J18" s="1968"/>
      <c r="K18" s="2568" t="s">
        <v>2566</v>
      </c>
      <c r="L18" s="2569" t="s">
        <v>2567</v>
      </c>
      <c r="M18" s="2570" t="s">
        <v>2568</v>
      </c>
      <c r="N18" s="2568" t="s">
        <v>2566</v>
      </c>
      <c r="O18" s="2569" t="s">
        <v>2567</v>
      </c>
      <c r="P18" s="2570" t="s">
        <v>2568</v>
      </c>
      <c r="R18" s="2284" t="s">
        <v>2309</v>
      </c>
      <c r="S18" s="2284" t="s">
        <v>2310</v>
      </c>
    </row>
    <row r="19" spans="1:19">
      <c r="A19" s="133"/>
      <c r="B19" s="115" t="s">
        <v>225</v>
      </c>
      <c r="C19" s="2973" t="s">
        <v>3166</v>
      </c>
      <c r="D19" s="111">
        <f t="shared" ref="D19:D26" si="1">ROUND($D$3*E19/$E$3,2)</f>
        <v>20976.04</v>
      </c>
      <c r="E19" s="134">
        <f t="shared" ref="E19:E26" si="2">SUM(F19:G19)</f>
        <v>52440.110000000008</v>
      </c>
      <c r="F19" s="135">
        <f>'数据-基础表'!I13</f>
        <v>52440.110000000008</v>
      </c>
      <c r="G19" s="1364"/>
      <c r="H19" s="974">
        <f>ROUND($D$3*I19/$E$3,2)</f>
        <v>160.91999999999999</v>
      </c>
      <c r="I19" s="116">
        <f>IF($I$17="自定义",P19,M19)</f>
        <v>402.31</v>
      </c>
      <c r="J19" s="1968"/>
      <c r="K19" s="2571">
        <f t="shared" ref="K19:K26" si="3">ROUND(E$28*E19/E$27,2)</f>
        <v>402.31</v>
      </c>
      <c r="L19" s="275">
        <f t="shared" ref="L19:L26" si="4">ROUND(IF(COUNTIF(C19,"*住宅*")&gt;0,E$29*E19/E$32,0),2)</f>
        <v>0</v>
      </c>
      <c r="M19" s="2572">
        <f>K19+L19</f>
        <v>402.31</v>
      </c>
      <c r="N19" s="2573"/>
      <c r="O19" s="2574"/>
      <c r="P19" s="2575">
        <f>N19+O19</f>
        <v>0</v>
      </c>
      <c r="R19" s="275">
        <f t="shared" ref="R19:S26" si="5">D19+H19</f>
        <v>21136.959999999999</v>
      </c>
      <c r="S19" s="2285">
        <f t="shared" si="5"/>
        <v>52842.420000000006</v>
      </c>
    </row>
    <row r="20" spans="1:19">
      <c r="A20" s="138"/>
      <c r="B20" s="115" t="s">
        <v>226</v>
      </c>
      <c r="C20" s="2973" t="s">
        <v>3167</v>
      </c>
      <c r="D20" s="111">
        <f t="shared" si="1"/>
        <v>1104</v>
      </c>
      <c r="E20" s="134">
        <f t="shared" si="2"/>
        <v>2760.01</v>
      </c>
      <c r="F20" s="135">
        <f>'数据-基础表'!K13</f>
        <v>2760.01</v>
      </c>
      <c r="G20" s="1364"/>
      <c r="H20" s="974">
        <f t="shared" ref="H20:H26" si="6">ROUND($D$3*I20/$E$3,2)</f>
        <v>8.4700000000000006</v>
      </c>
      <c r="I20" s="116">
        <f t="shared" ref="I20:I26" si="7">IF($I$17="自定义",P20,M20)</f>
        <v>21.17</v>
      </c>
      <c r="J20" s="1968"/>
      <c r="K20" s="2571">
        <f t="shared" si="3"/>
        <v>21.17</v>
      </c>
      <c r="L20" s="275">
        <f t="shared" si="4"/>
        <v>0</v>
      </c>
      <c r="M20" s="2572">
        <f t="shared" ref="M20:M26" si="8">K20+L20</f>
        <v>21.17</v>
      </c>
      <c r="N20" s="2573"/>
      <c r="O20" s="2574"/>
      <c r="P20" s="2575">
        <f t="shared" ref="P20:P26" si="9">N20+O20</f>
        <v>0</v>
      </c>
      <c r="R20" s="275">
        <f t="shared" si="5"/>
        <v>1112.47</v>
      </c>
      <c r="S20" s="2285">
        <f t="shared" si="5"/>
        <v>2781.1800000000003</v>
      </c>
    </row>
    <row r="21" spans="1:19">
      <c r="A21" s="138"/>
      <c r="B21" s="115" t="s">
        <v>226</v>
      </c>
      <c r="C21" s="2973" t="s">
        <v>3168</v>
      </c>
      <c r="D21" s="111">
        <f t="shared" si="1"/>
        <v>9462.8799999999992</v>
      </c>
      <c r="E21" s="134">
        <f t="shared" si="2"/>
        <v>23657.200000000001</v>
      </c>
      <c r="F21" s="135">
        <f>'数据-基础表'!M13</f>
        <v>23657.200000000001</v>
      </c>
      <c r="G21" s="1364"/>
      <c r="H21" s="974">
        <f t="shared" si="6"/>
        <v>72.599999999999994</v>
      </c>
      <c r="I21" s="116">
        <f t="shared" si="7"/>
        <v>181.49</v>
      </c>
      <c r="J21" s="1968"/>
      <c r="K21" s="2571">
        <f t="shared" si="3"/>
        <v>181.49</v>
      </c>
      <c r="L21" s="275">
        <f t="shared" si="4"/>
        <v>0</v>
      </c>
      <c r="M21" s="2572">
        <f t="shared" si="8"/>
        <v>181.49</v>
      </c>
      <c r="N21" s="2573"/>
      <c r="O21" s="2574"/>
      <c r="P21" s="2575">
        <f t="shared" si="9"/>
        <v>0</v>
      </c>
      <c r="R21" s="275">
        <f t="shared" si="5"/>
        <v>9535.48</v>
      </c>
      <c r="S21" s="2285">
        <f t="shared" si="5"/>
        <v>23838.690000000002</v>
      </c>
    </row>
    <row r="22" spans="1:19">
      <c r="A22" s="138"/>
      <c r="B22" s="115" t="s">
        <v>226</v>
      </c>
      <c r="C22" s="1361"/>
      <c r="D22" s="111">
        <f t="shared" si="1"/>
        <v>0</v>
      </c>
      <c r="E22" s="134">
        <f t="shared" si="2"/>
        <v>0</v>
      </c>
      <c r="F22" s="140"/>
      <c r="G22" s="1365"/>
      <c r="H22" s="974">
        <f t="shared" si="6"/>
        <v>0</v>
      </c>
      <c r="I22" s="116">
        <f t="shared" si="7"/>
        <v>0</v>
      </c>
      <c r="J22" s="1968"/>
      <c r="K22" s="2571">
        <f t="shared" si="3"/>
        <v>0</v>
      </c>
      <c r="L22" s="275">
        <f t="shared" si="4"/>
        <v>0</v>
      </c>
      <c r="M22" s="2572">
        <f t="shared" si="8"/>
        <v>0</v>
      </c>
      <c r="N22" s="2573"/>
      <c r="O22" s="2574"/>
      <c r="P22" s="2575">
        <f t="shared" si="9"/>
        <v>0</v>
      </c>
      <c r="R22" s="275">
        <f t="shared" si="5"/>
        <v>0</v>
      </c>
      <c r="S22" s="2285">
        <f t="shared" si="5"/>
        <v>0</v>
      </c>
    </row>
    <row r="23" spans="1:19">
      <c r="A23" s="138"/>
      <c r="B23" s="115" t="s">
        <v>226</v>
      </c>
      <c r="C23" s="139"/>
      <c r="D23" s="111">
        <f>ROUND($D$3*E23/$E$3,2)</f>
        <v>0</v>
      </c>
      <c r="E23" s="134">
        <f>SUM(F23:G23)</f>
        <v>0</v>
      </c>
      <c r="F23" s="140"/>
      <c r="G23" s="1365"/>
      <c r="H23" s="974">
        <f>ROUND($D$3*I23/$E$3,2)</f>
        <v>0</v>
      </c>
      <c r="I23" s="116">
        <f t="shared" si="7"/>
        <v>0</v>
      </c>
      <c r="J23" s="1968"/>
      <c r="K23" s="2571">
        <f t="shared" si="3"/>
        <v>0</v>
      </c>
      <c r="L23" s="275">
        <f t="shared" si="4"/>
        <v>0</v>
      </c>
      <c r="M23" s="2572">
        <f t="shared" si="8"/>
        <v>0</v>
      </c>
      <c r="N23" s="2573"/>
      <c r="O23" s="2574"/>
      <c r="P23" s="2575">
        <f t="shared" si="9"/>
        <v>0</v>
      </c>
      <c r="R23" s="275">
        <f t="shared" si="5"/>
        <v>0</v>
      </c>
      <c r="S23" s="2285">
        <f t="shared" si="5"/>
        <v>0</v>
      </c>
    </row>
    <row r="24" spans="1:19">
      <c r="A24" s="138"/>
      <c r="B24" s="115" t="s">
        <v>226</v>
      </c>
      <c r="C24" s="139"/>
      <c r="D24" s="111">
        <f>ROUND($D$3*E24/$E$3,2)</f>
        <v>0</v>
      </c>
      <c r="E24" s="134">
        <f>SUM(F24:G24)</f>
        <v>0</v>
      </c>
      <c r="F24" s="140"/>
      <c r="G24" s="1365"/>
      <c r="H24" s="974">
        <f>ROUND($D$3*I24/$E$3,2)</f>
        <v>0</v>
      </c>
      <c r="I24" s="116">
        <f t="shared" si="7"/>
        <v>0</v>
      </c>
      <c r="J24" s="1968"/>
      <c r="K24" s="2571">
        <f t="shared" si="3"/>
        <v>0</v>
      </c>
      <c r="L24" s="275">
        <f t="shared" si="4"/>
        <v>0</v>
      </c>
      <c r="M24" s="2572">
        <f t="shared" si="8"/>
        <v>0</v>
      </c>
      <c r="N24" s="2573"/>
      <c r="O24" s="2574"/>
      <c r="P24" s="2575">
        <f t="shared" si="9"/>
        <v>0</v>
      </c>
      <c r="R24" s="275">
        <f t="shared" si="5"/>
        <v>0</v>
      </c>
      <c r="S24" s="2285">
        <f t="shared" si="5"/>
        <v>0</v>
      </c>
    </row>
    <row r="25" spans="1:19">
      <c r="A25" s="138"/>
      <c r="B25" s="115" t="s">
        <v>226</v>
      </c>
      <c r="C25" s="139"/>
      <c r="D25" s="111">
        <f t="shared" si="1"/>
        <v>0</v>
      </c>
      <c r="E25" s="134">
        <f t="shared" si="2"/>
        <v>0</v>
      </c>
      <c r="F25" s="140"/>
      <c r="G25" s="1365"/>
      <c r="H25" s="110">
        <f t="shared" si="6"/>
        <v>0</v>
      </c>
      <c r="I25" s="116">
        <f t="shared" si="7"/>
        <v>0</v>
      </c>
      <c r="J25" s="1968"/>
      <c r="K25" s="2571">
        <f t="shared" si="3"/>
        <v>0</v>
      </c>
      <c r="L25" s="275">
        <f t="shared" si="4"/>
        <v>0</v>
      </c>
      <c r="M25" s="2572">
        <f t="shared" si="8"/>
        <v>0</v>
      </c>
      <c r="N25" s="2573"/>
      <c r="O25" s="2574"/>
      <c r="P25" s="2575">
        <f t="shared" si="9"/>
        <v>0</v>
      </c>
      <c r="R25" s="275">
        <f t="shared" si="5"/>
        <v>0</v>
      </c>
      <c r="S25" s="2285">
        <f t="shared" si="5"/>
        <v>0</v>
      </c>
    </row>
    <row r="26" spans="1:19">
      <c r="A26" s="138"/>
      <c r="B26" s="115" t="s">
        <v>226</v>
      </c>
      <c r="C26" s="142"/>
      <c r="D26" s="111">
        <f t="shared" si="1"/>
        <v>0</v>
      </c>
      <c r="E26" s="134">
        <f t="shared" si="2"/>
        <v>0</v>
      </c>
      <c r="F26" s="140"/>
      <c r="G26" s="1365"/>
      <c r="H26" s="110">
        <f t="shared" si="6"/>
        <v>0</v>
      </c>
      <c r="I26" s="116">
        <f t="shared" si="7"/>
        <v>0</v>
      </c>
      <c r="J26" s="1968"/>
      <c r="K26" s="2576">
        <f t="shared" si="3"/>
        <v>0</v>
      </c>
      <c r="L26" s="280">
        <f t="shared" si="4"/>
        <v>0</v>
      </c>
      <c r="M26" s="146">
        <f t="shared" si="8"/>
        <v>0</v>
      </c>
      <c r="N26" s="2577"/>
      <c r="O26" s="2578"/>
      <c r="P26" s="2579">
        <f t="shared" si="9"/>
        <v>0</v>
      </c>
      <c r="R26" s="275">
        <f t="shared" si="5"/>
        <v>0</v>
      </c>
      <c r="S26" s="2285">
        <f t="shared" si="5"/>
        <v>0</v>
      </c>
    </row>
    <row r="27" spans="1:19" ht="29.25" thickBot="1">
      <c r="A27" s="138"/>
      <c r="B27" s="111"/>
      <c r="C27" s="127" t="s">
        <v>215</v>
      </c>
      <c r="D27" s="134">
        <f>SUM(D19:D26)</f>
        <v>31542.92</v>
      </c>
      <c r="E27" s="143">
        <f>IF(SUM(E19:E26)='数据-基础表'!BA5,SUM(E19:E26),IF(F27="地上面积有误","面积有误","地下面积有误"))</f>
        <v>78857.320000000007</v>
      </c>
      <c r="F27" s="134">
        <f>IF(SUM(F19:F26)=E8,SUM(F19:F26),"地上面积有误")</f>
        <v>78857.320000000007</v>
      </c>
      <c r="G27" s="112">
        <f>SUM(G19:G26)</f>
        <v>0</v>
      </c>
      <c r="H27" s="975">
        <f>SUM(H19:H26)</f>
        <v>241.98999999999998</v>
      </c>
      <c r="I27" s="976">
        <f>SUM(I19:I26)</f>
        <v>604.97</v>
      </c>
      <c r="J27" s="1968"/>
      <c r="K27" s="2580">
        <f>SUM(K19:K26)</f>
        <v>604.97</v>
      </c>
      <c r="L27" s="2581">
        <f>SUM(L19:L26)</f>
        <v>0</v>
      </c>
      <c r="M27" s="2582">
        <f>SUM(M19:M26)</f>
        <v>604.97</v>
      </c>
      <c r="N27" s="2580">
        <f t="shared" ref="N27:O27" si="10">SUM(N19:N26)</f>
        <v>0</v>
      </c>
      <c r="O27" s="2581">
        <f t="shared" si="10"/>
        <v>0</v>
      </c>
      <c r="P27" s="2583">
        <f>SUM(P19:P26)</f>
        <v>0</v>
      </c>
      <c r="R27" s="2289" t="str">
        <f>IF(SUM(R19:R26)=$D$3,SUM(R19:R26),SUM(R19:R26)&amp;"误差"&amp;ROUND(SUM(R19:R26)-$D$3,2))</f>
        <v>31784.91误差-0.01</v>
      </c>
      <c r="S27" s="275" t="str">
        <f>IF(SUM(S19:S26)=$E$3,SUM(S19:S26),SUM(S19:S26)&amp;"误差"&amp;ROUND(SUM(S19:S26)-E3,2))</f>
        <v>79462.29误差-0.01</v>
      </c>
    </row>
    <row r="28" spans="1:19">
      <c r="A28" s="138"/>
      <c r="B28" s="115" t="s">
        <v>227</v>
      </c>
      <c r="C28" s="136" t="s">
        <v>228</v>
      </c>
      <c r="D28" s="111">
        <f>ROUND($D$3*E28/$E$3,2)</f>
        <v>241.99</v>
      </c>
      <c r="E28" s="134">
        <f>SUM(F28:G28)</f>
        <v>604.98</v>
      </c>
      <c r="F28" s="144">
        <f>'数据-基础表'!BQ5+'数据-基础表'!BS5</f>
        <v>604.98</v>
      </c>
      <c r="G28" s="145">
        <f>'数据-基础表'!BR5+'数据-基础表'!BT5</f>
        <v>0</v>
      </c>
      <c r="H28" s="1968"/>
      <c r="I28" s="1968"/>
      <c r="J28" s="1968"/>
      <c r="K28" s="1968"/>
      <c r="L28" s="1968"/>
    </row>
    <row r="29" spans="1:19">
      <c r="A29" s="138"/>
      <c r="B29" s="115" t="s">
        <v>227</v>
      </c>
      <c r="C29" s="2297" t="s">
        <v>2320</v>
      </c>
      <c r="D29" s="111">
        <f>ROUND($D$3*E29/$E$3,2)</f>
        <v>0</v>
      </c>
      <c r="E29" s="134">
        <f>SUM(F29:G29)</f>
        <v>0</v>
      </c>
      <c r="F29" s="144">
        <f>'数据-基础表'!BM5+'数据-基础表'!BO5</f>
        <v>0</v>
      </c>
      <c r="G29" s="146">
        <f>'数据-基础表'!BN5+'数据-基础表'!BP5</f>
        <v>0</v>
      </c>
      <c r="H29" s="1968"/>
      <c r="I29" s="1968"/>
      <c r="J29" s="1968"/>
      <c r="K29" s="1968"/>
      <c r="L29" s="1968"/>
    </row>
    <row r="30" spans="1:19">
      <c r="A30" s="138"/>
      <c r="B30" s="111"/>
      <c r="C30" s="147" t="s">
        <v>215</v>
      </c>
      <c r="D30" s="134">
        <f>SUM(D28:D29)</f>
        <v>241.99</v>
      </c>
      <c r="E30" s="134">
        <f>SUM(E28:E29)</f>
        <v>604.98</v>
      </c>
      <c r="F30" s="134">
        <f>SUM(F28:F29)</f>
        <v>604.98</v>
      </c>
      <c r="G30" s="112">
        <f>SUM(G28:G29)</f>
        <v>0</v>
      </c>
      <c r="H30" s="1968"/>
      <c r="I30" s="1968"/>
      <c r="J30" s="1968"/>
      <c r="K30" s="1968"/>
      <c r="L30" s="1968"/>
    </row>
    <row r="31" spans="1:19" ht="32.25" customHeight="1" thickBot="1">
      <c r="A31" s="1366"/>
      <c r="B31" s="1367" t="s">
        <v>229</v>
      </c>
      <c r="C31" s="2314" t="s">
        <v>2322</v>
      </c>
      <c r="D31" s="1368">
        <f>D27+D30</f>
        <v>31784.91</v>
      </c>
      <c r="E31" s="1368">
        <f>E27+E30</f>
        <v>79462.3</v>
      </c>
      <c r="F31" s="1369">
        <f>F27+F30</f>
        <v>79462.3</v>
      </c>
      <c r="G31" s="1370">
        <f>G27+G30</f>
        <v>0</v>
      </c>
      <c r="H31" s="1968"/>
      <c r="I31" s="1968"/>
      <c r="J31" s="1968"/>
      <c r="K31" s="1968"/>
      <c r="L31" s="1968"/>
    </row>
    <row r="32" spans="1:19">
      <c r="A32" s="1968"/>
      <c r="B32" s="2326" t="s">
        <v>2321</v>
      </c>
      <c r="C32" s="2610"/>
      <c r="D32" s="1197"/>
      <c r="E32" s="1197">
        <f>SUMIF(C19:C26,"*住宅*",E19:E26)</f>
        <v>23657.200000000001</v>
      </c>
      <c r="F32" s="1197"/>
      <c r="G32" s="1197"/>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24" activePane="bottomRight" state="frozen"/>
      <selection pane="topRight" activeCell="D1" sqref="D1"/>
      <selection pane="bottomLeft" activeCell="A4" sqref="A4"/>
      <selection pane="bottomRight" activeCell="E28" sqref="E28"/>
    </sheetView>
  </sheetViews>
  <sheetFormatPr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2"/>
    <col min="42" max="42" width="0" style="1982" hidden="1" customWidth="1"/>
    <col min="43" max="83" width="9" style="1982"/>
    <col min="84" max="16384" width="9" style="1199"/>
  </cols>
  <sheetData>
    <row r="1" spans="1:83" ht="19.5" thickBot="1">
      <c r="A1" s="148" t="s">
        <v>234</v>
      </c>
      <c r="B1" s="1198"/>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2" customFormat="1" ht="15.75" thickBot="1">
      <c r="A2" s="149" t="s">
        <v>235</v>
      </c>
      <c r="B2" s="2322">
        <f>项目基本情况!D3</f>
        <v>43868</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2" customFormat="1" ht="15" thickBot="1">
      <c r="A3" s="1203"/>
      <c r="B3" s="1200"/>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8" customFormat="1" ht="40.5">
      <c r="A5" s="2288"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2825</v>
      </c>
      <c r="O5" s="163" t="s">
        <v>246</v>
      </c>
      <c r="P5" s="165" t="s">
        <v>247</v>
      </c>
      <c r="Q5" s="166" t="s">
        <v>248</v>
      </c>
      <c r="R5" s="167" t="s">
        <v>249</v>
      </c>
      <c r="S5" s="2584" t="s">
        <v>2569</v>
      </c>
      <c r="T5" s="168" t="s">
        <v>250</v>
      </c>
      <c r="U5" s="169" t="s">
        <v>251</v>
      </c>
      <c r="V5" s="159" t="s">
        <v>252</v>
      </c>
      <c r="W5" s="159" t="s">
        <v>253</v>
      </c>
      <c r="X5" s="1802"/>
      <c r="Y5" s="170" t="s">
        <v>254</v>
      </c>
      <c r="Z5" s="171" t="s">
        <v>255</v>
      </c>
      <c r="AA5" s="159" t="s">
        <v>252</v>
      </c>
      <c r="AB5" s="159" t="s">
        <v>253</v>
      </c>
      <c r="AC5" s="1803"/>
      <c r="AD5" s="172" t="s">
        <v>254</v>
      </c>
      <c r="AE5" s="1" t="s">
        <v>870</v>
      </c>
      <c r="AF5" s="159" t="s">
        <v>256</v>
      </c>
      <c r="AG5" s="170" t="s">
        <v>257</v>
      </c>
      <c r="AH5" s="1803" t="s">
        <v>2323</v>
      </c>
      <c r="AI5" s="171" t="s">
        <v>2292</v>
      </c>
      <c r="AJ5" s="171" t="s">
        <v>258</v>
      </c>
      <c r="AK5" s="159" t="s">
        <v>259</v>
      </c>
      <c r="AL5" s="159" t="s">
        <v>260</v>
      </c>
      <c r="AM5" s="172" t="s">
        <v>261</v>
      </c>
      <c r="AN5" s="2354" t="s">
        <v>2372</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2" customFormat="1" ht="14.25">
      <c r="A6" s="2286" t="str">
        <f>'数据-汇总表'!C19</f>
        <v>loft公寓</v>
      </c>
      <c r="B6" s="2321" t="str">
        <f>IF(A6=0,"","经营性")</f>
        <v>经营性</v>
      </c>
      <c r="C6" s="173" t="s">
        <v>2996</v>
      </c>
      <c r="D6" s="2292">
        <f>SUMIF(项目基本情况!D$15:I$15,C6,项目基本情况!D$18:I$18)</f>
        <v>40</v>
      </c>
      <c r="E6" s="2293">
        <f>IF(B6="","",SUMIF(项目基本情况!D$15:I$15,C6,项目基本情况!D$17:I$17))</f>
        <v>57752</v>
      </c>
      <c r="F6" s="174">
        <f>SUMIF(项目基本情况!D$15:I$15,C6,项目基本情况!D$19:I$19)</f>
        <v>38.03</v>
      </c>
      <c r="G6" s="175">
        <f>IF(ISERROR(ROUND(POWER(1+H6,D6-F6)*(POWER(1+H6,F6)-1)/(POWER(1+H6,D6)-1),3)),0,ROUND(POWER(1+H6,D6-F6)*(POWER(1+H6,F6)-1)/(POWER(1+H6,D6)-1),3))</f>
        <v>0.98299999999999998</v>
      </c>
      <c r="H6" s="2974">
        <v>0.05</v>
      </c>
      <c r="I6" s="2974">
        <v>5.5E-2</v>
      </c>
      <c r="J6" s="176">
        <v>8.5000000000000006E-2</v>
      </c>
      <c r="K6" s="179">
        <f>SUMIF('数据-汇总表'!C$19:C$33,'数据-取费表'!A6,'数据-汇总表'!E$19:E$33)</f>
        <v>52440.110000000008</v>
      </c>
      <c r="L6" s="3206">
        <v>4650</v>
      </c>
      <c r="M6" s="177">
        <f t="shared" ref="M6:M14" si="0">ROUND(K6*L6/10000,0)</f>
        <v>24385</v>
      </c>
      <c r="N6" s="2975">
        <v>0</v>
      </c>
      <c r="O6" s="177">
        <f>IF($N$5="成新度","——",ROUND(M6*N6,0))</f>
        <v>0</v>
      </c>
      <c r="P6" s="178">
        <f>IF($N$5="成新度","——",M6-O6)</f>
        <v>24385</v>
      </c>
      <c r="Q6" s="2976">
        <v>0.2</v>
      </c>
      <c r="R6" s="179">
        <f>SUMIF('数据-汇总表'!C$19:C$33,A6,'数据-汇总表'!R$19:R$33)</f>
        <v>21136.959999999999</v>
      </c>
      <c r="S6" s="132">
        <f>IF('数据-汇总表'!$I$17="按面积比例",SUMIF('数据-汇总表'!C$19:C$33,A6,'数据-汇总表'!K$19:K$33),SUMIF('数据-汇总表'!C$19:C$33,A6,'数据-汇总表'!N$19:N$33))</f>
        <v>402.31</v>
      </c>
      <c r="T6" s="2218">
        <f>IF($T$4="按面积比例",IF(ISERROR(ROUND($M$14*S6/S$16,0)),"0",ROUND($M$14*S6/S$16,0)),"需自行计算录入")</f>
        <v>120</v>
      </c>
      <c r="U6" s="180"/>
      <c r="V6" s="181"/>
      <c r="W6" s="181"/>
      <c r="X6" s="2305"/>
      <c r="Y6" s="182"/>
      <c r="Z6" s="183"/>
      <c r="AA6" s="176"/>
      <c r="AB6" s="176"/>
      <c r="AC6" s="2308"/>
      <c r="AD6" s="184"/>
      <c r="AE6" s="972">
        <f ca="1">IF(AN6="",0,SUMIF(INDIRECT("'"&amp;AN6&amp;"'"&amp;"!E:E"),$AE$5,INDIRECT("'"&amp;AN6&amp;"'"&amp;"!F:F")))</f>
        <v>0</v>
      </c>
      <c r="AF6" s="141"/>
      <c r="AG6" s="1209">
        <f>IF(AF6="",0,AE6-AF6)</f>
        <v>0</v>
      </c>
      <c r="AH6" s="141"/>
      <c r="AI6" s="187"/>
      <c r="AJ6" s="188"/>
      <c r="AK6" s="189"/>
      <c r="AL6" s="190"/>
      <c r="AM6" s="2987"/>
      <c r="AN6" s="2355"/>
      <c r="AO6" s="1984"/>
      <c r="AP6" s="1200">
        <f>ROUND(1-1/(1+H6)^F6,3)</f>
        <v>0.84399999999999997</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2" customFormat="1" ht="14.25">
      <c r="A7" s="2286" t="str">
        <f>'数据-汇总表'!C20</f>
        <v>商业</v>
      </c>
      <c r="B7" s="2321" t="str">
        <f t="shared" ref="B7:B13" si="1">IF(A7=0,"","经营性")</f>
        <v>经营性</v>
      </c>
      <c r="C7" s="173" t="s">
        <v>2996</v>
      </c>
      <c r="D7" s="2292">
        <f>SUMIF(项目基本情况!D$15:I$15,C7,项目基本情况!D$18:I$18)</f>
        <v>40</v>
      </c>
      <c r="E7" s="2293">
        <f>IF(B7="","",SUMIF(项目基本情况!D$15:I$15,C7,项目基本情况!D$17:I$17))</f>
        <v>57752</v>
      </c>
      <c r="F7" s="174">
        <f>SUMIF(项目基本情况!D$15:I$15,C7,项目基本情况!D$19:I$19)</f>
        <v>38.03</v>
      </c>
      <c r="G7" s="175">
        <f t="shared" ref="G7:G11" si="2">IF(ISERROR(ROUND(POWER(1+H7,D7-F7)*(POWER(1+H7,F7)-1)/(POWER(1+H7,D7)-1),3)),0,ROUND(POWER(1+H7,D7-F7)*(POWER(1+H7,F7)-1)/(POWER(1+H7,D7)-1),3))</f>
        <v>0.98299999999999998</v>
      </c>
      <c r="H7" s="2974">
        <v>0.05</v>
      </c>
      <c r="I7" s="2974">
        <v>5.5E-2</v>
      </c>
      <c r="J7" s="176">
        <v>8.5000000000000006E-2</v>
      </c>
      <c r="K7" s="179">
        <f>SUMIF('数据-汇总表'!C$19:C$33,'数据-取费表'!A7,'数据-汇总表'!E$19:E$33)</f>
        <v>2760.01</v>
      </c>
      <c r="L7" s="3206">
        <v>3000</v>
      </c>
      <c r="M7" s="177">
        <f t="shared" si="0"/>
        <v>828</v>
      </c>
      <c r="N7" s="2975">
        <v>0</v>
      </c>
      <c r="O7" s="177">
        <f t="shared" ref="O7:O14" si="3">IF($N$5="成新度","——",ROUND(M7*N7,0))</f>
        <v>0</v>
      </c>
      <c r="P7" s="178">
        <f t="shared" ref="P7:P14" si="4">IF($N$5="成新度","——",M7-O7)</f>
        <v>828</v>
      </c>
      <c r="Q7" s="2976">
        <v>0.25</v>
      </c>
      <c r="R7" s="179">
        <f>SUMIF('数据-汇总表'!C$19:C$33,A7,'数据-汇总表'!R$19:R$33)</f>
        <v>1112.47</v>
      </c>
      <c r="S7" s="132">
        <f>IF('数据-汇总表'!$I$17="按面积比例",SUMIF('数据-汇总表'!C$19:C$33,A7,'数据-汇总表'!K$19:K$33),SUMIF('数据-汇总表'!C$19:C$33,A7,'数据-汇总表'!N$19:N$33))</f>
        <v>21.17</v>
      </c>
      <c r="T7" s="2218">
        <f t="shared" ref="T7:T13" si="5">IF($T$4="按面积比例",IF(ISERROR(ROUND($M$14*S7/S$16,0)),"0",ROUND($M$14*S7/S$16,0)),"需自行计算录入")</f>
        <v>6</v>
      </c>
      <c r="U7" s="180">
        <v>4.5</v>
      </c>
      <c r="V7" s="181">
        <v>2.5000000000000001E-2</v>
      </c>
      <c r="W7" s="181">
        <v>0.1</v>
      </c>
      <c r="X7" s="2305"/>
      <c r="Y7" s="182">
        <v>1</v>
      </c>
      <c r="Z7" s="183"/>
      <c r="AA7" s="176"/>
      <c r="AB7" s="176"/>
      <c r="AC7" s="2308"/>
      <c r="AD7" s="184"/>
      <c r="AE7" s="972">
        <f t="shared" ref="AE7:AE13" ca="1" si="6">IF(AN7="",0,SUMIF(INDIRECT("'"&amp;AN7&amp;"'"&amp;"!E:E"),$AE$5,INDIRECT("'"&amp;AN7&amp;"'"&amp;"!F:F")))</f>
        <v>36.03</v>
      </c>
      <c r="AF7" s="141"/>
      <c r="AG7" s="1209">
        <f t="shared" ref="AG7:AG13" si="7">IF(AF7="",0,AE7-AF7)</f>
        <v>0</v>
      </c>
      <c r="AH7" s="141"/>
      <c r="AI7" s="187">
        <v>365</v>
      </c>
      <c r="AJ7" s="188"/>
      <c r="AK7" s="3212">
        <v>1.4999999999999999E-2</v>
      </c>
      <c r="AL7" s="3213">
        <v>2E-3</v>
      </c>
      <c r="AM7" s="3214">
        <v>1.4999999999999999E-2</v>
      </c>
      <c r="AN7" s="3215" t="s">
        <v>3356</v>
      </c>
      <c r="AO7" s="1984"/>
      <c r="AP7" s="1200">
        <f t="shared" ref="AP7:AP13" si="8">ROUND(1-1/(1+H7)^F7,3)</f>
        <v>0.84399999999999997</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2" customFormat="1" ht="14.25">
      <c r="A8" s="2286" t="str">
        <f>'数据-汇总表'!C21</f>
        <v>住宅</v>
      </c>
      <c r="B8" s="2321" t="str">
        <f t="shared" si="1"/>
        <v>经营性</v>
      </c>
      <c r="C8" s="173" t="s">
        <v>923</v>
      </c>
      <c r="D8" s="2292">
        <f>SUMIF(项目基本情况!D$15:I$15,C8,项目基本情况!D$18:I$18)</f>
        <v>70</v>
      </c>
      <c r="E8" s="2293">
        <f>IF(B8="","",SUMIF(项目基本情况!D$15:I$15,C8,项目基本情况!D$17:I$17))</f>
        <v>68709</v>
      </c>
      <c r="F8" s="174">
        <f>SUMIF(项目基本情况!D$15:I$15,C8,项目基本情况!D$19:I$19)</f>
        <v>68.05</v>
      </c>
      <c r="G8" s="175">
        <f t="shared" si="2"/>
        <v>0.995</v>
      </c>
      <c r="H8" s="2974">
        <v>0.04</v>
      </c>
      <c r="I8" s="2974">
        <v>4.4999999999999998E-2</v>
      </c>
      <c r="J8" s="176">
        <v>8.5000000000000006E-2</v>
      </c>
      <c r="K8" s="179">
        <f>SUMIF('数据-汇总表'!C$19:C$33,'数据-取费表'!A8,'数据-汇总表'!E$19:E$33)</f>
        <v>23657.200000000001</v>
      </c>
      <c r="L8" s="3206">
        <v>4000</v>
      </c>
      <c r="M8" s="177">
        <f>ROUND(K8*L8/10000,0)</f>
        <v>9463</v>
      </c>
      <c r="N8" s="2975">
        <v>0</v>
      </c>
      <c r="O8" s="177">
        <f t="shared" si="3"/>
        <v>0</v>
      </c>
      <c r="P8" s="178">
        <f t="shared" si="4"/>
        <v>9463</v>
      </c>
      <c r="Q8" s="2976">
        <v>0.15</v>
      </c>
      <c r="R8" s="179">
        <f>SUMIF('数据-汇总表'!C$19:C$33,A8,'数据-汇总表'!R$19:R$33)</f>
        <v>9535.48</v>
      </c>
      <c r="S8" s="132">
        <f>IF('数据-汇总表'!$I$17="按面积比例",SUMIF('数据-汇总表'!C$19:C$33,A8,'数据-汇总表'!K$19:K$33),SUMIF('数据-汇总表'!C$19:C$33,A8,'数据-汇总表'!N$19:N$33))</f>
        <v>181.49</v>
      </c>
      <c r="T8" s="2218">
        <f t="shared" si="5"/>
        <v>54</v>
      </c>
      <c r="U8" s="180"/>
      <c r="V8" s="181"/>
      <c r="W8" s="181"/>
      <c r="X8" s="2305"/>
      <c r="Y8" s="182"/>
      <c r="Z8" s="183"/>
      <c r="AA8" s="176"/>
      <c r="AB8" s="176"/>
      <c r="AC8" s="2308"/>
      <c r="AD8" s="184"/>
      <c r="AE8" s="972">
        <f t="shared" ca="1" si="6"/>
        <v>0</v>
      </c>
      <c r="AF8" s="141"/>
      <c r="AG8" s="1209">
        <f t="shared" si="7"/>
        <v>0</v>
      </c>
      <c r="AH8" s="141"/>
      <c r="AI8" s="187"/>
      <c r="AJ8" s="188"/>
      <c r="AK8" s="189"/>
      <c r="AL8" s="190"/>
      <c r="AM8" s="2353"/>
      <c r="AN8" s="2355"/>
      <c r="AO8" s="1984"/>
      <c r="AP8" s="1200">
        <f t="shared" si="8"/>
        <v>0.93100000000000005</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2" customFormat="1" ht="14.25">
      <c r="A9" s="2286">
        <f>'数据-汇总表'!C22</f>
        <v>0</v>
      </c>
      <c r="B9" s="2321" t="str">
        <f t="shared" si="1"/>
        <v/>
      </c>
      <c r="C9" s="173"/>
      <c r="D9" s="2292">
        <f>SUMIF(项目基本情况!D$15:I$15,C9,项目基本情况!D$18:I$18)</f>
        <v>0</v>
      </c>
      <c r="E9" s="229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f t="shared" si="5"/>
        <v>0</v>
      </c>
      <c r="U9" s="180"/>
      <c r="V9" s="181"/>
      <c r="W9" s="181"/>
      <c r="X9" s="2305"/>
      <c r="Y9" s="182"/>
      <c r="Z9" s="183"/>
      <c r="AA9" s="176"/>
      <c r="AB9" s="176"/>
      <c r="AC9" s="2308"/>
      <c r="AD9" s="184"/>
      <c r="AE9" s="972">
        <f t="shared" ca="1" si="6"/>
        <v>0</v>
      </c>
      <c r="AF9" s="141"/>
      <c r="AG9" s="1209">
        <f t="shared" si="7"/>
        <v>0</v>
      </c>
      <c r="AH9" s="141"/>
      <c r="AI9" s="187"/>
      <c r="AJ9" s="188"/>
      <c r="AK9" s="189"/>
      <c r="AL9" s="190"/>
      <c r="AM9" s="2353"/>
      <c r="AN9" s="2355"/>
      <c r="AO9" s="1984"/>
      <c r="AP9" s="1200">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2" customFormat="1" ht="14.25">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f t="shared" si="5"/>
        <v>0</v>
      </c>
      <c r="U10" s="180"/>
      <c r="V10" s="181"/>
      <c r="W10" s="181"/>
      <c r="X10" s="2305"/>
      <c r="Y10" s="182"/>
      <c r="Z10" s="183"/>
      <c r="AA10" s="176"/>
      <c r="AB10" s="176"/>
      <c r="AC10" s="2308"/>
      <c r="AD10" s="184"/>
      <c r="AE10" s="972">
        <f t="shared" ca="1" si="6"/>
        <v>0</v>
      </c>
      <c r="AF10" s="141"/>
      <c r="AG10" s="1209">
        <f t="shared" si="7"/>
        <v>0</v>
      </c>
      <c r="AH10" s="141"/>
      <c r="AI10" s="187"/>
      <c r="AJ10" s="188"/>
      <c r="AK10" s="189"/>
      <c r="AL10" s="190"/>
      <c r="AM10" s="2353"/>
      <c r="AN10" s="2355"/>
      <c r="AO10" s="1984"/>
      <c r="AP10" s="1200">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2" customFormat="1" ht="14.25">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f t="shared" si="5"/>
        <v>0</v>
      </c>
      <c r="U11" s="185"/>
      <c r="V11" s="176"/>
      <c r="W11" s="176"/>
      <c r="X11" s="2308"/>
      <c r="Y11" s="182"/>
      <c r="Z11" s="195"/>
      <c r="AA11" s="176"/>
      <c r="AB11" s="176"/>
      <c r="AC11" s="2308"/>
      <c r="AD11" s="184"/>
      <c r="AE11" s="972">
        <f t="shared" ca="1" si="6"/>
        <v>0</v>
      </c>
      <c r="AF11" s="141"/>
      <c r="AG11" s="1209">
        <f t="shared" si="7"/>
        <v>0</v>
      </c>
      <c r="AH11" s="141"/>
      <c r="AI11" s="187"/>
      <c r="AJ11" s="188"/>
      <c r="AK11" s="196"/>
      <c r="AL11" s="197"/>
      <c r="AM11" s="1801"/>
      <c r="AN11" s="2355"/>
      <c r="AO11" s="1984"/>
      <c r="AP11" s="1200">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2" customFormat="1" ht="14.25">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f t="shared" si="5"/>
        <v>0</v>
      </c>
      <c r="U12" s="185"/>
      <c r="V12" s="176"/>
      <c r="W12" s="176"/>
      <c r="X12" s="2308"/>
      <c r="Y12" s="182"/>
      <c r="Z12" s="195"/>
      <c r="AA12" s="176"/>
      <c r="AB12" s="176"/>
      <c r="AC12" s="2308"/>
      <c r="AD12" s="184"/>
      <c r="AE12" s="972">
        <f t="shared" ca="1" si="6"/>
        <v>0</v>
      </c>
      <c r="AF12" s="141"/>
      <c r="AG12" s="1209">
        <f t="shared" si="7"/>
        <v>0</v>
      </c>
      <c r="AH12" s="141"/>
      <c r="AI12" s="187"/>
      <c r="AJ12" s="188"/>
      <c r="AK12" s="196"/>
      <c r="AL12" s="197"/>
      <c r="AM12" s="1801"/>
      <c r="AN12" s="2355"/>
      <c r="AO12" s="1984"/>
      <c r="AP12" s="1200">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2" customFormat="1" ht="14.25">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f t="shared" si="5"/>
        <v>0</v>
      </c>
      <c r="U13" s="180"/>
      <c r="V13" s="181"/>
      <c r="W13" s="181"/>
      <c r="X13" s="2305"/>
      <c r="Y13" s="182"/>
      <c r="Z13" s="183"/>
      <c r="AA13" s="176"/>
      <c r="AB13" s="176"/>
      <c r="AC13" s="2308"/>
      <c r="AD13" s="184"/>
      <c r="AE13" s="972">
        <f t="shared" ca="1" si="6"/>
        <v>0</v>
      </c>
      <c r="AF13" s="141"/>
      <c r="AG13" s="1209">
        <f t="shared" si="7"/>
        <v>0</v>
      </c>
      <c r="AH13" s="141"/>
      <c r="AI13" s="187"/>
      <c r="AJ13" s="188"/>
      <c r="AK13" s="189"/>
      <c r="AL13" s="190"/>
      <c r="AM13" s="2353"/>
      <c r="AN13" s="2355"/>
      <c r="AO13" s="1984"/>
      <c r="AP13" s="1200">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2" customFormat="1" ht="14.25">
      <c r="A14" s="2287" t="s">
        <v>2314</v>
      </c>
      <c r="B14" s="2290" t="s">
        <v>1679</v>
      </c>
      <c r="C14" s="2291" t="s">
        <v>2314</v>
      </c>
      <c r="D14" s="2292"/>
      <c r="E14" s="2293"/>
      <c r="F14" s="174"/>
      <c r="G14" s="175"/>
      <c r="H14" s="2294"/>
      <c r="I14" s="2294"/>
      <c r="J14" s="2294"/>
      <c r="K14" s="179">
        <f>SUMIF('数据-汇总表'!C$19:C$33,'数据-取费表'!A14,'数据-汇总表'!E$19:E$33)</f>
        <v>604.98</v>
      </c>
      <c r="L14" s="3207">
        <f>L7</f>
        <v>3000</v>
      </c>
      <c r="M14" s="177">
        <f t="shared" si="0"/>
        <v>181</v>
      </c>
      <c r="N14" s="194">
        <f>N6</f>
        <v>0</v>
      </c>
      <c r="O14" s="177">
        <f t="shared" si="3"/>
        <v>0</v>
      </c>
      <c r="P14" s="178">
        <f t="shared" si="4"/>
        <v>181</v>
      </c>
      <c r="Q14" s="2302"/>
      <c r="R14" s="179"/>
      <c r="S14" s="132"/>
      <c r="T14" s="2301"/>
      <c r="U14" s="974"/>
      <c r="V14" s="2304"/>
      <c r="W14" s="2304"/>
      <c r="X14" s="2305"/>
      <c r="Y14" s="2306"/>
      <c r="Z14" s="136"/>
      <c r="AA14" s="2307"/>
      <c r="AB14" s="2307"/>
      <c r="AC14" s="2308"/>
      <c r="AD14" s="2305"/>
      <c r="AE14" s="972"/>
      <c r="AF14" s="2280"/>
      <c r="AG14" s="1209"/>
      <c r="AH14" s="2280"/>
      <c r="AI14" s="1557"/>
      <c r="AJ14" s="1557"/>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2" customFormat="1" ht="27">
      <c r="A15" s="2296" t="s">
        <v>2316</v>
      </c>
      <c r="B15" s="2290" t="s">
        <v>1679</v>
      </c>
      <c r="C15" s="2291" t="s">
        <v>2315</v>
      </c>
      <c r="D15" s="2292"/>
      <c r="E15" s="2293"/>
      <c r="F15" s="174"/>
      <c r="G15" s="175"/>
      <c r="H15" s="2294"/>
      <c r="I15" s="2294"/>
      <c r="J15" s="2294"/>
      <c r="K15" s="179">
        <f>SUMIF('数据-汇总表'!C$19:C$33,'数据-取费表'!A15,'数据-汇总表'!E$19:E$33)</f>
        <v>0</v>
      </c>
      <c r="L15" s="2300"/>
      <c r="M15" s="177"/>
      <c r="N15" s="2303"/>
      <c r="O15" s="177"/>
      <c r="P15" s="178"/>
      <c r="Q15" s="2302"/>
      <c r="R15" s="179"/>
      <c r="S15" s="132"/>
      <c r="T15" s="2301"/>
      <c r="U15" s="974"/>
      <c r="V15" s="2304"/>
      <c r="W15" s="2304"/>
      <c r="X15" s="2305"/>
      <c r="Y15" s="2306"/>
      <c r="Z15" s="136"/>
      <c r="AA15" s="2307"/>
      <c r="AB15" s="2307"/>
      <c r="AC15" s="2308"/>
      <c r="AD15" s="2305"/>
      <c r="AE15" s="972"/>
      <c r="AF15" s="2280"/>
      <c r="AG15" s="1209"/>
      <c r="AH15" s="2280"/>
      <c r="AI15" s="1557"/>
      <c r="AJ15" s="1557"/>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2" customFormat="1" ht="15.75" thickBot="1">
      <c r="A16" s="198" t="s">
        <v>262</v>
      </c>
      <c r="B16" s="199"/>
      <c r="C16" s="200"/>
      <c r="D16" s="201"/>
      <c r="E16" s="199"/>
      <c r="F16" s="199"/>
      <c r="G16" s="202">
        <f>ROUND(SUMPRODUCT(G6:G13,K6:K13)/SUMPRODUCT((G6:G13&gt;0)*(K6:K13)),3)</f>
        <v>0.98699999999999999</v>
      </c>
      <c r="H16" s="203">
        <f>ROUND(SUMPRODUCT(H6:H13,K6:K13)/SUMPRODUCT((H6:H13&gt;0)*(K6:K13)),3)</f>
        <v>4.7E-2</v>
      </c>
      <c r="I16" s="204"/>
      <c r="J16" s="204"/>
      <c r="K16" s="205">
        <f>SUM(K6:K15)</f>
        <v>79462.3</v>
      </c>
      <c r="L16" s="206">
        <f>ROUND(M16*10000/SUM(K6:K14),0)</f>
        <v>4387</v>
      </c>
      <c r="M16" s="206">
        <f>SUM(M6:M14)</f>
        <v>34857</v>
      </c>
      <c r="N16" s="207">
        <f>ROUND(SUMPRODUCT(M6:M14,N6:N14)/M16,3)</f>
        <v>0</v>
      </c>
      <c r="O16" s="206">
        <f>SUM(O6:O14)</f>
        <v>0</v>
      </c>
      <c r="P16" s="206">
        <f>SUM(P6:P14)</f>
        <v>34857</v>
      </c>
      <c r="Q16" s="208">
        <f>ROUND(SUMPRODUCT(Q6:Q13,K6:K13)/SUMPRODUCT((Q6:Q13&gt;0)*(K6:K13)),2)</f>
        <v>0.19</v>
      </c>
      <c r="R16" s="2295">
        <f>SUM(R6:R13)</f>
        <v>31784.91</v>
      </c>
      <c r="S16" s="209">
        <f>SUM(S6:S13)</f>
        <v>604.97</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200">
        <f>ROUND(SUMPRODUCT(AP6:AP13,K6:K13)/SUMPRODUCT((AP6:AP13&gt;0)*(K6:K13)),3)</f>
        <v>0.87</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10"/>
      <c r="B17" s="1198"/>
      <c r="C17" s="1973"/>
      <c r="D17" s="1974"/>
      <c r="E17" s="1974"/>
      <c r="F17" s="1973"/>
      <c r="G17" s="1973"/>
      <c r="H17" s="1973"/>
      <c r="I17" s="1973"/>
      <c r="J17" s="1973"/>
      <c r="K17" s="1975"/>
      <c r="L17" s="1975"/>
      <c r="M17" s="1973"/>
      <c r="N17" s="1973"/>
      <c r="O17" s="1973"/>
      <c r="P17" s="1973"/>
      <c r="Q17" s="3208">
        <f>Q16/B20</f>
        <v>9.5000000000000001E-2</v>
      </c>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263</v>
      </c>
      <c r="B18" s="1200"/>
      <c r="C18" s="1976"/>
      <c r="D18" s="1977"/>
      <c r="E18" s="1976"/>
      <c r="F18" s="1976"/>
      <c r="G18" s="1976"/>
      <c r="H18" s="1976"/>
      <c r="I18" s="1976"/>
      <c r="J18" s="3204">
        <v>0.25</v>
      </c>
      <c r="K18" s="1975">
        <f>K16*J18</f>
        <v>19865.575000000001</v>
      </c>
      <c r="L18" s="1975">
        <v>2500</v>
      </c>
      <c r="M18" s="1973">
        <f>L18*K18</f>
        <v>49663937.5</v>
      </c>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25">
      <c r="A19" s="217" t="s">
        <v>264</v>
      </c>
      <c r="B19" s="218">
        <v>0</v>
      </c>
      <c r="C19" s="2327" t="s">
        <v>2336</v>
      </c>
      <c r="D19" s="1977"/>
      <c r="E19" s="1976"/>
      <c r="F19" s="1976"/>
      <c r="G19" s="1976"/>
      <c r="H19" s="1976"/>
      <c r="I19" s="1976"/>
      <c r="J19" s="1976"/>
      <c r="K19" s="3205">
        <f>K6</f>
        <v>52440.110000000008</v>
      </c>
      <c r="L19" s="1975">
        <f>L18*O19+N19</f>
        <v>4000</v>
      </c>
      <c r="M19" s="1973">
        <f t="shared" ref="M19:M22" si="9">L19*K19</f>
        <v>209760440.00000003</v>
      </c>
      <c r="N19" s="1973">
        <v>1000</v>
      </c>
      <c r="O19" s="1973">
        <v>1.2</v>
      </c>
      <c r="P19" s="1973">
        <f>$M$23*M19/$M$24</f>
        <v>244373263.74717259</v>
      </c>
      <c r="Q19" s="1973">
        <f>P19/K19</f>
        <v>4660.0448349016151</v>
      </c>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25">
      <c r="A20" s="219" t="s">
        <v>265</v>
      </c>
      <c r="B20" s="220">
        <v>2</v>
      </c>
      <c r="C20" s="2327" t="s">
        <v>2335</v>
      </c>
      <c r="D20" s="1977"/>
      <c r="E20" s="1976"/>
      <c r="F20" s="1976"/>
      <c r="G20" s="1976"/>
      <c r="H20" s="1976"/>
      <c r="I20" s="1976"/>
      <c r="J20" s="1976"/>
      <c r="K20" s="3205">
        <f>K7</f>
        <v>2760.01</v>
      </c>
      <c r="L20" s="1975">
        <f>L18</f>
        <v>2500</v>
      </c>
      <c r="M20" s="1973">
        <f t="shared" si="9"/>
        <v>6900025.0000000009</v>
      </c>
      <c r="N20" s="1973"/>
      <c r="O20" s="1973"/>
      <c r="P20" s="1973">
        <f t="shared" ref="P20:P22" si="10">$M$23*M20/$M$24</f>
        <v>8038606.4654855067</v>
      </c>
      <c r="Q20" s="1973">
        <f t="shared" ref="Q20:Q22" si="11">P20/K20</f>
        <v>2912.5280218135099</v>
      </c>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1" t="s">
        <v>266</v>
      </c>
      <c r="B21" s="220">
        <v>0</v>
      </c>
      <c r="C21" s="1976"/>
      <c r="D21" s="1977"/>
      <c r="E21" s="1976"/>
      <c r="F21" s="1976"/>
      <c r="G21" s="1976"/>
      <c r="H21" s="1976"/>
      <c r="I21" s="1976"/>
      <c r="J21" s="1976"/>
      <c r="K21" s="3205">
        <f>K8</f>
        <v>23657.200000000001</v>
      </c>
      <c r="L21" s="1975">
        <f>L18+N21</f>
        <v>3500</v>
      </c>
      <c r="M21" s="1973">
        <f t="shared" si="9"/>
        <v>82800200</v>
      </c>
      <c r="N21" s="1973">
        <v>1000</v>
      </c>
      <c r="O21" s="1973"/>
      <c r="P21" s="1973">
        <f t="shared" si="10"/>
        <v>96463161.084705189</v>
      </c>
      <c r="Q21" s="1973">
        <f t="shared" si="11"/>
        <v>4077.5392305389137</v>
      </c>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9" t="s">
        <v>267</v>
      </c>
      <c r="B22" s="222">
        <f>B19+B20</f>
        <v>2</v>
      </c>
      <c r="C22" s="1976"/>
      <c r="D22" s="1977"/>
      <c r="E22" s="1976"/>
      <c r="F22" s="1976"/>
      <c r="G22" s="1976"/>
      <c r="H22" s="1976"/>
      <c r="I22" s="1976"/>
      <c r="J22" s="1976"/>
      <c r="K22" s="3205">
        <f>K14</f>
        <v>604.98</v>
      </c>
      <c r="L22" s="1975">
        <f>L18</f>
        <v>2500</v>
      </c>
      <c r="M22" s="1973">
        <f t="shared" si="9"/>
        <v>1512450</v>
      </c>
      <c r="N22" s="1973"/>
      <c r="O22" s="1973"/>
      <c r="P22" s="1973">
        <f t="shared" si="10"/>
        <v>1762021.2026367371</v>
      </c>
      <c r="Q22" s="1973">
        <f t="shared" si="11"/>
        <v>2912.5280218135099</v>
      </c>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21" t="s">
        <v>268</v>
      </c>
      <c r="B23" s="222">
        <f>B19+B21</f>
        <v>0</v>
      </c>
      <c r="C23" s="1976"/>
      <c r="D23" s="1977"/>
      <c r="E23" s="1976"/>
      <c r="F23" s="1976"/>
      <c r="G23" s="1976"/>
      <c r="H23" s="1976"/>
      <c r="I23" s="1976"/>
      <c r="J23" s="1976"/>
      <c r="K23" s="1975"/>
      <c r="L23" s="1975"/>
      <c r="M23" s="1973">
        <f>SUM(M18:M22)</f>
        <v>350637052.5</v>
      </c>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3" t="s">
        <v>269</v>
      </c>
      <c r="B24" s="224">
        <f>B20-B21</f>
        <v>2</v>
      </c>
      <c r="C24" s="1976"/>
      <c r="D24" s="1977"/>
      <c r="E24" s="1976"/>
      <c r="F24" s="1976"/>
      <c r="G24" s="1976"/>
      <c r="H24" s="1976"/>
      <c r="I24" s="1976"/>
      <c r="J24" s="1976"/>
      <c r="K24" s="1975"/>
      <c r="L24" s="1975"/>
      <c r="M24" s="1973">
        <f>M19+M20+M21+M22</f>
        <v>300973115</v>
      </c>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203"/>
      <c r="B25" s="1200"/>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270</v>
      </c>
      <c r="B26" s="225" t="s">
        <v>271</v>
      </c>
      <c r="C26" s="1979" t="s">
        <v>272</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1" customFormat="1" ht="27.75">
      <c r="A27" s="226" t="s">
        <v>2338</v>
      </c>
      <c r="B27" s="227">
        <v>220</v>
      </c>
      <c r="C27" s="3021" t="s">
        <v>3169</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1" customFormat="1" ht="27.75">
      <c r="A28" s="228" t="s">
        <v>2339</v>
      </c>
      <c r="B28" s="229">
        <v>220</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1" customFormat="1" ht="28.5" thickBot="1">
      <c r="A29" s="231" t="s">
        <v>2337</v>
      </c>
      <c r="B29" s="232"/>
      <c r="C29" s="1538" t="s">
        <v>2340</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1" customFormat="1" ht="27">
      <c r="A30" s="235" t="s">
        <v>273</v>
      </c>
      <c r="B30" s="978">
        <v>200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1" customFormat="1" ht="27">
      <c r="A31" s="228" t="s">
        <v>274</v>
      </c>
      <c r="B31" s="230">
        <f>B30-B32</f>
        <v>100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1" customFormat="1" ht="27.75" thickBot="1">
      <c r="A32" s="237" t="s">
        <v>275</v>
      </c>
      <c r="B32" s="3190">
        <v>100</v>
      </c>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1" customFormat="1" ht="14.25">
      <c r="A33" s="226" t="s">
        <v>278</v>
      </c>
      <c r="B33" s="1374">
        <v>0.03</v>
      </c>
      <c r="C33" s="2328" t="s">
        <v>2889</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8" t="s">
        <v>279</v>
      </c>
      <c r="B34" s="3209">
        <v>0.03</v>
      </c>
      <c r="C34" s="2328" t="s">
        <v>2890</v>
      </c>
      <c r="D34" s="1977" t="s">
        <v>871</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8" t="s">
        <v>276</v>
      </c>
      <c r="B35" s="229">
        <v>200</v>
      </c>
      <c r="C35" s="2328" t="s">
        <v>2891</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1" t="s">
        <v>277</v>
      </c>
      <c r="B36" s="234">
        <v>1.4999999999999999E-2</v>
      </c>
      <c r="C36" s="2328" t="s">
        <v>2892</v>
      </c>
      <c r="D36" s="1974"/>
      <c r="E36" s="1198"/>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5" t="s">
        <v>280</v>
      </c>
      <c r="B37" s="236">
        <v>0.02</v>
      </c>
      <c r="C37" s="2328" t="s">
        <v>2893</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8" t="s">
        <v>281</v>
      </c>
      <c r="B38" s="233">
        <v>0.02</v>
      </c>
      <c r="C38" s="2328" t="s">
        <v>2893</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2" t="s">
        <v>2453</v>
      </c>
      <c r="B39" s="800">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2454</v>
      </c>
      <c r="B40" s="2444">
        <f ca="1">存贷款利率!E2</f>
        <v>4.7500000000000001E-2</v>
      </c>
      <c r="C40" s="2328" t="s">
        <v>2341</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6" t="s">
        <v>282</v>
      </c>
      <c r="B41" s="238">
        <f>B42+B43</f>
        <v>5.6500000000000002E-2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9" t="s">
        <v>283</v>
      </c>
      <c r="B42" s="240">
        <v>0.05</v>
      </c>
      <c r="C42" s="3047">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9" t="s">
        <v>284</v>
      </c>
      <c r="B43" s="241">
        <f>B42*(B44+B45+B46)+B47</f>
        <v>6.5000000000000006E-3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9" t="s">
        <v>285</v>
      </c>
      <c r="B44" s="242">
        <v>7.0000000000000007E-2</v>
      </c>
      <c r="C44" s="2328" t="s">
        <v>2894</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9" t="s">
        <v>286</v>
      </c>
      <c r="B45" s="240">
        <v>0.03</v>
      </c>
      <c r="C45" s="2330" t="s">
        <v>2895</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9" t="s">
        <v>287</v>
      </c>
      <c r="B46" s="240">
        <v>0.02</v>
      </c>
      <c r="C46" s="2330" t="s">
        <v>2896</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3" t="s">
        <v>288</v>
      </c>
      <c r="B47" s="244">
        <v>5.0000000000000001E-4</v>
      </c>
      <c r="C47" s="3021" t="s">
        <v>2897</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5" t="s">
        <v>289</v>
      </c>
      <c r="B48" s="246">
        <v>0.03</v>
      </c>
      <c r="C48" s="3022" t="s">
        <v>2898</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7" t="s">
        <v>290</v>
      </c>
      <c r="B49" s="240">
        <v>5.0000000000000001E-4</v>
      </c>
      <c r="C49" s="3022" t="s">
        <v>2899</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7" t="s">
        <v>291</v>
      </c>
      <c r="B50" s="248">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1" t="s">
        <v>292</v>
      </c>
      <c r="B51" s="249">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7" t="s">
        <v>293</v>
      </c>
      <c r="B52" s="250">
        <f>SUMIF(A54:A63,B53,B54:B63)</f>
        <v>9</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8" t="s">
        <v>294</v>
      </c>
      <c r="B53" s="251" t="s">
        <v>925</v>
      </c>
      <c r="C53" s="3023" t="s">
        <v>2900</v>
      </c>
      <c r="D53" s="3024" t="s">
        <v>2901</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26" t="s">
        <v>2902</v>
      </c>
      <c r="B54" s="186">
        <v>18</v>
      </c>
      <c r="C54" s="1978">
        <v>30</v>
      </c>
      <c r="D54" s="3025"/>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26" t="s">
        <v>2903</v>
      </c>
      <c r="B55" s="186">
        <v>15</v>
      </c>
      <c r="C55" s="1978">
        <v>24</v>
      </c>
      <c r="D55" s="3025"/>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26" t="s">
        <v>2904</v>
      </c>
      <c r="B56" s="186">
        <v>12</v>
      </c>
      <c r="C56" s="1978">
        <v>18</v>
      </c>
      <c r="D56" s="3025"/>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26" t="s">
        <v>2905</v>
      </c>
      <c r="B57" s="186">
        <v>9</v>
      </c>
      <c r="C57" s="1978">
        <v>12</v>
      </c>
      <c r="D57" s="3025"/>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26" t="s">
        <v>2906</v>
      </c>
      <c r="B58" s="186">
        <v>6</v>
      </c>
      <c r="C58" s="1978">
        <v>3</v>
      </c>
      <c r="D58" s="3025"/>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26" t="s">
        <v>2907</v>
      </c>
      <c r="B59" s="186">
        <v>2</v>
      </c>
      <c r="C59" s="1978">
        <v>1.5</v>
      </c>
      <c r="D59" s="3025"/>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26" t="s">
        <v>2908</v>
      </c>
      <c r="B60" s="186"/>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26" t="s">
        <v>2909</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26" t="s">
        <v>2910</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27" t="s">
        <v>2911</v>
      </c>
      <c r="B63" s="252"/>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3"/>
      <c r="D64" s="1983"/>
      <c r="K64" s="57"/>
      <c r="L64" s="57"/>
    </row>
    <row r="65" spans="1:12" s="1982" customFormat="1">
      <c r="A65" s="253"/>
      <c r="D65" s="1983"/>
      <c r="K65" s="57"/>
      <c r="L65" s="57"/>
    </row>
    <row r="66" spans="1:12" s="1982" customFormat="1">
      <c r="A66" s="253"/>
      <c r="D66" s="1983"/>
      <c r="K66" s="57"/>
      <c r="L66" s="57"/>
    </row>
    <row r="67" spans="1:12" s="1982" customFormat="1">
      <c r="A67" s="253"/>
      <c r="D67" s="1983"/>
      <c r="K67" s="57"/>
      <c r="L67" s="57"/>
    </row>
    <row r="68" spans="1:12" s="1982" customFormat="1">
      <c r="A68" s="253"/>
      <c r="D68" s="1983"/>
      <c r="K68" s="57"/>
      <c r="L68" s="57"/>
    </row>
    <row r="69" spans="1:12" s="1982" customFormat="1">
      <c r="A69" s="253"/>
      <c r="D69" s="1983"/>
      <c r="K69" s="57"/>
      <c r="L69" s="57"/>
    </row>
    <row r="70" spans="1:12" s="1982" customFormat="1">
      <c r="A70" s="253"/>
      <c r="D70" s="1983"/>
      <c r="K70" s="57"/>
      <c r="L70" s="57"/>
    </row>
    <row r="71" spans="1:12" s="1982" customFormat="1">
      <c r="A71" s="253"/>
      <c r="D71" s="1983"/>
      <c r="K71" s="57"/>
      <c r="L71" s="57"/>
    </row>
    <row r="72" spans="1:12" s="1982" customFormat="1">
      <c r="A72" s="253"/>
      <c r="D72" s="1983"/>
      <c r="K72" s="57"/>
      <c r="L72" s="57"/>
    </row>
    <row r="73" spans="1:12" s="1982" customFormat="1">
      <c r="A73" s="253"/>
      <c r="D73" s="1983"/>
      <c r="K73" s="57"/>
      <c r="L73" s="57"/>
    </row>
    <row r="74" spans="1:12" s="1982" customFormat="1">
      <c r="A74" s="253"/>
      <c r="D74" s="1983"/>
      <c r="K74" s="57"/>
      <c r="L74" s="57"/>
    </row>
    <row r="75" spans="1:12" s="1982" customFormat="1">
      <c r="A75" s="253"/>
      <c r="D75" s="1983"/>
      <c r="K75" s="57"/>
      <c r="L75" s="57"/>
    </row>
    <row r="76" spans="1:12" s="1982" customFormat="1">
      <c r="A76" s="253"/>
      <c r="D76" s="1983"/>
      <c r="K76" s="57"/>
      <c r="L76" s="57"/>
    </row>
    <row r="77" spans="1:12" s="1982" customFormat="1">
      <c r="A77" s="253"/>
      <c r="D77" s="1983"/>
      <c r="K77" s="57"/>
      <c r="L77" s="57"/>
    </row>
    <row r="78" spans="1:12" s="1982" customFormat="1">
      <c r="A78" s="253"/>
      <c r="D78" s="1983"/>
      <c r="K78" s="57"/>
      <c r="L78" s="57"/>
    </row>
    <row r="79" spans="1:12" s="1982" customFormat="1">
      <c r="A79" s="253"/>
      <c r="D79" s="1983"/>
      <c r="K79" s="57"/>
      <c r="L79" s="57"/>
    </row>
    <row r="80" spans="1:12" s="1982" customFormat="1">
      <c r="A80" s="253"/>
      <c r="D80" s="1983"/>
      <c r="K80" s="57"/>
      <c r="L80" s="57"/>
    </row>
    <row r="81" spans="1:12" s="1982" customFormat="1">
      <c r="A81" s="253"/>
      <c r="D81" s="1983"/>
      <c r="K81" s="57"/>
      <c r="L81" s="57"/>
    </row>
    <row r="82" spans="1:12" s="1982" customFormat="1">
      <c r="A82" s="253"/>
      <c r="D82" s="1983"/>
      <c r="K82" s="57"/>
      <c r="L82" s="57"/>
    </row>
    <row r="83" spans="1:12" s="1982" customFormat="1">
      <c r="A83" s="253"/>
      <c r="D83" s="1983"/>
      <c r="K83" s="57"/>
      <c r="L83" s="57"/>
    </row>
    <row r="84" spans="1:12" s="1982" customFormat="1">
      <c r="A84" s="253"/>
      <c r="D84" s="1983"/>
      <c r="K84" s="57"/>
      <c r="L84" s="57"/>
    </row>
    <row r="85" spans="1:12" s="1982" customFormat="1">
      <c r="A85" s="253"/>
      <c r="D85" s="1983"/>
      <c r="K85" s="57"/>
      <c r="L85" s="57"/>
    </row>
    <row r="86" spans="1:12" s="1982" customFormat="1">
      <c r="A86" s="253"/>
      <c r="D86" s="1983"/>
      <c r="K86" s="57"/>
      <c r="L86" s="57"/>
    </row>
    <row r="87" spans="1:12" s="1982" customFormat="1">
      <c r="A87" s="253"/>
      <c r="D87" s="1983"/>
      <c r="K87" s="57"/>
      <c r="L87" s="57"/>
    </row>
    <row r="88" spans="1:12" s="1982" customFormat="1">
      <c r="A88" s="253"/>
      <c r="D88" s="1983"/>
      <c r="K88" s="57"/>
      <c r="L88" s="57"/>
    </row>
    <row r="89" spans="1:12" s="1982" customFormat="1">
      <c r="A89" s="253"/>
      <c r="D89" s="1983"/>
      <c r="K89" s="57"/>
      <c r="L89" s="57"/>
    </row>
    <row r="90" spans="1:12" s="1982" customFormat="1">
      <c r="A90" s="253"/>
      <c r="D90" s="1983"/>
      <c r="K90" s="57"/>
      <c r="L90" s="57"/>
    </row>
    <row r="91" spans="1:12" s="1982" customFormat="1">
      <c r="A91" s="253"/>
      <c r="D91" s="1983"/>
      <c r="K91" s="57"/>
      <c r="L91" s="57"/>
    </row>
    <row r="92" spans="1:12" s="1982" customFormat="1">
      <c r="A92" s="253"/>
      <c r="D92" s="1983"/>
      <c r="K92" s="57"/>
      <c r="L92" s="57"/>
    </row>
    <row r="93" spans="1:12" s="1982" customFormat="1">
      <c r="A93" s="253"/>
      <c r="D93" s="1983"/>
      <c r="K93" s="57"/>
      <c r="L93" s="57"/>
    </row>
    <row r="94" spans="1:12" s="1982" customFormat="1">
      <c r="A94" s="253"/>
      <c r="D94" s="1983"/>
      <c r="K94" s="57"/>
      <c r="L94" s="57"/>
    </row>
    <row r="95" spans="1:12" s="1982" customFormat="1">
      <c r="A95" s="253"/>
      <c r="D95" s="1983"/>
      <c r="K95" s="57"/>
      <c r="L95" s="57"/>
    </row>
    <row r="96" spans="1:12" s="1982" customFormat="1">
      <c r="A96" s="253"/>
      <c r="D96" s="1983"/>
      <c r="K96" s="57"/>
      <c r="L96" s="57"/>
    </row>
    <row r="97" spans="1:12" s="1982" customFormat="1">
      <c r="A97" s="253"/>
      <c r="D97" s="1983"/>
      <c r="K97" s="57"/>
      <c r="L97" s="57"/>
    </row>
    <row r="98" spans="1:12" s="1982" customFormat="1">
      <c r="A98" s="253"/>
      <c r="D98" s="1983"/>
      <c r="K98" s="57"/>
      <c r="L98" s="57"/>
    </row>
    <row r="99" spans="1:12" s="1982" customFormat="1">
      <c r="A99" s="253"/>
      <c r="D99" s="1983"/>
      <c r="K99" s="57"/>
      <c r="L99" s="57"/>
    </row>
    <row r="100" spans="1:12" s="1982" customFormat="1">
      <c r="A100" s="253"/>
      <c r="D100" s="1983"/>
      <c r="K100" s="57"/>
      <c r="L100" s="57"/>
    </row>
    <row r="101" spans="1:12" s="1982" customFormat="1">
      <c r="A101" s="253"/>
      <c r="D101" s="1983"/>
      <c r="K101" s="57"/>
      <c r="L101" s="57"/>
    </row>
    <row r="102" spans="1:12" s="1982" customFormat="1">
      <c r="A102" s="253"/>
      <c r="D102" s="1983"/>
      <c r="K102" s="57"/>
      <c r="L102" s="57"/>
    </row>
    <row r="103" spans="1:12" s="1982" customFormat="1">
      <c r="A103" s="253"/>
      <c r="D103" s="1983"/>
      <c r="K103" s="57"/>
      <c r="L103" s="57"/>
    </row>
    <row r="104" spans="1:12" s="1982" customFormat="1">
      <c r="A104" s="253"/>
      <c r="D104" s="1983"/>
      <c r="K104" s="57"/>
      <c r="L104" s="57"/>
    </row>
    <row r="105" spans="1:12" s="1982" customFormat="1">
      <c r="A105" s="253"/>
      <c r="D105" s="1983"/>
      <c r="K105" s="57"/>
      <c r="L105" s="57"/>
    </row>
    <row r="106" spans="1:12" s="1982" customFormat="1">
      <c r="A106" s="253"/>
      <c r="D106" s="1983"/>
      <c r="K106" s="57"/>
      <c r="L106" s="57"/>
    </row>
    <row r="107" spans="1:12" s="1982" customFormat="1">
      <c r="A107" s="253"/>
      <c r="D107" s="1983"/>
      <c r="K107" s="57"/>
      <c r="L107" s="57"/>
    </row>
    <row r="108" spans="1:12" s="1982" customFormat="1">
      <c r="A108" s="253"/>
      <c r="D108" s="1983"/>
      <c r="K108" s="57"/>
      <c r="L108" s="57"/>
    </row>
    <row r="109" spans="1:12" s="1982" customFormat="1">
      <c r="A109" s="253"/>
      <c r="D109" s="1983"/>
      <c r="K109" s="57"/>
      <c r="L109" s="57"/>
    </row>
    <row r="110" spans="1:12" s="1982" customFormat="1">
      <c r="A110" s="253"/>
      <c r="D110" s="1983"/>
      <c r="K110" s="57"/>
      <c r="L110" s="57"/>
    </row>
    <row r="111" spans="1:12" s="1982" customFormat="1">
      <c r="A111" s="253"/>
      <c r="D111" s="1983"/>
      <c r="K111" s="57"/>
      <c r="L111" s="57"/>
    </row>
    <row r="112" spans="1:12" s="1982" customFormat="1">
      <c r="A112" s="253"/>
      <c r="D112" s="1983"/>
      <c r="K112" s="57"/>
      <c r="L112" s="57"/>
    </row>
    <row r="113" spans="1:12" s="1982" customFormat="1">
      <c r="A113" s="253"/>
      <c r="D113" s="1983"/>
      <c r="K113" s="57"/>
      <c r="L113" s="57"/>
    </row>
    <row r="114" spans="1:12" s="1982" customFormat="1">
      <c r="A114" s="253"/>
      <c r="D114" s="1983"/>
      <c r="K114" s="57"/>
      <c r="L114" s="57"/>
    </row>
    <row r="115" spans="1:12" s="1982" customFormat="1">
      <c r="A115" s="253"/>
      <c r="D115" s="1983"/>
      <c r="K115" s="57"/>
      <c r="L115" s="57"/>
    </row>
    <row r="116" spans="1:12" s="1982" customFormat="1">
      <c r="A116" s="253"/>
      <c r="D116" s="1983"/>
      <c r="K116" s="57"/>
      <c r="L116" s="57"/>
    </row>
    <row r="117" spans="1:12" s="1982" customFormat="1">
      <c r="A117" s="253"/>
      <c r="D117" s="1983"/>
      <c r="K117" s="57"/>
      <c r="L117" s="57"/>
    </row>
    <row r="118" spans="1:12" s="1982" customFormat="1">
      <c r="A118" s="253"/>
      <c r="D118" s="1983"/>
      <c r="K118" s="57"/>
      <c r="L118" s="57"/>
    </row>
    <row r="119" spans="1:12" s="1982" customFormat="1">
      <c r="A119" s="253"/>
      <c r="D119" s="1983"/>
      <c r="K119" s="57"/>
      <c r="L119" s="57"/>
    </row>
    <row r="120" spans="1:12" s="1982" customFormat="1">
      <c r="A120" s="253"/>
      <c r="D120" s="1983"/>
      <c r="K120" s="57"/>
      <c r="L120" s="57"/>
    </row>
    <row r="121" spans="1:12" s="1982" customFormat="1">
      <c r="A121" s="253"/>
      <c r="D121" s="1983"/>
      <c r="K121" s="57"/>
      <c r="L121" s="57"/>
    </row>
    <row r="122" spans="1:12" s="1982" customFormat="1">
      <c r="A122" s="253"/>
      <c r="D122" s="1983"/>
      <c r="K122" s="57"/>
      <c r="L122" s="57"/>
    </row>
    <row r="123" spans="1:12" s="1982" customFormat="1">
      <c r="A123" s="253"/>
      <c r="D123" s="1983"/>
      <c r="K123" s="57"/>
      <c r="L123" s="57"/>
    </row>
    <row r="124" spans="1:12" s="1982" customFormat="1">
      <c r="A124" s="253"/>
      <c r="D124" s="1983"/>
      <c r="K124" s="57"/>
      <c r="L124" s="57"/>
    </row>
    <row r="125" spans="1:12" s="1982" customFormat="1">
      <c r="A125" s="253"/>
      <c r="D125" s="1983"/>
      <c r="K125" s="57"/>
      <c r="L125" s="57"/>
    </row>
    <row r="126" spans="1:12" s="1982" customFormat="1">
      <c r="A126" s="253"/>
      <c r="D126" s="1983"/>
      <c r="K126" s="57"/>
      <c r="L126" s="57"/>
    </row>
    <row r="127" spans="1:12" s="1982" customFormat="1">
      <c r="A127" s="253"/>
      <c r="D127" s="1983"/>
      <c r="K127" s="57"/>
      <c r="L127" s="57"/>
    </row>
    <row r="128" spans="1:12" s="1982" customFormat="1">
      <c r="A128" s="253"/>
      <c r="D128" s="1983"/>
      <c r="K128" s="57"/>
      <c r="L128" s="57"/>
    </row>
    <row r="129" spans="1:12" s="1982" customFormat="1">
      <c r="A129" s="253"/>
      <c r="D129" s="1983"/>
      <c r="K129" s="57"/>
      <c r="L129" s="57"/>
    </row>
    <row r="130" spans="1:12" s="1982" customFormat="1">
      <c r="A130" s="253"/>
      <c r="D130" s="1983"/>
      <c r="K130" s="57"/>
      <c r="L130" s="57"/>
    </row>
    <row r="131" spans="1:12" s="1982" customFormat="1">
      <c r="A131" s="253"/>
      <c r="D131" s="1983"/>
      <c r="K131" s="57"/>
      <c r="L131" s="57"/>
    </row>
    <row r="132" spans="1:12" s="1982" customFormat="1">
      <c r="A132" s="253"/>
      <c r="D132" s="1983"/>
      <c r="K132" s="57"/>
      <c r="L132" s="57"/>
    </row>
    <row r="133" spans="1:12" s="1982" customFormat="1">
      <c r="A133" s="253"/>
      <c r="D133" s="1983"/>
      <c r="K133" s="57"/>
      <c r="L133" s="57"/>
    </row>
    <row r="134" spans="1:12" s="1982" customFormat="1">
      <c r="A134" s="253"/>
      <c r="D134" s="1983"/>
      <c r="K134" s="57"/>
      <c r="L134" s="57"/>
    </row>
    <row r="135" spans="1:12" s="1982" customFormat="1">
      <c r="A135" s="253"/>
      <c r="D135" s="1983"/>
      <c r="K135" s="57"/>
      <c r="L135" s="57"/>
    </row>
    <row r="136" spans="1:12" s="1982" customFormat="1">
      <c r="A136" s="253"/>
      <c r="D136" s="1983"/>
      <c r="K136" s="57"/>
      <c r="L136" s="57"/>
    </row>
    <row r="137" spans="1:12" s="1982" customFormat="1">
      <c r="A137" s="253"/>
      <c r="D137" s="1983"/>
      <c r="K137" s="57"/>
      <c r="L137" s="57"/>
    </row>
    <row r="138" spans="1:12" s="1982" customFormat="1">
      <c r="A138" s="253"/>
      <c r="D138" s="1983"/>
      <c r="K138" s="57"/>
      <c r="L138" s="57"/>
    </row>
    <row r="139" spans="1:12" s="1982" customFormat="1">
      <c r="A139" s="253"/>
      <c r="D139" s="1983"/>
      <c r="K139" s="57"/>
      <c r="L139" s="57"/>
    </row>
    <row r="140" spans="1:12" s="1982" customFormat="1">
      <c r="A140" s="253"/>
      <c r="D140" s="1983"/>
      <c r="K140" s="57"/>
      <c r="L140" s="57"/>
    </row>
    <row r="141" spans="1:12" s="1982" customFormat="1">
      <c r="A141" s="253"/>
      <c r="D141" s="1983"/>
      <c r="K141" s="57"/>
      <c r="L141" s="57"/>
    </row>
    <row r="142" spans="1:12" s="1982" customFormat="1">
      <c r="A142" s="253"/>
      <c r="D142" s="1983"/>
      <c r="K142" s="57"/>
      <c r="L142" s="57"/>
    </row>
    <row r="143" spans="1:12" s="1982" customFormat="1">
      <c r="A143" s="253"/>
      <c r="D143" s="1983"/>
      <c r="K143" s="57"/>
      <c r="L143" s="57"/>
    </row>
    <row r="144" spans="1:12" s="1982" customFormat="1">
      <c r="A144" s="253"/>
      <c r="D144" s="1983"/>
      <c r="K144" s="57"/>
      <c r="L144" s="57"/>
    </row>
    <row r="145" spans="1:12" s="1982" customFormat="1">
      <c r="A145" s="253"/>
      <c r="D145" s="1983"/>
      <c r="K145" s="57"/>
      <c r="L145" s="57"/>
    </row>
    <row r="146" spans="1:12" s="1982" customFormat="1">
      <c r="A146" s="253"/>
      <c r="D146" s="1983"/>
      <c r="K146" s="57"/>
      <c r="L146" s="57"/>
    </row>
    <row r="147" spans="1:12" s="1982" customFormat="1">
      <c r="A147" s="253"/>
      <c r="D147" s="1983"/>
      <c r="K147" s="57"/>
      <c r="L147" s="57"/>
    </row>
    <row r="148" spans="1:12" s="1982" customFormat="1">
      <c r="A148" s="253"/>
      <c r="D148" s="1983"/>
      <c r="K148" s="57"/>
      <c r="L148" s="57"/>
    </row>
    <row r="149" spans="1:12" s="1982" customFormat="1">
      <c r="A149" s="253"/>
      <c r="D149" s="1983"/>
      <c r="K149" s="57"/>
      <c r="L149" s="57"/>
    </row>
    <row r="150" spans="1:12" s="1982" customFormat="1">
      <c r="A150" s="253"/>
      <c r="D150" s="1983"/>
      <c r="K150" s="57"/>
      <c r="L150" s="57"/>
    </row>
    <row r="151" spans="1:12" s="1982" customFormat="1">
      <c r="A151" s="253"/>
      <c r="D151" s="1983"/>
      <c r="K151" s="57"/>
      <c r="L151" s="57"/>
    </row>
    <row r="152" spans="1:12" s="1982" customFormat="1">
      <c r="A152" s="253"/>
      <c r="D152" s="1983"/>
      <c r="K152" s="57"/>
      <c r="L152" s="57"/>
    </row>
    <row r="153" spans="1:12" s="1982" customFormat="1">
      <c r="A153" s="253"/>
      <c r="D153" s="1983"/>
      <c r="K153" s="57"/>
      <c r="L153" s="57"/>
    </row>
    <row r="154" spans="1:12" s="1982" customFormat="1">
      <c r="A154" s="253"/>
      <c r="D154" s="1983"/>
      <c r="K154" s="57"/>
      <c r="L154" s="57"/>
    </row>
    <row r="155" spans="1:12" s="1982" customFormat="1">
      <c r="A155" s="253"/>
      <c r="D155" s="1983"/>
      <c r="K155" s="57"/>
      <c r="L155" s="57"/>
    </row>
    <row r="156" spans="1:12" s="1982" customFormat="1">
      <c r="A156" s="253"/>
      <c r="D156" s="1983"/>
      <c r="K156" s="57"/>
      <c r="L156" s="57"/>
    </row>
    <row r="157" spans="1:12" s="1982" customFormat="1">
      <c r="A157" s="253"/>
      <c r="D157" s="1983"/>
      <c r="K157" s="57"/>
      <c r="L157" s="57"/>
    </row>
    <row r="158" spans="1:12" s="1982" customFormat="1">
      <c r="A158" s="253"/>
      <c r="D158" s="1983"/>
      <c r="K158" s="57"/>
      <c r="L158" s="57"/>
    </row>
    <row r="159" spans="1:12" s="1982" customFormat="1">
      <c r="A159" s="253"/>
      <c r="D159" s="1983"/>
      <c r="K159" s="57"/>
      <c r="L159" s="57"/>
    </row>
    <row r="160" spans="1:12" s="1982" customFormat="1">
      <c r="A160" s="253"/>
      <c r="D160" s="1983"/>
      <c r="K160" s="57"/>
      <c r="L160" s="57"/>
    </row>
    <row r="161" spans="1:12" s="1982" customFormat="1">
      <c r="A161" s="253"/>
      <c r="D161" s="1983"/>
      <c r="K161" s="57"/>
      <c r="L161" s="57"/>
    </row>
    <row r="162" spans="1:12" s="1982" customFormat="1">
      <c r="A162" s="253"/>
      <c r="D162" s="1983"/>
      <c r="K162" s="57"/>
      <c r="L162" s="57"/>
    </row>
    <row r="163" spans="1:12" s="1982" customFormat="1">
      <c r="A163" s="253"/>
      <c r="D163" s="1983"/>
      <c r="K163" s="57"/>
      <c r="L163" s="57"/>
    </row>
    <row r="164" spans="1:12" s="1982" customFormat="1">
      <c r="A164" s="253"/>
      <c r="D164" s="1983"/>
      <c r="K164" s="57"/>
      <c r="L164" s="57"/>
    </row>
    <row r="165" spans="1:12" s="1982" customFormat="1">
      <c r="A165" s="253"/>
      <c r="D165" s="1983"/>
      <c r="K165" s="57"/>
      <c r="L165" s="57"/>
    </row>
    <row r="166" spans="1:12" s="1982" customFormat="1">
      <c r="A166" s="253"/>
      <c r="D166" s="1983"/>
      <c r="K166" s="57"/>
      <c r="L166" s="57"/>
    </row>
    <row r="167" spans="1:12" s="1982" customFormat="1">
      <c r="A167" s="253"/>
      <c r="D167" s="1983"/>
      <c r="K167" s="57"/>
      <c r="L167" s="57"/>
    </row>
    <row r="168" spans="1:12" s="1982" customFormat="1">
      <c r="A168" s="253"/>
      <c r="D168" s="1983"/>
      <c r="K168" s="57"/>
      <c r="L168" s="57"/>
    </row>
    <row r="169" spans="1:12" s="1982" customFormat="1">
      <c r="A169" s="253"/>
      <c r="D169" s="1983"/>
      <c r="K169" s="57"/>
      <c r="L169" s="57"/>
    </row>
    <row r="170" spans="1:12" s="1982" customFormat="1">
      <c r="A170" s="253"/>
      <c r="D170" s="1983"/>
      <c r="K170" s="57"/>
      <c r="L170" s="57"/>
    </row>
    <row r="171" spans="1:12" s="1982" customFormat="1">
      <c r="A171" s="253"/>
      <c r="D171" s="1983"/>
      <c r="K171" s="57"/>
      <c r="L171" s="57"/>
    </row>
    <row r="172" spans="1:12" s="1982" customFormat="1">
      <c r="A172" s="253"/>
      <c r="D172" s="1983"/>
      <c r="K172" s="57"/>
      <c r="L172" s="57"/>
    </row>
    <row r="173" spans="1:12" s="1982" customFormat="1">
      <c r="A173" s="253"/>
      <c r="D173" s="1983"/>
      <c r="K173" s="57"/>
      <c r="L173" s="57"/>
    </row>
    <row r="174" spans="1:12" s="1982" customFormat="1">
      <c r="A174" s="253"/>
      <c r="D174" s="1983"/>
      <c r="K174" s="57"/>
      <c r="L174" s="57"/>
    </row>
    <row r="175" spans="1:12" s="1982" customFormat="1">
      <c r="A175" s="253"/>
      <c r="D175" s="1983"/>
      <c r="K175" s="57"/>
      <c r="L175" s="57"/>
    </row>
    <row r="176" spans="1:12" s="1982" customFormat="1">
      <c r="A176" s="253"/>
      <c r="D176" s="1983"/>
      <c r="K176" s="57"/>
      <c r="L176" s="57"/>
    </row>
    <row r="177" spans="1:12" s="1982" customFormat="1">
      <c r="A177" s="253"/>
      <c r="D177" s="1983"/>
      <c r="K177" s="57"/>
      <c r="L177" s="57"/>
    </row>
    <row r="178" spans="1:12" s="1982" customFormat="1">
      <c r="A178" s="253"/>
      <c r="D178" s="1983"/>
      <c r="K178" s="57"/>
      <c r="L178" s="57"/>
    </row>
    <row r="179" spans="1:12" s="1982" customFormat="1">
      <c r="A179" s="253"/>
      <c r="D179" s="1983"/>
      <c r="K179" s="57"/>
      <c r="L179" s="57"/>
    </row>
    <row r="180" spans="1:12" s="1982" customFormat="1">
      <c r="A180" s="253"/>
      <c r="D180" s="1983"/>
      <c r="K180" s="57"/>
      <c r="L180" s="57"/>
    </row>
    <row r="181" spans="1:12" s="1982" customFormat="1">
      <c r="A181" s="253"/>
      <c r="D181" s="1983"/>
      <c r="K181" s="57"/>
      <c r="L181" s="57"/>
    </row>
    <row r="182" spans="1:12" s="1982" customFormat="1">
      <c r="A182" s="253"/>
      <c r="D182" s="1983"/>
      <c r="K182" s="57"/>
      <c r="L182" s="57"/>
    </row>
    <row r="183" spans="1:12" s="1982" customFormat="1">
      <c r="A183" s="253"/>
      <c r="D183" s="1983"/>
      <c r="K183" s="57"/>
      <c r="L183" s="57"/>
    </row>
    <row r="184" spans="1:12" s="1982" customFormat="1">
      <c r="A184" s="253"/>
      <c r="D184" s="1983"/>
      <c r="K184" s="57"/>
      <c r="L184" s="57"/>
    </row>
    <row r="185" spans="1:12" s="1982" customFormat="1">
      <c r="A185" s="253"/>
      <c r="D185" s="1983"/>
      <c r="K185" s="57"/>
      <c r="L185" s="57"/>
    </row>
    <row r="186" spans="1:12" s="1982" customFormat="1">
      <c r="A186" s="253"/>
      <c r="D186" s="1983"/>
      <c r="K186" s="57"/>
      <c r="L186" s="57"/>
    </row>
    <row r="187" spans="1:12" s="1982" customFormat="1">
      <c r="A187" s="253"/>
      <c r="D187" s="1983"/>
      <c r="K187" s="57"/>
      <c r="L187" s="57"/>
    </row>
    <row r="188" spans="1:12" s="1982" customFormat="1">
      <c r="A188" s="253"/>
      <c r="D188" s="1983"/>
      <c r="K188" s="57"/>
      <c r="L188" s="57"/>
    </row>
    <row r="189" spans="1:12" s="1982" customFormat="1">
      <c r="A189" s="253"/>
      <c r="D189" s="1983"/>
      <c r="K189" s="57"/>
      <c r="L189" s="57"/>
    </row>
    <row r="190" spans="1:12" s="1982" customFormat="1">
      <c r="A190" s="253"/>
      <c r="D190" s="1983"/>
      <c r="K190" s="57"/>
      <c r="L190" s="57"/>
    </row>
    <row r="191" spans="1:12" s="1982" customFormat="1">
      <c r="A191" s="253"/>
      <c r="D191" s="1983"/>
      <c r="K191" s="57"/>
      <c r="L191" s="57"/>
    </row>
    <row r="192" spans="1:12" s="1982" customFormat="1">
      <c r="A192" s="253"/>
      <c r="D192" s="1983"/>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O17" sqref="O17"/>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342" t="s">
        <v>1663</v>
      </c>
      <c r="B1" s="3343"/>
      <c r="C1" s="3343"/>
      <c r="D1" s="3343"/>
      <c r="E1" s="3343"/>
      <c r="F1" s="3343"/>
      <c r="G1" s="3343"/>
      <c r="H1" s="1986"/>
      <c r="I1" s="1987"/>
      <c r="J1" s="1988"/>
      <c r="K1" s="1986"/>
      <c r="L1" s="1987"/>
      <c r="M1" s="1988"/>
      <c r="N1" s="1986"/>
      <c r="O1" s="1987"/>
      <c r="P1" s="1988"/>
      <c r="Q1" s="1989"/>
      <c r="R1" s="1990"/>
    </row>
    <row r="2" spans="1:18" ht="14.25" thickBot="1">
      <c r="A2" s="1217"/>
      <c r="B2" s="1218"/>
      <c r="C2" s="1219" t="s">
        <v>1664</v>
      </c>
      <c r="D2" s="1220"/>
      <c r="E2" s="1221"/>
      <c r="F2" s="1222"/>
      <c r="G2" s="1219" t="s">
        <v>1665</v>
      </c>
      <c r="H2" s="1992"/>
      <c r="I2" s="1992"/>
      <c r="J2" s="1992"/>
      <c r="K2" s="1992"/>
      <c r="L2" s="1992"/>
      <c r="M2" s="1992"/>
      <c r="N2" s="1992"/>
      <c r="O2" s="1992"/>
      <c r="P2" s="1992"/>
      <c r="Q2" s="1992"/>
      <c r="R2" s="1992"/>
    </row>
    <row r="3" spans="1:18" ht="42.75">
      <c r="A3" s="1223" t="s">
        <v>1666</v>
      </c>
      <c r="B3" s="1224" t="s">
        <v>1653</v>
      </c>
      <c r="C3" s="3028"/>
      <c r="D3" s="1993"/>
      <c r="E3" s="1225" t="s">
        <v>1666</v>
      </c>
      <c r="F3" s="1226" t="s">
        <v>1654</v>
      </c>
      <c r="G3" s="3032" t="s">
        <v>2916</v>
      </c>
      <c r="H3" s="1992"/>
      <c r="I3" s="1992"/>
      <c r="J3" s="1992"/>
      <c r="K3" s="1992"/>
      <c r="L3" s="1992"/>
      <c r="M3" s="1992"/>
      <c r="N3" s="1992"/>
      <c r="O3" s="1992"/>
      <c r="P3" s="1992"/>
      <c r="Q3" s="1992"/>
      <c r="R3" s="1992"/>
    </row>
    <row r="4" spans="1:18" ht="40.5">
      <c r="A4" s="1225"/>
      <c r="B4" s="1227" t="s">
        <v>1667</v>
      </c>
      <c r="C4" s="3029"/>
      <c r="D4" s="1993"/>
      <c r="E4" s="1228"/>
      <c r="F4" s="1229" t="s">
        <v>1668</v>
      </c>
      <c r="G4" s="3030" t="s">
        <v>2913</v>
      </c>
      <c r="H4" s="1992"/>
      <c r="I4" s="1992"/>
      <c r="J4" s="1992"/>
      <c r="K4" s="1992"/>
      <c r="L4" s="1992"/>
      <c r="M4" s="1992"/>
      <c r="N4" s="1992"/>
      <c r="O4" s="1992"/>
      <c r="P4" s="1992"/>
      <c r="Q4" s="1992"/>
      <c r="R4" s="1992"/>
    </row>
    <row r="5" spans="1:18" ht="27">
      <c r="A5" s="1225"/>
      <c r="B5" s="1227" t="s">
        <v>1669</v>
      </c>
      <c r="C5" s="3184" t="s">
        <v>3022</v>
      </c>
      <c r="D5" s="1993"/>
      <c r="E5" s="1228"/>
      <c r="F5" s="1227" t="s">
        <v>2543</v>
      </c>
      <c r="G5" s="3030" t="s">
        <v>2914</v>
      </c>
      <c r="H5" s="1992"/>
      <c r="I5" s="1992"/>
      <c r="J5" s="1992"/>
      <c r="K5" s="1992"/>
      <c r="L5" s="1992"/>
      <c r="M5" s="1992"/>
      <c r="N5" s="1992"/>
      <c r="O5" s="1992"/>
      <c r="P5" s="1992"/>
      <c r="Q5" s="1992"/>
      <c r="R5" s="1992"/>
    </row>
    <row r="6" spans="1:18" ht="27">
      <c r="A6" s="1225"/>
      <c r="B6" s="1227" t="s">
        <v>1655</v>
      </c>
      <c r="C6" s="3184" t="s">
        <v>3021</v>
      </c>
      <c r="D6" s="1993"/>
      <c r="E6" s="1228"/>
      <c r="F6" s="1227" t="s">
        <v>2544</v>
      </c>
      <c r="G6" s="3030" t="s">
        <v>2912</v>
      </c>
      <c r="H6" s="1992"/>
      <c r="I6" s="1992"/>
      <c r="J6" s="1992"/>
      <c r="K6" s="1992"/>
      <c r="L6" s="1992"/>
      <c r="M6" s="1992"/>
      <c r="N6" s="1992"/>
      <c r="O6" s="1992"/>
      <c r="P6" s="1992"/>
      <c r="Q6" s="1992"/>
      <c r="R6" s="1992"/>
    </row>
    <row r="7" spans="1:18" ht="41.25" thickBot="1">
      <c r="A7" s="1225"/>
      <c r="B7" s="1227" t="s">
        <v>2543</v>
      </c>
      <c r="C7" s="3185" t="s">
        <v>3022</v>
      </c>
      <c r="D7" s="1994"/>
      <c r="E7" s="1230"/>
      <c r="F7" s="1231" t="s">
        <v>1670</v>
      </c>
      <c r="G7" s="3033" t="s">
        <v>2915</v>
      </c>
      <c r="H7" s="1992"/>
      <c r="I7" s="1992"/>
      <c r="J7" s="1992"/>
      <c r="K7" s="1992"/>
      <c r="L7" s="1992"/>
      <c r="M7" s="1992"/>
      <c r="N7" s="1992"/>
      <c r="O7" s="1992"/>
      <c r="P7" s="1992"/>
      <c r="Q7" s="1992"/>
      <c r="R7" s="1992"/>
    </row>
    <row r="8" spans="1:18">
      <c r="A8" s="1225"/>
      <c r="B8" s="1227" t="s">
        <v>2544</v>
      </c>
      <c r="C8" s="3185" t="s">
        <v>3024</v>
      </c>
      <c r="D8" s="1994"/>
      <c r="E8" s="1994"/>
      <c r="F8" s="1539"/>
      <c r="G8" s="1539"/>
      <c r="H8" s="1992"/>
      <c r="I8" s="1992"/>
      <c r="J8" s="1992"/>
      <c r="K8" s="1992"/>
      <c r="L8" s="1992"/>
      <c r="M8" s="1992"/>
      <c r="N8" s="1992"/>
      <c r="O8" s="1992"/>
      <c r="P8" s="1992"/>
      <c r="Q8" s="1992"/>
      <c r="R8" s="1992"/>
    </row>
    <row r="9" spans="1:18">
      <c r="A9" s="1225"/>
      <c r="B9" s="1227" t="s">
        <v>1656</v>
      </c>
      <c r="C9" s="3184" t="s">
        <v>3021</v>
      </c>
      <c r="D9" s="1993"/>
      <c r="E9" s="1994"/>
      <c r="F9" s="1539"/>
      <c r="G9" s="1539"/>
      <c r="H9" s="1992"/>
      <c r="I9" s="1992"/>
      <c r="J9" s="1992"/>
      <c r="K9" s="1992"/>
      <c r="L9" s="1992"/>
      <c r="M9" s="1992"/>
      <c r="N9" s="1992"/>
      <c r="O9" s="1992"/>
      <c r="P9" s="1992"/>
      <c r="Q9" s="1992"/>
      <c r="R9" s="1992"/>
    </row>
    <row r="10" spans="1:18" s="2000" customFormat="1" ht="15" thickBot="1">
      <c r="A10" s="1232"/>
      <c r="B10" s="1233" t="s">
        <v>1671</v>
      </c>
      <c r="C10" s="3031"/>
      <c r="D10" s="1993"/>
      <c r="E10" s="1993"/>
      <c r="F10" s="1539"/>
      <c r="G10" s="1539"/>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41"/>
      <c r="E12" s="1993"/>
      <c r="F12" s="1994"/>
      <c r="G12" s="1996"/>
      <c r="H12" s="2001"/>
      <c r="I12" s="2002"/>
      <c r="J12" s="2001"/>
      <c r="K12" s="2001"/>
      <c r="L12" s="2003"/>
      <c r="M12" s="2001"/>
      <c r="N12" s="2004"/>
      <c r="O12" s="2005"/>
      <c r="P12" s="2006"/>
      <c r="Q12" s="2004"/>
      <c r="R12" s="1990"/>
    </row>
    <row r="13" spans="1:18" ht="19.5" thickBot="1">
      <c r="A13" s="2540" t="s">
        <v>1672</v>
      </c>
      <c r="B13" s="2541"/>
      <c r="C13" s="2541"/>
      <c r="D13" s="1220"/>
      <c r="E13" s="2541"/>
      <c r="F13" s="2541"/>
      <c r="G13" s="2541"/>
    </row>
    <row r="14" spans="1:18" ht="14.25" thickBot="1">
      <c r="A14" s="1234"/>
      <c r="B14" s="1235"/>
      <c r="C14" s="1236" t="s">
        <v>1664</v>
      </c>
      <c r="D14" s="1993"/>
      <c r="E14" s="1237"/>
      <c r="F14" s="1237"/>
      <c r="G14" s="1219" t="s">
        <v>1665</v>
      </c>
    </row>
    <row r="15" spans="1:18" ht="40.5">
      <c r="A15" s="2551" t="s">
        <v>1657</v>
      </c>
      <c r="B15" s="1238" t="s">
        <v>1653</v>
      </c>
      <c r="C15" s="1239">
        <f>C3</f>
        <v>0</v>
      </c>
      <c r="D15" s="1993"/>
      <c r="E15" s="2548" t="s">
        <v>1658</v>
      </c>
      <c r="F15" s="1238" t="s">
        <v>1673</v>
      </c>
      <c r="G15" s="1240" t="str">
        <f>G3</f>
        <v>估价对象位于XX开发区，园区建设成熟度XX，产业集聚程度XX</v>
      </c>
    </row>
    <row r="16" spans="1:18" ht="40.5">
      <c r="A16" s="2552"/>
      <c r="B16" s="1241" t="s">
        <v>1667</v>
      </c>
      <c r="C16" s="1242">
        <f>C4</f>
        <v>0</v>
      </c>
      <c r="D16" s="1993"/>
      <c r="E16" s="2549"/>
      <c r="F16" s="1243" t="s">
        <v>1668</v>
      </c>
      <c r="G16" s="1005" t="str">
        <f>G4</f>
        <v>估价对象周边道路状况、公共交通通达情况、停车便捷程度，综合评价交通便捷度较好</v>
      </c>
    </row>
    <row r="17" spans="1:7" ht="14.25">
      <c r="A17" s="2552"/>
      <c r="B17" s="1241" t="s">
        <v>1669</v>
      </c>
      <c r="C17" s="1242" t="str">
        <f>C5</f>
        <v>一般</v>
      </c>
      <c r="D17" s="1994"/>
      <c r="E17" s="2549"/>
      <c r="F17" s="1243" t="s">
        <v>1674</v>
      </c>
      <c r="G17" s="2749"/>
    </row>
    <row r="18" spans="1:7" ht="40.5">
      <c r="A18" s="2552"/>
      <c r="B18" s="1243" t="s">
        <v>1655</v>
      </c>
      <c r="C18" s="1005" t="str">
        <f>C6</f>
        <v>较好</v>
      </c>
      <c r="D18" s="1994"/>
      <c r="E18" s="2549"/>
      <c r="F18" s="1243" t="s">
        <v>1670</v>
      </c>
      <c r="G18" s="1005" t="str">
        <f>G7</f>
        <v>该园区内是否有污染型企业，绿化情况，卫生条件，整体环境状况判断</v>
      </c>
    </row>
    <row r="19" spans="1:7" ht="27">
      <c r="A19" s="2552"/>
      <c r="B19" s="1243" t="s">
        <v>1659</v>
      </c>
      <c r="C19" s="2749"/>
      <c r="D19" s="1993"/>
      <c r="E19" s="2549"/>
      <c r="F19" s="1227" t="s">
        <v>2543</v>
      </c>
      <c r="G19" s="1005" t="str">
        <f>G5</f>
        <v>估价对象所在区域公共配套设施齐备情况</v>
      </c>
    </row>
    <row r="20" spans="1:7" ht="27">
      <c r="A20" s="2552"/>
      <c r="B20" s="1243" t="s">
        <v>1660</v>
      </c>
      <c r="C20" s="1242" t="str">
        <f>C9</f>
        <v>较好</v>
      </c>
      <c r="D20" s="1994"/>
      <c r="E20" s="2549"/>
      <c r="F20" s="1227" t="s">
        <v>2544</v>
      </c>
      <c r="G20" s="1005" t="str">
        <f>G6</f>
        <v>估价对象所在区域基础设施水平</v>
      </c>
    </row>
    <row r="21" spans="1:7" ht="14.25">
      <c r="A21" s="2552"/>
      <c r="B21" s="1227" t="s">
        <v>2543</v>
      </c>
      <c r="C21" s="1005" t="str">
        <f>C7</f>
        <v>一般</v>
      </c>
      <c r="D21" s="1993"/>
      <c r="E21" s="2549"/>
      <c r="F21" s="1243" t="s">
        <v>1661</v>
      </c>
      <c r="G21" s="3034"/>
    </row>
    <row r="22" spans="1:7" ht="14.25">
      <c r="A22" s="2552"/>
      <c r="B22" s="1227" t="s">
        <v>2544</v>
      </c>
      <c r="C22" s="1005" t="str">
        <f>C8</f>
        <v>六通</v>
      </c>
      <c r="D22" s="1993"/>
      <c r="E22" s="2549"/>
      <c r="F22" s="1243" t="s">
        <v>1671</v>
      </c>
      <c r="G22" s="2749"/>
    </row>
    <row r="23" spans="1:7" ht="15" thickBot="1">
      <c r="A23" s="2552"/>
      <c r="B23" s="1243" t="s">
        <v>1661</v>
      </c>
      <c r="C23" s="3034"/>
      <c r="E23" s="2550"/>
      <c r="F23" s="1244" t="s">
        <v>1675</v>
      </c>
      <c r="G23" s="3035"/>
    </row>
    <row r="24" spans="1:7" ht="14.25" thickBot="1">
      <c r="A24" s="2553"/>
      <c r="B24" s="1244" t="s">
        <v>1662</v>
      </c>
      <c r="C24" s="1245">
        <f>C10</f>
        <v>0</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6" sqref="D16"/>
    </sheetView>
  </sheetViews>
  <sheetFormatPr defaultColWidth="14.625" defaultRowHeight="13.5"/>
  <cols>
    <col min="1" max="1" width="24.375" customWidth="1"/>
  </cols>
  <sheetData>
    <row r="1" spans="1:9" ht="16.5">
      <c r="A1" s="2992" t="s">
        <v>2841</v>
      </c>
      <c r="B1" s="2992">
        <f>SUM(B14:B23)</f>
        <v>311828.49</v>
      </c>
      <c r="C1" s="2993"/>
      <c r="D1" s="2993"/>
      <c r="E1" s="2993"/>
      <c r="F1" s="2993"/>
    </row>
    <row r="2" spans="1:9" ht="16.5">
      <c r="A2" s="2992" t="s">
        <v>2842</v>
      </c>
      <c r="B2" s="2992">
        <f>SUM(C14:C23)</f>
        <v>117846.47</v>
      </c>
      <c r="C2" s="2993"/>
      <c r="D2" s="2993"/>
      <c r="E2" s="2993"/>
      <c r="F2" s="2993"/>
    </row>
    <row r="3" spans="1:9" ht="16.5">
      <c r="A3" s="2992" t="s">
        <v>2843</v>
      </c>
      <c r="B3" s="2994">
        <f>项目基本情况!D3</f>
        <v>43868</v>
      </c>
      <c r="C3" s="2993"/>
      <c r="D3" s="2993"/>
      <c r="E3" s="2993"/>
      <c r="F3" s="2993"/>
    </row>
    <row r="4" spans="1:9" ht="33">
      <c r="A4" s="2992" t="s">
        <v>2844</v>
      </c>
      <c r="B4" s="2992" t="s">
        <v>2845</v>
      </c>
      <c r="C4" s="2992" t="s">
        <v>2846</v>
      </c>
      <c r="D4" s="2992" t="s">
        <v>2847</v>
      </c>
      <c r="E4" s="2993"/>
      <c r="F4" s="2993"/>
    </row>
    <row r="5" spans="1:9" ht="16.5">
      <c r="A5" s="2992" t="s">
        <v>2848</v>
      </c>
      <c r="B5" s="2992">
        <f ca="1">SUM(D14:D23)</f>
        <v>165337</v>
      </c>
      <c r="C5" s="2992">
        <f ca="1">ROUND(B5*10000/$B$1,0)</f>
        <v>5302</v>
      </c>
      <c r="D5" s="2992">
        <f ca="1">ROUND(B5*10000/$B$2,0)</f>
        <v>14030</v>
      </c>
      <c r="E5" s="2993"/>
      <c r="F5" s="2993"/>
    </row>
    <row r="6" spans="1:9" ht="16.5">
      <c r="A6" s="2992" t="s">
        <v>2849</v>
      </c>
      <c r="B6" s="2992">
        <f ca="1">SUM(G14:G23)</f>
        <v>165337</v>
      </c>
      <c r="C6" s="2992">
        <f t="shared" ref="C6:C8" ca="1" si="0">ROUND(B6*10000/$B$1,0)</f>
        <v>5302</v>
      </c>
      <c r="D6" s="2992">
        <f t="shared" ref="D6:D8" ca="1" si="1">ROUND(B6*10000/$B$2,0)</f>
        <v>14030</v>
      </c>
      <c r="E6" s="2993"/>
      <c r="F6" s="2993"/>
    </row>
    <row r="7" spans="1:9" ht="16.5">
      <c r="A7" s="2992" t="s">
        <v>2850</v>
      </c>
      <c r="B7" s="2992">
        <f>SUM(H14:H23)</f>
        <v>0</v>
      </c>
      <c r="C7" s="2992">
        <f t="shared" si="0"/>
        <v>0</v>
      </c>
      <c r="D7" s="2992">
        <f t="shared" si="1"/>
        <v>0</v>
      </c>
      <c r="E7" s="2993"/>
      <c r="F7" s="2993"/>
    </row>
    <row r="8" spans="1:9" ht="16.5">
      <c r="A8" s="2992" t="s">
        <v>2851</v>
      </c>
      <c r="B8" s="2992">
        <f ca="1">SUM(I14:I23)</f>
        <v>90305</v>
      </c>
      <c r="C8" s="2992">
        <f t="shared" ca="1" si="0"/>
        <v>2896</v>
      </c>
      <c r="D8" s="2992">
        <f t="shared" ca="1" si="1"/>
        <v>7663</v>
      </c>
      <c r="E8" s="2993"/>
      <c r="F8" s="2993"/>
    </row>
    <row r="9" spans="1:9" ht="16.5">
      <c r="A9" s="2992" t="s">
        <v>2852</v>
      </c>
      <c r="B9" s="2995"/>
      <c r="C9" s="2993"/>
      <c r="D9" s="2993"/>
      <c r="E9" s="2993"/>
      <c r="F9" s="2993"/>
    </row>
    <row r="10" spans="1:9" ht="16.5">
      <c r="A10" s="2992" t="s">
        <v>2853</v>
      </c>
      <c r="B10" s="2995"/>
      <c r="C10" s="2993"/>
      <c r="D10" s="2993"/>
      <c r="E10" s="2993"/>
      <c r="F10" s="2993"/>
    </row>
    <row r="11" spans="1:9" ht="16.5">
      <c r="A11" s="2992" t="s">
        <v>2870</v>
      </c>
      <c r="B11" s="2995"/>
      <c r="C11" s="2993"/>
      <c r="D11" s="2993"/>
      <c r="E11" s="2993"/>
      <c r="F11" s="2993"/>
    </row>
    <row r="12" spans="1:9" ht="16.5">
      <c r="A12" s="2993"/>
      <c r="B12" s="2993"/>
      <c r="C12" s="2993"/>
      <c r="D12" s="2993"/>
      <c r="E12" s="2993"/>
      <c r="F12" s="2993"/>
    </row>
    <row r="13" spans="1:9" ht="33">
      <c r="A13" s="2998" t="s">
        <v>2869</v>
      </c>
      <c r="B13" s="2996" t="s">
        <v>2841</v>
      </c>
      <c r="C13" s="2996" t="s">
        <v>2842</v>
      </c>
      <c r="D13" s="2996" t="s">
        <v>2854</v>
      </c>
      <c r="E13" s="2992" t="s">
        <v>2868</v>
      </c>
      <c r="F13" s="2992" t="s">
        <v>2847</v>
      </c>
      <c r="G13" s="2996" t="s">
        <v>2855</v>
      </c>
      <c r="H13" s="2996" t="s">
        <v>2856</v>
      </c>
      <c r="I13" s="2996" t="s">
        <v>2857</v>
      </c>
    </row>
    <row r="14" spans="1:9" ht="16.5">
      <c r="A14" s="2999" t="s">
        <v>2867</v>
      </c>
      <c r="B14" s="2996">
        <f>结果表!L38</f>
        <v>79462.3</v>
      </c>
      <c r="C14" s="2996">
        <f>结果表!K38</f>
        <v>31784.92</v>
      </c>
      <c r="D14" s="2996">
        <f ca="1">结果表!C42</f>
        <v>45196</v>
      </c>
      <c r="E14" s="2996">
        <f ca="1">ROUND(D14*10000/B14,0)</f>
        <v>5688</v>
      </c>
      <c r="F14" s="2996">
        <f ca="1">ROUND(D14*10000/C14,0)</f>
        <v>14219</v>
      </c>
      <c r="G14" s="2996">
        <f ca="1">结果表!C44</f>
        <v>45196</v>
      </c>
      <c r="H14" s="2996" t="str">
        <f>结果表!C45</f>
        <v>——</v>
      </c>
      <c r="I14" s="2996">
        <f ca="1">结果表!C46</f>
        <v>24434</v>
      </c>
    </row>
    <row r="15" spans="1:9" ht="16.5">
      <c r="A15" s="2999" t="s">
        <v>2858</v>
      </c>
      <c r="B15" s="3210">
        <f>[1]系统读取表!$B$14</f>
        <v>232366.19</v>
      </c>
      <c r="C15" s="3210">
        <f>[1]系统读取表!$C$14</f>
        <v>86061.55</v>
      </c>
      <c r="D15" s="3210">
        <f ca="1">[1]系统读取表!$D$14</f>
        <v>120141</v>
      </c>
      <c r="E15" s="2996">
        <f t="shared" ref="E15:E23" ca="1" si="2">ROUND(D15*10000/B15,0)</f>
        <v>5170</v>
      </c>
      <c r="F15" s="2996">
        <f t="shared" ref="F15:F23" ca="1" si="3">ROUND(D15*10000/C15,0)</f>
        <v>13960</v>
      </c>
      <c r="G15" s="3211">
        <f ca="1">[1]系统读取表!$G$14</f>
        <v>120141</v>
      </c>
      <c r="H15" s="3211"/>
      <c r="I15" s="3210">
        <f ca="1">[1]系统读取表!$I$14</f>
        <v>65871</v>
      </c>
    </row>
    <row r="16" spans="1:9" ht="16.5">
      <c r="A16" s="2999" t="s">
        <v>2859</v>
      </c>
      <c r="B16" s="3000"/>
      <c r="C16" s="3000"/>
      <c r="D16" s="3000"/>
      <c r="E16" s="2996" t="e">
        <f t="shared" si="2"/>
        <v>#DIV/0!</v>
      </c>
      <c r="F16" s="2996" t="e">
        <f t="shared" si="3"/>
        <v>#DIV/0!</v>
      </c>
      <c r="G16" s="2997"/>
      <c r="H16" s="2997"/>
      <c r="I16" s="3000"/>
    </row>
    <row r="17" spans="1:9" ht="16.5">
      <c r="A17" s="2999" t="s">
        <v>2860</v>
      </c>
      <c r="B17" s="3000"/>
      <c r="C17" s="3000"/>
      <c r="D17" s="3000"/>
      <c r="E17" s="2996" t="e">
        <f t="shared" si="2"/>
        <v>#DIV/0!</v>
      </c>
      <c r="F17" s="2996" t="e">
        <f t="shared" si="3"/>
        <v>#DIV/0!</v>
      </c>
      <c r="G17" s="2997"/>
      <c r="H17" s="2997"/>
      <c r="I17" s="3000"/>
    </row>
    <row r="18" spans="1:9" ht="16.5">
      <c r="A18" s="2999" t="s">
        <v>2861</v>
      </c>
      <c r="B18" s="3000"/>
      <c r="C18" s="3000"/>
      <c r="D18" s="3000"/>
      <c r="E18" s="2996" t="e">
        <f t="shared" si="2"/>
        <v>#DIV/0!</v>
      </c>
      <c r="F18" s="2996" t="e">
        <f t="shared" si="3"/>
        <v>#DIV/0!</v>
      </c>
      <c r="G18" s="3000"/>
      <c r="H18" s="3000"/>
      <c r="I18" s="3000"/>
    </row>
    <row r="19" spans="1:9" ht="16.5">
      <c r="A19" s="2999" t="s">
        <v>2862</v>
      </c>
      <c r="B19" s="3000"/>
      <c r="C19" s="3000"/>
      <c r="D19" s="3000"/>
      <c r="E19" s="2996" t="e">
        <f t="shared" si="2"/>
        <v>#DIV/0!</v>
      </c>
      <c r="F19" s="2996" t="e">
        <f t="shared" si="3"/>
        <v>#DIV/0!</v>
      </c>
      <c r="G19" s="3000"/>
      <c r="H19" s="3000"/>
      <c r="I19" s="3000"/>
    </row>
    <row r="20" spans="1:9" ht="16.5">
      <c r="A20" s="2999" t="s">
        <v>2863</v>
      </c>
      <c r="B20" s="3000"/>
      <c r="C20" s="3000"/>
      <c r="D20" s="3000"/>
      <c r="E20" s="2996" t="e">
        <f t="shared" si="2"/>
        <v>#DIV/0!</v>
      </c>
      <c r="F20" s="2996" t="e">
        <f t="shared" si="3"/>
        <v>#DIV/0!</v>
      </c>
      <c r="G20" s="3000"/>
      <c r="H20" s="3000"/>
      <c r="I20" s="3000"/>
    </row>
    <row r="21" spans="1:9" ht="16.5">
      <c r="A21" s="2999" t="s">
        <v>2864</v>
      </c>
      <c r="B21" s="3000"/>
      <c r="C21" s="3000"/>
      <c r="D21" s="3000"/>
      <c r="E21" s="2996" t="e">
        <f t="shared" si="2"/>
        <v>#DIV/0!</v>
      </c>
      <c r="F21" s="2996" t="e">
        <f t="shared" si="3"/>
        <v>#DIV/0!</v>
      </c>
      <c r="G21" s="3000"/>
      <c r="H21" s="3000"/>
      <c r="I21" s="3000"/>
    </row>
    <row r="22" spans="1:9" ht="16.5">
      <c r="A22" s="2999" t="s">
        <v>2865</v>
      </c>
      <c r="B22" s="3000"/>
      <c r="C22" s="3000"/>
      <c r="D22" s="3000"/>
      <c r="E22" s="2996" t="e">
        <f t="shared" si="2"/>
        <v>#DIV/0!</v>
      </c>
      <c r="F22" s="2996" t="e">
        <f t="shared" si="3"/>
        <v>#DIV/0!</v>
      </c>
      <c r="G22" s="3000"/>
      <c r="H22" s="3000"/>
      <c r="I22" s="3000"/>
    </row>
    <row r="23" spans="1:9" ht="16.5">
      <c r="A23" s="2999" t="s">
        <v>2866</v>
      </c>
      <c r="B23" s="3000"/>
      <c r="C23" s="3000"/>
      <c r="D23" s="3000"/>
      <c r="E23" s="2992" t="e">
        <f t="shared" si="2"/>
        <v>#DIV/0!</v>
      </c>
      <c r="F23" s="2992" t="e">
        <f t="shared" si="3"/>
        <v>#DIV/0!</v>
      </c>
      <c r="G23" s="3000"/>
      <c r="H23" s="3000"/>
      <c r="I23" s="3000"/>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6" zoomScaleNormal="100" zoomScaleSheetLayoutView="100" zoomScalePageLayoutView="80" workbookViewId="0">
      <selection activeCell="I29" sqref="I29"/>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0" t="s">
        <v>2055</v>
      </c>
      <c r="B1" s="1761"/>
      <c r="C1" s="1789" t="s">
        <v>2056</v>
      </c>
      <c r="D1" s="1790"/>
      <c r="E1" s="1789" t="s">
        <v>2057</v>
      </c>
      <c r="F1" s="1791" t="s">
        <v>3016</v>
      </c>
      <c r="G1" s="311"/>
      <c r="H1" s="311"/>
      <c r="I1" s="311"/>
      <c r="J1" s="2013"/>
      <c r="K1" s="2013"/>
      <c r="L1" s="2013"/>
      <c r="M1" s="2013"/>
      <c r="N1" s="2013"/>
      <c r="O1" s="2013"/>
      <c r="P1" s="2013"/>
      <c r="Q1" s="2013"/>
      <c r="R1" s="2013"/>
      <c r="S1" s="2013"/>
      <c r="T1" s="2013"/>
      <c r="U1" s="2013"/>
      <c r="V1" s="2013"/>
    </row>
    <row r="2" spans="1:22" ht="21.75" customHeight="1" thickBot="1">
      <c r="A2" s="3380" t="str">
        <f>项目基本情况!K2</f>
        <v>海南省海口市秀英区西秀镇长德村出让国有建设用地使用权</v>
      </c>
      <c r="B2" s="3381"/>
      <c r="C2" s="3382"/>
      <c r="D2" s="3382"/>
      <c r="E2" s="3382"/>
      <c r="F2" s="3382"/>
      <c r="G2" s="3381"/>
      <c r="H2" s="3381"/>
      <c r="I2" s="3383"/>
      <c r="J2" s="2014"/>
      <c r="K2" s="2013"/>
      <c r="L2" s="2013"/>
      <c r="M2" s="2013"/>
      <c r="N2" s="2013"/>
      <c r="O2" s="2013"/>
      <c r="P2" s="2013"/>
      <c r="Q2" s="2013"/>
      <c r="R2" s="2013"/>
      <c r="S2" s="2013"/>
      <c r="T2" s="2013"/>
      <c r="U2" s="2013"/>
      <c r="V2" s="2013"/>
    </row>
    <row r="3" spans="1:22" ht="14.25">
      <c r="A3" s="3373" t="s">
        <v>298</v>
      </c>
      <c r="B3" s="3374"/>
      <c r="C3" s="3374"/>
      <c r="D3" s="3374"/>
      <c r="E3" s="3374"/>
      <c r="F3" s="3374"/>
      <c r="G3" s="3374"/>
      <c r="H3" s="3374"/>
      <c r="I3" s="3374"/>
      <c r="J3" s="2014"/>
      <c r="K3" s="2013"/>
      <c r="L3" s="2013"/>
      <c r="M3" s="2013"/>
      <c r="N3" s="2013"/>
      <c r="O3" s="2013"/>
      <c r="P3" s="2013"/>
      <c r="Q3" s="2013"/>
      <c r="R3" s="2013"/>
      <c r="S3" s="2013"/>
      <c r="T3" s="2013"/>
      <c r="U3" s="2013"/>
      <c r="V3" s="2013"/>
    </row>
    <row r="4" spans="1:22" ht="14.25">
      <c r="A4" s="258" t="s">
        <v>299</v>
      </c>
      <c r="B4" s="259" t="s">
        <v>300</v>
      </c>
      <c r="C4" s="260" t="s">
        <v>3017</v>
      </c>
      <c r="D4" s="260" t="s">
        <v>3018</v>
      </c>
      <c r="E4" s="3345" t="s">
        <v>301</v>
      </c>
      <c r="F4" s="3346"/>
      <c r="G4" s="3346"/>
      <c r="H4" s="3346"/>
      <c r="I4" s="3375"/>
      <c r="J4" s="2014"/>
      <c r="K4" s="2013"/>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3"/>
      <c r="O4" s="2013"/>
      <c r="P4" s="2013"/>
      <c r="Q4" s="2013"/>
      <c r="R4" s="2013"/>
      <c r="S4" s="2013"/>
      <c r="T4" s="2013"/>
      <c r="U4" s="2013"/>
      <c r="V4" s="2013"/>
    </row>
    <row r="5" spans="1:22" ht="14.25">
      <c r="A5" s="3344" t="s">
        <v>302</v>
      </c>
      <c r="B5" s="3370">
        <v>25</v>
      </c>
      <c r="C5" s="3368"/>
      <c r="D5" s="3372"/>
      <c r="E5" s="261" t="s">
        <v>303</v>
      </c>
      <c r="F5" s="262"/>
      <c r="G5" s="262"/>
      <c r="H5" s="262"/>
      <c r="I5" s="263"/>
      <c r="J5" s="2014"/>
      <c r="K5" s="2013"/>
      <c r="L5" s="2013"/>
      <c r="M5" s="2013"/>
      <c r="N5" s="2013"/>
      <c r="O5" s="2013"/>
      <c r="P5" s="2013"/>
      <c r="Q5" s="2013"/>
      <c r="R5" s="2013"/>
      <c r="S5" s="2013"/>
      <c r="T5" s="2013"/>
      <c r="U5" s="2013"/>
      <c r="V5" s="2013"/>
    </row>
    <row r="6" spans="1:22" ht="14.25">
      <c r="A6" s="3344"/>
      <c r="B6" s="3370"/>
      <c r="C6" s="3371"/>
      <c r="D6" s="3372"/>
      <c r="E6" s="261" t="s">
        <v>304</v>
      </c>
      <c r="F6" s="262"/>
      <c r="G6" s="262"/>
      <c r="H6" s="262"/>
      <c r="I6" s="263"/>
      <c r="J6" s="2014"/>
      <c r="K6" s="2013"/>
      <c r="L6" s="2013"/>
      <c r="M6" s="2013"/>
      <c r="N6" s="2013"/>
      <c r="O6" s="2013"/>
      <c r="P6" s="2013"/>
      <c r="Q6" s="2013"/>
      <c r="R6" s="2013"/>
      <c r="S6" s="2013"/>
      <c r="T6" s="2013"/>
      <c r="U6" s="2013"/>
      <c r="V6" s="2013"/>
    </row>
    <row r="7" spans="1:22" ht="14.25">
      <c r="A7" s="3344"/>
      <c r="B7" s="3370"/>
      <c r="C7" s="3369"/>
      <c r="D7" s="3372"/>
      <c r="E7" s="261" t="s">
        <v>305</v>
      </c>
      <c r="F7" s="262"/>
      <c r="G7" s="262"/>
      <c r="H7" s="262"/>
      <c r="I7" s="263"/>
      <c r="J7" s="2014"/>
      <c r="K7" s="2013"/>
      <c r="L7" s="2013"/>
      <c r="M7" s="2013"/>
      <c r="N7" s="2013"/>
      <c r="O7" s="2013"/>
      <c r="P7" s="2013"/>
      <c r="Q7" s="2013"/>
      <c r="R7" s="2013"/>
      <c r="S7" s="2013"/>
      <c r="T7" s="2013"/>
      <c r="U7" s="2013"/>
      <c r="V7" s="2013"/>
    </row>
    <row r="8" spans="1:22" ht="14.25">
      <c r="A8" s="3344" t="s">
        <v>306</v>
      </c>
      <c r="B8" s="3370">
        <v>15</v>
      </c>
      <c r="C8" s="3368"/>
      <c r="D8" s="3372"/>
      <c r="E8" s="261" t="s">
        <v>307</v>
      </c>
      <c r="F8" s="262"/>
      <c r="G8" s="262"/>
      <c r="H8" s="262"/>
      <c r="I8" s="263"/>
      <c r="J8" s="2014"/>
      <c r="K8" s="2013"/>
      <c r="L8" s="2013"/>
      <c r="M8" s="2013"/>
      <c r="N8" s="2013"/>
      <c r="O8" s="2013"/>
      <c r="P8" s="2013"/>
      <c r="Q8" s="2013"/>
      <c r="R8" s="2013"/>
      <c r="S8" s="2013"/>
      <c r="T8" s="2013"/>
      <c r="U8" s="2013"/>
      <c r="V8" s="2013"/>
    </row>
    <row r="9" spans="1:22" ht="14.25">
      <c r="A9" s="3344"/>
      <c r="B9" s="3370"/>
      <c r="C9" s="3369"/>
      <c r="D9" s="3372"/>
      <c r="E9" s="261" t="s">
        <v>308</v>
      </c>
      <c r="F9" s="262"/>
      <c r="G9" s="262"/>
      <c r="H9" s="262"/>
      <c r="I9" s="263"/>
      <c r="J9" s="2014"/>
      <c r="K9" s="2013"/>
      <c r="L9" s="2013"/>
      <c r="M9" s="2013"/>
      <c r="N9" s="2013"/>
      <c r="O9" s="2013"/>
      <c r="P9" s="2013"/>
      <c r="Q9" s="2013"/>
      <c r="R9" s="2013"/>
      <c r="S9" s="2013"/>
      <c r="T9" s="2013"/>
      <c r="U9" s="2013"/>
      <c r="V9" s="2013"/>
    </row>
    <row r="10" spans="1:22" ht="14.25">
      <c r="A10" s="3344" t="s">
        <v>309</v>
      </c>
      <c r="B10" s="3370">
        <v>15</v>
      </c>
      <c r="C10" s="3368"/>
      <c r="D10" s="3372"/>
      <c r="E10" s="261" t="s">
        <v>310</v>
      </c>
      <c r="F10" s="262"/>
      <c r="G10" s="262"/>
      <c r="H10" s="262"/>
      <c r="I10" s="263"/>
      <c r="J10" s="2014"/>
      <c r="K10" s="2013"/>
      <c r="L10" s="2013"/>
      <c r="M10" s="2013"/>
      <c r="N10" s="2013"/>
      <c r="O10" s="2013"/>
      <c r="P10" s="2013"/>
      <c r="Q10" s="2013"/>
      <c r="R10" s="2013"/>
      <c r="S10" s="2013"/>
      <c r="T10" s="2013"/>
      <c r="U10" s="2013"/>
      <c r="V10" s="2013"/>
    </row>
    <row r="11" spans="1:22" ht="14.25">
      <c r="A11" s="3344"/>
      <c r="B11" s="3370"/>
      <c r="C11" s="3369"/>
      <c r="D11" s="3372"/>
      <c r="E11" s="261" t="s">
        <v>311</v>
      </c>
      <c r="F11" s="262"/>
      <c r="G11" s="262"/>
      <c r="H11" s="262"/>
      <c r="I11" s="263"/>
      <c r="J11" s="2014"/>
      <c r="K11" s="2013"/>
      <c r="L11" s="2013"/>
      <c r="M11" s="2013"/>
      <c r="N11" s="2013"/>
      <c r="O11" s="2013"/>
      <c r="P11" s="2013"/>
      <c r="Q11" s="2013"/>
      <c r="R11" s="2013"/>
      <c r="S11" s="2013"/>
      <c r="T11" s="2013"/>
      <c r="U11" s="2013"/>
      <c r="V11" s="2013"/>
    </row>
    <row r="12" spans="1:22" ht="14.25">
      <c r="A12" s="3344" t="s">
        <v>312</v>
      </c>
      <c r="B12" s="3370">
        <v>15</v>
      </c>
      <c r="C12" s="3368"/>
      <c r="D12" s="3372"/>
      <c r="E12" s="261" t="s">
        <v>313</v>
      </c>
      <c r="F12" s="262"/>
      <c r="G12" s="262"/>
      <c r="H12" s="262"/>
      <c r="I12" s="263"/>
      <c r="J12" s="2014"/>
      <c r="K12" s="2013"/>
      <c r="L12" s="2013"/>
      <c r="M12" s="2013"/>
      <c r="N12" s="2013"/>
      <c r="O12" s="2013"/>
      <c r="P12" s="2013"/>
      <c r="Q12" s="2013"/>
      <c r="R12" s="2013"/>
      <c r="S12" s="2013"/>
      <c r="T12" s="2013"/>
      <c r="U12" s="2013"/>
      <c r="V12" s="2013"/>
    </row>
    <row r="13" spans="1:22" ht="14.25">
      <c r="A13" s="3344"/>
      <c r="B13" s="3370"/>
      <c r="C13" s="3369"/>
      <c r="D13" s="3372"/>
      <c r="E13" s="261" t="s">
        <v>314</v>
      </c>
      <c r="F13" s="262"/>
      <c r="G13" s="262"/>
      <c r="H13" s="262"/>
      <c r="I13" s="263"/>
      <c r="J13" s="2014"/>
      <c r="K13" s="2013"/>
      <c r="L13" s="2013"/>
      <c r="M13" s="2013"/>
      <c r="N13" s="2013"/>
      <c r="O13" s="2013"/>
      <c r="P13" s="2013"/>
      <c r="Q13" s="2013"/>
      <c r="R13" s="2013"/>
      <c r="S13" s="2013"/>
      <c r="T13" s="2013"/>
      <c r="U13" s="2013"/>
      <c r="V13" s="2013"/>
    </row>
    <row r="14" spans="1:22" ht="14.25">
      <c r="A14" s="3344" t="s">
        <v>315</v>
      </c>
      <c r="B14" s="3370">
        <v>30</v>
      </c>
      <c r="C14" s="3368">
        <v>35</v>
      </c>
      <c r="D14" s="3372">
        <v>65</v>
      </c>
      <c r="E14" s="261" t="s">
        <v>316</v>
      </c>
      <c r="F14" s="262"/>
      <c r="G14" s="262"/>
      <c r="H14" s="262"/>
      <c r="I14" s="263"/>
      <c r="J14" s="2014"/>
      <c r="K14" s="2013"/>
      <c r="L14" s="2013"/>
      <c r="M14" s="2013"/>
      <c r="N14" s="2013"/>
      <c r="O14" s="2013"/>
      <c r="P14" s="2013"/>
      <c r="Q14" s="2013"/>
      <c r="R14" s="2013"/>
      <c r="S14" s="2013"/>
      <c r="T14" s="2013"/>
      <c r="U14" s="2013"/>
      <c r="V14" s="2013"/>
    </row>
    <row r="15" spans="1:22" ht="14.25">
      <c r="A15" s="3344"/>
      <c r="B15" s="3370"/>
      <c r="C15" s="3371"/>
      <c r="D15" s="3372"/>
      <c r="E15" s="261" t="s">
        <v>317</v>
      </c>
      <c r="F15" s="262"/>
      <c r="G15" s="262"/>
      <c r="H15" s="262"/>
      <c r="I15" s="263"/>
      <c r="J15" s="2014"/>
      <c r="K15" s="2013"/>
      <c r="L15" s="2013"/>
      <c r="M15" s="2013"/>
      <c r="N15" s="2013"/>
      <c r="O15" s="2013"/>
      <c r="P15" s="2013"/>
      <c r="Q15" s="2013"/>
      <c r="R15" s="2013"/>
      <c r="S15" s="2013"/>
      <c r="T15" s="2013"/>
      <c r="U15" s="2013"/>
      <c r="V15" s="2013"/>
    </row>
    <row r="16" spans="1:22" ht="14.25">
      <c r="A16" s="3344"/>
      <c r="B16" s="3370"/>
      <c r="C16" s="3369"/>
      <c r="D16" s="3372"/>
      <c r="E16" s="261" t="s">
        <v>318</v>
      </c>
      <c r="F16" s="262"/>
      <c r="G16" s="262"/>
      <c r="H16" s="262"/>
      <c r="I16" s="263"/>
      <c r="J16" s="2014"/>
      <c r="K16" s="2013"/>
      <c r="L16" s="2013"/>
      <c r="M16" s="2013"/>
      <c r="N16" s="2013"/>
      <c r="O16" s="2013"/>
      <c r="P16" s="2013"/>
      <c r="Q16" s="2013"/>
      <c r="R16" s="2013"/>
      <c r="S16" s="2013"/>
      <c r="T16" s="2013"/>
      <c r="U16" s="2013"/>
      <c r="V16" s="2013"/>
    </row>
    <row r="17" spans="1:26" ht="15">
      <c r="A17" s="264" t="s">
        <v>319</v>
      </c>
      <c r="B17" s="144"/>
      <c r="C17" s="265">
        <f>SUM(C5:C16)</f>
        <v>35</v>
      </c>
      <c r="D17" s="265">
        <f>SUM(D5:D16)</f>
        <v>65</v>
      </c>
      <c r="E17" s="311"/>
      <c r="F17" s="311"/>
      <c r="G17" s="311"/>
      <c r="H17" s="311"/>
      <c r="I17" s="311"/>
      <c r="J17" s="2014"/>
      <c r="K17" s="2013"/>
      <c r="L17" s="2013"/>
      <c r="M17" s="2013"/>
      <c r="N17" s="2013"/>
      <c r="O17" s="2013"/>
      <c r="P17" s="2013"/>
      <c r="Q17" s="2013"/>
      <c r="R17" s="2013"/>
      <c r="S17" s="2013"/>
      <c r="T17" s="2013"/>
      <c r="U17" s="2013"/>
      <c r="V17" s="2013"/>
    </row>
    <row r="18" spans="1:26" ht="15.75" thickBot="1">
      <c r="A18" s="266" t="s">
        <v>320</v>
      </c>
      <c r="B18" s="105"/>
      <c r="C18" s="267">
        <f>ROUND(C17/SUM(C17:D17),2)</f>
        <v>0.35</v>
      </c>
      <c r="D18" s="267">
        <f>1-C18</f>
        <v>0.65</v>
      </c>
      <c r="E18" s="311"/>
      <c r="F18" s="311"/>
      <c r="G18" s="311"/>
      <c r="H18" s="311"/>
      <c r="I18" s="311"/>
      <c r="J18" s="2013"/>
      <c r="K18" s="2013"/>
      <c r="L18" s="2013"/>
      <c r="M18" s="2013"/>
      <c r="N18" s="2013"/>
      <c r="O18" s="2013"/>
      <c r="P18" s="2013"/>
      <c r="Q18" s="2013"/>
      <c r="R18" s="2013"/>
      <c r="S18" s="2013"/>
      <c r="T18" s="2013"/>
      <c r="U18" s="2013"/>
      <c r="V18" s="2013"/>
    </row>
    <row r="19" spans="1:26" ht="15">
      <c r="A19" s="268" t="s">
        <v>321</v>
      </c>
      <c r="B19" s="269" t="s">
        <v>322</v>
      </c>
      <c r="C19" s="270">
        <f ca="1">SUMIF(INDIRECT("'"&amp;C4&amp;"'"&amp;"!A:A"),结果表!B19,INDIRECT("'"&amp;C4&amp;"'"&amp;"!B:B"))</f>
        <v>9368</v>
      </c>
      <c r="D19" s="271">
        <f ca="1">SUMIF(INDIRECT("'"&amp;D4&amp;"'"&amp;"!A:A"),结果表!B19,INDIRECT("'"&amp;D4&amp;"'"&amp;"!B:B"))</f>
        <v>64488</v>
      </c>
      <c r="E19" s="268" t="s">
        <v>323</v>
      </c>
      <c r="F19" s="269" t="s">
        <v>322</v>
      </c>
      <c r="G19" s="272">
        <f ca="1">ROUND(C19*$C$18+D19*$D$18,0)</f>
        <v>45196</v>
      </c>
      <c r="H19" s="273" t="s">
        <v>324</v>
      </c>
      <c r="I19" s="311"/>
      <c r="J19" s="2013"/>
      <c r="K19" s="2013"/>
      <c r="L19" s="2013"/>
      <c r="M19" s="2013"/>
      <c r="N19" s="2013"/>
      <c r="O19" s="2013"/>
      <c r="P19" s="2013"/>
      <c r="Q19" s="2013"/>
      <c r="R19" s="2013"/>
      <c r="S19" s="2013"/>
      <c r="T19" s="2013"/>
      <c r="U19" s="2013"/>
      <c r="V19" s="2013"/>
    </row>
    <row r="20" spans="1:26" ht="15">
      <c r="A20" s="274"/>
      <c r="B20" s="275" t="s">
        <v>325</v>
      </c>
      <c r="C20" s="276">
        <f ca="1">SUMIF(INDIRECT("'"&amp;C4&amp;"'"&amp;"!A:A"),结果表!B20,INDIRECT("'"&amp;C4&amp;"'"&amp;"!B:B"))</f>
        <v>1179</v>
      </c>
      <c r="D20" s="277">
        <f ca="1">SUMIF(INDIRECT("'"&amp;D4&amp;"'"&amp;"!A:A"),结果表!B20,INDIRECT("'"&amp;D4&amp;"'"&amp;"!B:B"))</f>
        <v>8116</v>
      </c>
      <c r="E20" s="274"/>
      <c r="F20" s="275" t="s">
        <v>325</v>
      </c>
      <c r="G20" s="278">
        <f ca="1">ROUND(C20*$C$18+D20*$D$18,0)</f>
        <v>5688</v>
      </c>
      <c r="H20" s="279" t="s">
        <v>326</v>
      </c>
      <c r="I20" s="311"/>
      <c r="J20" s="2013"/>
      <c r="K20" s="2013"/>
      <c r="L20" s="2013"/>
      <c r="M20" s="2013"/>
      <c r="N20" s="2013"/>
      <c r="O20" s="2013"/>
      <c r="P20" s="2013"/>
      <c r="Q20" s="2013"/>
      <c r="R20" s="2013"/>
      <c r="S20" s="2013"/>
      <c r="T20" s="2013"/>
      <c r="U20" s="2013"/>
      <c r="V20" s="2013"/>
    </row>
    <row r="21" spans="1:26" ht="15" customHeight="1">
      <c r="A21" s="274"/>
      <c r="B21" s="280" t="s">
        <v>327</v>
      </c>
      <c r="C21" s="281">
        <f ca="1">SUMIF(INDIRECT("'"&amp;C4&amp;"'"&amp;"!A:A"),结果表!B21,INDIRECT("'"&amp;C4&amp;"'"&amp;"!B:B"))</f>
        <v>2947</v>
      </c>
      <c r="D21" s="151">
        <f ca="1">SUMIF(INDIRECT("'"&amp;D4&amp;"'"&amp;"!A:A"),结果表!B21,INDIRECT("'"&amp;D4&amp;"'"&amp;"!B:B"))</f>
        <v>20289</v>
      </c>
      <c r="E21" s="274"/>
      <c r="F21" s="280" t="s">
        <v>327</v>
      </c>
      <c r="G21" s="282">
        <f ca="1">ROUND(C21*$C$18+D21*$D$18,0)</f>
        <v>14219</v>
      </c>
      <c r="H21" s="1247" t="s">
        <v>326</v>
      </c>
      <c r="I21" s="311"/>
      <c r="J21" s="2013"/>
      <c r="K21" s="2013"/>
      <c r="L21" s="2013"/>
      <c r="M21" s="2013"/>
      <c r="N21" s="2013"/>
      <c r="O21" s="2013"/>
      <c r="P21" s="2013"/>
      <c r="Q21" s="2013"/>
      <c r="R21" s="2013"/>
      <c r="S21" s="2013"/>
      <c r="T21" s="2013"/>
      <c r="U21" s="2013"/>
      <c r="V21" s="2013"/>
    </row>
    <row r="22" spans="1:26" ht="15.75" thickBot="1">
      <c r="A22" s="126" t="s">
        <v>328</v>
      </c>
      <c r="B22" s="1248"/>
      <c r="C22" s="1249"/>
      <c r="D22" s="283">
        <f ca="1">IF(C19&lt;D19,D19/C19-1,C19/D19-1)</f>
        <v>5.8838599487617422</v>
      </c>
      <c r="E22" s="284"/>
      <c r="F22" s="285"/>
      <c r="G22" s="286">
        <f ca="1">ROUND(G19/('数据-汇总表'!D3/666.67),0)</f>
        <v>948</v>
      </c>
      <c r="H22" s="287" t="s">
        <v>329</v>
      </c>
      <c r="I22" s="311"/>
      <c r="J22" s="2013"/>
      <c r="K22" s="2013"/>
      <c r="L22" s="2013"/>
      <c r="M22" s="2013"/>
      <c r="N22" s="2013"/>
      <c r="O22" s="2013"/>
      <c r="P22" s="2013"/>
      <c r="Q22" s="2013"/>
      <c r="R22" s="2013"/>
      <c r="S22" s="2013"/>
      <c r="T22" s="2013"/>
      <c r="U22" s="2013"/>
      <c r="V22" s="2013"/>
    </row>
    <row r="23" spans="1:26" ht="13.5" thickBot="1">
      <c r="A23" s="311"/>
      <c r="B23" s="311"/>
      <c r="C23" s="311"/>
      <c r="D23" s="311"/>
      <c r="E23" s="311"/>
      <c r="F23" s="311"/>
      <c r="G23" s="311"/>
      <c r="H23" s="311"/>
      <c r="I23" s="311"/>
      <c r="J23" s="2013"/>
      <c r="K23" s="2013"/>
      <c r="L23" s="2013"/>
      <c r="M23" s="2013"/>
      <c r="N23" s="2013"/>
      <c r="O23" s="2013"/>
      <c r="P23" s="2013"/>
      <c r="Q23" s="2013"/>
      <c r="R23" s="2013"/>
      <c r="S23" s="2013"/>
      <c r="T23" s="2013"/>
      <c r="U23" s="2013"/>
      <c r="V23" s="2013"/>
    </row>
    <row r="24" spans="1:26" ht="15" thickBot="1">
      <c r="A24" s="3350" t="s">
        <v>330</v>
      </c>
      <c r="B24" s="269" t="s">
        <v>322</v>
      </c>
      <c r="C24" s="288">
        <f>IF(B30=0,0,D30)</f>
        <v>0</v>
      </c>
      <c r="D24" s="289"/>
      <c r="E24" s="311"/>
      <c r="F24" s="311"/>
      <c r="G24" s="311"/>
      <c r="H24" s="311"/>
      <c r="I24" s="311"/>
      <c r="J24" s="2013"/>
      <c r="K24" s="2013"/>
      <c r="L24" s="2013"/>
      <c r="M24" s="2013"/>
      <c r="N24" s="2013"/>
      <c r="O24" s="2013"/>
      <c r="P24" s="2013"/>
      <c r="Q24" s="2013"/>
      <c r="R24" s="2013"/>
      <c r="S24" s="2013"/>
      <c r="T24" s="2013"/>
      <c r="U24" s="2013"/>
      <c r="V24" s="2013"/>
    </row>
    <row r="25" spans="1:26" ht="18">
      <c r="A25" s="3351"/>
      <c r="B25" s="1317" t="s">
        <v>331</v>
      </c>
      <c r="C25" s="290">
        <f>IF(B30=0,0,C30)</f>
        <v>0</v>
      </c>
      <c r="D25" s="291"/>
      <c r="E25" s="311"/>
      <c r="F25" s="311"/>
      <c r="G25" s="311"/>
      <c r="H25" s="311"/>
      <c r="I25" s="311"/>
      <c r="J25" s="2013"/>
      <c r="K25" s="1251" t="str">
        <f ca="1">项目基本情况!B16&amp;"国有建设用地使用权价格："&amp;O38&amp;"万元"</f>
        <v>出让国有建设用地使用权价格：45196万元</v>
      </c>
      <c r="L25" s="1252"/>
      <c r="M25" s="1252"/>
      <c r="N25" s="1252"/>
      <c r="O25" s="1253"/>
      <c r="P25" s="2013"/>
      <c r="Q25" s="2013"/>
      <c r="R25" s="2013"/>
      <c r="S25" s="2013"/>
      <c r="T25" s="2013"/>
      <c r="U25" s="2013"/>
      <c r="V25" s="2013"/>
    </row>
    <row r="26" spans="1:26" s="1250" customFormat="1" ht="18">
      <c r="A26" s="293" t="s">
        <v>332</v>
      </c>
      <c r="B26" s="294" t="s">
        <v>333</v>
      </c>
      <c r="C26" s="294" t="s">
        <v>334</v>
      </c>
      <c r="D26" s="295" t="s">
        <v>335</v>
      </c>
      <c r="E26" s="311"/>
      <c r="F26" s="311"/>
      <c r="G26" s="311"/>
      <c r="H26" s="311"/>
      <c r="I26" s="311"/>
      <c r="J26" s="2013"/>
      <c r="K26" s="1254" t="str">
        <f ca="1">"大写金额：人民币"&amp;NUMBERSTRING(INT(O38*10000),2)&amp;"元整"</f>
        <v>大写金额：人民币肆亿伍仟壹佰玖拾陆万元整</v>
      </c>
      <c r="L26" s="1248"/>
      <c r="M26" s="1248"/>
      <c r="N26" s="1248"/>
      <c r="O26" s="1247"/>
      <c r="P26" s="2013"/>
      <c r="Q26" s="2013"/>
      <c r="R26" s="2013"/>
      <c r="S26" s="2013"/>
      <c r="T26" s="2013"/>
      <c r="U26" s="2013"/>
      <c r="V26" s="2013"/>
      <c r="W26" s="292"/>
      <c r="X26" s="292"/>
      <c r="Y26" s="292"/>
      <c r="Z26" s="292"/>
    </row>
    <row r="27" spans="1:26" ht="18">
      <c r="A27" s="293"/>
      <c r="B27" s="294"/>
      <c r="C27" s="3186" t="s">
        <v>3121</v>
      </c>
      <c r="D27" s="295">
        <f ca="1">G19/'数据-汇总表'!F31*10000</f>
        <v>5687.7286461630229</v>
      </c>
      <c r="E27" s="311"/>
      <c r="F27" s="311"/>
      <c r="G27" s="311"/>
      <c r="H27" s="311"/>
      <c r="I27" s="311"/>
      <c r="J27" s="2013"/>
      <c r="K27" s="1254" t="str">
        <f ca="1">"单位面积地价："&amp;M38&amp;"元/平方米"</f>
        <v>单位面积地价：14219元/平方米</v>
      </c>
      <c r="L27" s="1248"/>
      <c r="M27" s="1248"/>
      <c r="N27" s="1248"/>
      <c r="O27" s="1247"/>
      <c r="P27" s="2013"/>
      <c r="Q27" s="2013"/>
      <c r="R27" s="2013"/>
      <c r="S27" s="2013"/>
      <c r="T27" s="2013"/>
      <c r="U27" s="2013"/>
      <c r="V27" s="2013"/>
    </row>
    <row r="28" spans="1:26" ht="18.75" customHeight="1">
      <c r="A28" s="293"/>
      <c r="B28" s="294"/>
      <c r="C28" s="294"/>
      <c r="D28" s="295"/>
      <c r="E28" s="311"/>
      <c r="F28" s="311"/>
      <c r="G28" s="311"/>
      <c r="H28" s="311"/>
      <c r="I28" s="311"/>
      <c r="J28" s="2013"/>
      <c r="K28" s="1254" t="str">
        <f ca="1">"楼面地价："&amp;N38&amp;"元/平方米"</f>
        <v>楼面地价：5688元/平方米</v>
      </c>
      <c r="L28" s="1248"/>
      <c r="M28" s="1248"/>
      <c r="N28" s="1248"/>
      <c r="O28" s="1247"/>
      <c r="P28" s="2013"/>
      <c r="V28" s="2013"/>
    </row>
    <row r="29" spans="1:26" ht="18">
      <c r="A29" s="293"/>
      <c r="B29" s="294"/>
      <c r="C29" s="294"/>
      <c r="D29" s="295"/>
      <c r="E29" s="311"/>
      <c r="F29" s="311"/>
      <c r="G29" s="311"/>
      <c r="H29" s="311"/>
      <c r="I29" s="311"/>
      <c r="J29" s="2013"/>
      <c r="K29" s="1254" t="str">
        <f ca="1">IF(OR(项目基本情况!E8="抵押价格",项目基本情况!E8="已注销及未注销"),"抵押价格："&amp;O39&amp;"万元","——")</f>
        <v>抵押价格：45196万元</v>
      </c>
      <c r="L29" s="1248"/>
      <c r="M29" s="1248"/>
      <c r="N29" s="1248"/>
      <c r="O29" s="1247"/>
      <c r="P29" s="2013"/>
      <c r="V29" s="2013"/>
    </row>
    <row r="30" spans="1:26" ht="18.75" thickBot="1">
      <c r="A30" s="3077" t="s">
        <v>336</v>
      </c>
      <c r="B30" s="309"/>
      <c r="C30" s="309"/>
      <c r="D30" s="310"/>
      <c r="E30" s="3078" t="s">
        <v>2960</v>
      </c>
      <c r="F30" s="311"/>
      <c r="G30" s="311"/>
      <c r="H30" s="311"/>
      <c r="I30" s="311"/>
      <c r="J30" s="2013"/>
      <c r="K30" s="1254" t="str">
        <f ca="1">IF(K29="——","——","大写金额：人民币"&amp;NUMBERSTRING(INT(O39*10000),2)&amp;"元整")</f>
        <v>大写金额：人民币肆亿伍仟壹佰玖拾陆万元整</v>
      </c>
      <c r="L30" s="1248"/>
      <c r="M30" s="1248"/>
      <c r="N30" s="1248"/>
      <c r="O30" s="1247"/>
      <c r="P30" s="2013"/>
      <c r="V30" s="2013"/>
    </row>
    <row r="31" spans="1:26" ht="24" customHeight="1" thickBot="1">
      <c r="A31" s="311"/>
      <c r="B31" s="311"/>
      <c r="C31" s="311"/>
      <c r="D31" s="311"/>
      <c r="E31" s="311"/>
      <c r="F31" s="311"/>
      <c r="G31" s="311"/>
      <c r="H31" s="311"/>
      <c r="I31" s="311"/>
      <c r="J31" s="2013"/>
      <c r="K31" s="2432" t="str">
        <f>IF(项目基本情况!E8="抵押价格","——","抵押担保权已注销时的抵押价格："&amp;O40&amp;"万元")</f>
        <v>——</v>
      </c>
      <c r="L31" s="2428"/>
      <c r="M31" s="2428"/>
      <c r="N31" s="2428"/>
      <c r="O31" s="2429"/>
      <c r="P31" s="2013"/>
      <c r="V31" s="2013"/>
    </row>
    <row r="32" spans="1:26" ht="18.75" thickBot="1">
      <c r="A32" s="268" t="s">
        <v>337</v>
      </c>
      <c r="B32" s="1377" t="s">
        <v>1688</v>
      </c>
      <c r="C32" s="1378">
        <f ca="1">G19-C24</f>
        <v>45196</v>
      </c>
      <c r="D32" s="1379" t="s">
        <v>1689</v>
      </c>
      <c r="E32" s="311"/>
      <c r="F32" s="311"/>
      <c r="G32" s="311"/>
      <c r="H32" s="311"/>
      <c r="I32" s="311"/>
      <c r="J32" s="2013"/>
      <c r="K32" s="2427" t="str">
        <f>IF(K31="——","——","大写金额：人民币"&amp;NUMBERSTRING(INT(O40*10000),2)&amp;"元整")</f>
        <v>——</v>
      </c>
      <c r="L32" s="2430"/>
      <c r="M32" s="2430"/>
      <c r="N32" s="2430"/>
      <c r="O32" s="2431"/>
      <c r="P32" s="2013"/>
      <c r="V32" s="2013"/>
    </row>
    <row r="33" spans="1:26" ht="18.75" thickBot="1">
      <c r="A33" s="298" t="s">
        <v>340</v>
      </c>
      <c r="B33" s="1380" t="s">
        <v>1690</v>
      </c>
      <c r="C33" s="264">
        <f ca="1">ROUND(C32*10000/'数据-汇总表'!E3,0)</f>
        <v>5688</v>
      </c>
      <c r="D33" s="1381" t="s">
        <v>1691</v>
      </c>
      <c r="E33" s="3350" t="s">
        <v>338</v>
      </c>
      <c r="F33" s="296" t="s">
        <v>339</v>
      </c>
      <c r="G33" s="297"/>
      <c r="H33" s="980"/>
      <c r="I33" s="1255"/>
      <c r="J33" s="2013"/>
      <c r="K33" s="1254" t="str">
        <f ca="1">IF(项目基本情况!E9="——","——","抵押净值："&amp;C46&amp;"万元")</f>
        <v>抵押净值：24434万元</v>
      </c>
      <c r="L33" s="1248"/>
      <c r="M33" s="1248"/>
      <c r="N33" s="1248"/>
      <c r="O33" s="1247"/>
      <c r="P33" s="2013"/>
      <c r="V33" s="2013"/>
    </row>
    <row r="34" spans="1:26" s="1250" customFormat="1" ht="18.75" thickBot="1">
      <c r="A34" s="300"/>
      <c r="B34" s="1382" t="s">
        <v>1692</v>
      </c>
      <c r="C34" s="264">
        <f ca="1">ROUND(C32*10000/'数据-汇总表'!D3,0)</f>
        <v>14219</v>
      </c>
      <c r="D34" s="1383" t="s">
        <v>1691</v>
      </c>
      <c r="E34" s="3391"/>
      <c r="F34" s="127" t="s">
        <v>341</v>
      </c>
      <c r="G34" s="299"/>
      <c r="H34" s="105"/>
      <c r="I34" s="311"/>
      <c r="J34" s="2013"/>
      <c r="K34" s="1257" t="str">
        <f ca="1">IF(K33="——","——","大写金额：人民币"&amp;NUMBERSTRING(INT(O41*10000),2)&amp;"元整")</f>
        <v>大写金额：人民币贰亿肆仟肆佰叁拾肆万元整</v>
      </c>
      <c r="L34" s="1258"/>
      <c r="M34" s="1258"/>
      <c r="N34" s="1258"/>
      <c r="O34" s="1259"/>
      <c r="P34" s="2013"/>
      <c r="Q34" s="292"/>
      <c r="R34" s="292"/>
      <c r="S34" s="292"/>
      <c r="T34" s="292"/>
      <c r="U34" s="292"/>
      <c r="V34" s="2013"/>
      <c r="W34" s="292"/>
      <c r="X34" s="292"/>
      <c r="Y34" s="292"/>
      <c r="Z34" s="292"/>
    </row>
    <row r="35" spans="1:26" ht="15.75" thickBot="1">
      <c r="A35" s="284"/>
      <c r="B35" s="1384"/>
      <c r="C35" s="1385">
        <f ca="1">ROUND(C32/('数据-汇总表'!D3/666.67),0)</f>
        <v>948</v>
      </c>
      <c r="D35" s="1386" t="s">
        <v>1693</v>
      </c>
      <c r="E35" s="3392"/>
      <c r="F35" s="301" t="s">
        <v>342</v>
      </c>
      <c r="G35" s="982"/>
      <c r="H35" s="981" t="s">
        <v>343</v>
      </c>
      <c r="I35" s="311"/>
      <c r="J35" s="2013"/>
      <c r="K35" s="3365" t="s">
        <v>350</v>
      </c>
      <c r="L35" s="3365" t="s">
        <v>351</v>
      </c>
      <c r="M35" s="1260" t="s">
        <v>352</v>
      </c>
      <c r="N35" s="3365" t="s">
        <v>353</v>
      </c>
      <c r="O35" s="3365" t="s">
        <v>354</v>
      </c>
      <c r="P35" s="2013"/>
      <c r="V35" s="2013"/>
    </row>
    <row r="36" spans="1:26" ht="16.5" customHeight="1">
      <c r="A36" s="303" t="s">
        <v>344</v>
      </c>
      <c r="B36" s="304" t="s">
        <v>333</v>
      </c>
      <c r="C36" s="305" t="s">
        <v>345</v>
      </c>
      <c r="D36" s="305" t="s">
        <v>346</v>
      </c>
      <c r="E36" s="306" t="s">
        <v>347</v>
      </c>
      <c r="F36" s="311"/>
      <c r="G36" s="311"/>
      <c r="H36" s="311"/>
      <c r="I36" s="311"/>
      <c r="J36" s="2015"/>
      <c r="K36" s="3366"/>
      <c r="L36" s="3366"/>
      <c r="M36" s="1262" t="s">
        <v>355</v>
      </c>
      <c r="N36" s="3366"/>
      <c r="O36" s="3366"/>
      <c r="P36" s="2013"/>
      <c r="V36" s="2013"/>
    </row>
    <row r="37" spans="1:26" ht="16.5" customHeight="1" thickBot="1">
      <c r="A37" s="1256" t="s">
        <v>348</v>
      </c>
      <c r="B37" s="307"/>
      <c r="C37" s="294"/>
      <c r="D37" s="294"/>
      <c r="E37" s="295"/>
      <c r="F37" s="311"/>
      <c r="G37" s="311"/>
      <c r="H37" s="311"/>
      <c r="I37" s="311"/>
      <c r="J37" s="2015"/>
      <c r="K37" s="3367"/>
      <c r="L37" s="3367"/>
      <c r="M37" s="1263"/>
      <c r="N37" s="3367"/>
      <c r="O37" s="3367"/>
      <c r="P37" s="2013"/>
      <c r="V37" s="2013"/>
    </row>
    <row r="38" spans="1:26" ht="16.5" customHeight="1" thickBot="1">
      <c r="A38" s="1256" t="s">
        <v>349</v>
      </c>
      <c r="B38" s="307"/>
      <c r="C38" s="294"/>
      <c r="D38" s="294"/>
      <c r="E38" s="295"/>
      <c r="F38" s="311"/>
      <c r="G38" s="311"/>
      <c r="H38" s="311"/>
      <c r="I38" s="311"/>
      <c r="J38" s="2015"/>
      <c r="K38" s="1264">
        <f>'数据-汇总表'!D3</f>
        <v>31784.92</v>
      </c>
      <c r="L38" s="1265">
        <f>'数据-汇总表'!E3</f>
        <v>79462.3</v>
      </c>
      <c r="M38" s="1265">
        <f ca="1">C34</f>
        <v>14219</v>
      </c>
      <c r="N38" s="1265">
        <f ca="1">C33</f>
        <v>5688</v>
      </c>
      <c r="O38" s="1266">
        <f ca="1">C32</f>
        <v>45196</v>
      </c>
      <c r="P38" s="2013"/>
      <c r="V38" s="2013"/>
    </row>
    <row r="39" spans="1:26" ht="16.5" customHeight="1" thickBot="1">
      <c r="A39" s="1261"/>
      <c r="B39" s="308"/>
      <c r="C39" s="309"/>
      <c r="D39" s="309"/>
      <c r="E39" s="310"/>
      <c r="F39" s="311"/>
      <c r="G39" s="311"/>
      <c r="H39" s="311"/>
      <c r="I39" s="311"/>
      <c r="J39" s="2015"/>
      <c r="K39" s="3410" t="str">
        <f>MID(A44,3,LEN(A44)-2)</f>
        <v>抵押价格</v>
      </c>
      <c r="L39" s="3411"/>
      <c r="M39" s="3411"/>
      <c r="N39" s="3412"/>
      <c r="O39" s="1388">
        <f ca="1">C44</f>
        <v>45196</v>
      </c>
      <c r="P39" s="2013"/>
      <c r="V39" s="2013"/>
    </row>
    <row r="40" spans="1:26" ht="19.5" thickBot="1">
      <c r="A40" s="104" t="s">
        <v>873</v>
      </c>
      <c r="B40" s="311"/>
      <c r="C40" s="311"/>
      <c r="D40" s="311"/>
      <c r="E40" s="311"/>
      <c r="F40" s="311"/>
      <c r="G40" s="311"/>
      <c r="H40" s="311"/>
      <c r="I40" s="311"/>
      <c r="J40" s="2015"/>
      <c r="K40" s="3410" t="str">
        <f t="shared" ref="K40:K41" si="0">MID(A45,3,LEN(A45)-2)</f>
        <v/>
      </c>
      <c r="L40" s="3411"/>
      <c r="M40" s="3411"/>
      <c r="N40" s="3412"/>
      <c r="O40" s="1388" t="str">
        <f>C45</f>
        <v>——</v>
      </c>
      <c r="P40" s="2013"/>
      <c r="V40" s="2013"/>
    </row>
    <row r="41" spans="1:26" ht="16.5" thickBot="1">
      <c r="A41" s="312" t="s">
        <v>356</v>
      </c>
      <c r="B41" s="313"/>
      <c r="C41" s="314" t="s">
        <v>357</v>
      </c>
      <c r="D41" s="315" t="s">
        <v>358</v>
      </c>
      <c r="E41" s="315" t="s">
        <v>359</v>
      </c>
      <c r="F41" s="316" t="s">
        <v>360</v>
      </c>
      <c r="G41" s="311"/>
      <c r="H41" s="311"/>
      <c r="I41" s="311"/>
      <c r="J41" s="2015"/>
      <c r="K41" s="3410" t="str">
        <f t="shared" si="0"/>
        <v>抵押净值</v>
      </c>
      <c r="L41" s="3411"/>
      <c r="M41" s="3411"/>
      <c r="N41" s="3412"/>
      <c r="O41" s="1388">
        <f ca="1">C46</f>
        <v>24434</v>
      </c>
      <c r="P41" s="2013"/>
      <c r="V41" s="2013"/>
    </row>
    <row r="42" spans="1:26" ht="29.25">
      <c r="A42" s="3352" t="s">
        <v>2067</v>
      </c>
      <c r="B42" s="3353"/>
      <c r="C42" s="264">
        <f ca="1">C32</f>
        <v>45196</v>
      </c>
      <c r="D42" s="317">
        <f ca="1">C33</f>
        <v>5688</v>
      </c>
      <c r="E42" s="317">
        <f ca="1">C34</f>
        <v>14219</v>
      </c>
      <c r="F42" s="318">
        <f ca="1">C35</f>
        <v>948</v>
      </c>
      <c r="G42" s="311"/>
      <c r="H42" s="311"/>
      <c r="I42" s="319"/>
      <c r="J42" s="2015"/>
      <c r="K42" s="1267" t="s">
        <v>361</v>
      </c>
      <c r="L42" s="2032" t="s">
        <v>362</v>
      </c>
      <c r="M42" s="1268" t="s">
        <v>363</v>
      </c>
      <c r="N42" s="2033" t="s">
        <v>364</v>
      </c>
      <c r="O42" s="2034" t="s">
        <v>365</v>
      </c>
      <c r="P42" s="2013"/>
      <c r="V42" s="2013"/>
    </row>
    <row r="43" spans="1:26" ht="30">
      <c r="A43" s="3363" t="s">
        <v>2727</v>
      </c>
      <c r="B43" s="3364"/>
      <c r="C43" s="264">
        <f>IF(H33="正常操作",G33+G34+G35,G34+G35)</f>
        <v>0</v>
      </c>
      <c r="D43" s="317" t="s">
        <v>43</v>
      </c>
      <c r="E43" s="317" t="s">
        <v>44</v>
      </c>
      <c r="F43" s="318" t="s">
        <v>44</v>
      </c>
      <c r="G43" s="2821" t="s">
        <v>952</v>
      </c>
      <c r="H43" s="311"/>
      <c r="I43" s="319"/>
      <c r="J43" s="2015"/>
      <c r="K43" s="1269" t="str">
        <f>C4</f>
        <v>比较法-住宅、综合</v>
      </c>
      <c r="L43" s="1270">
        <f ca="1">IF(L42="估价结果/万元",C19,C20)</f>
        <v>9368</v>
      </c>
      <c r="M43" s="1271">
        <f>C18</f>
        <v>0.35</v>
      </c>
      <c r="N43" s="1272">
        <f ca="1">IF(N42="测算结果/万元",G19,G20)</f>
        <v>45196</v>
      </c>
      <c r="O43" s="1273">
        <f ca="1">IF(O42="最终结果/万元",C32,C33)</f>
        <v>45196</v>
      </c>
      <c r="P43" s="2013"/>
      <c r="V43" s="2013"/>
    </row>
    <row r="44" spans="1:26" ht="30.75" thickBot="1">
      <c r="A44" s="3352" t="str">
        <f>IF(OR(项目基本情况!E8="抵押价格",项目基本情况!E8="已注销及未注销"),"3.抵押价格","——")</f>
        <v>3.抵押价格</v>
      </c>
      <c r="B44" s="3353"/>
      <c r="C44" s="264">
        <f ca="1">IF(A44="——","——",C42-C43)</f>
        <v>45196</v>
      </c>
      <c r="D44" s="317">
        <f ca="1">ROUND(C44*10000/'数据-汇总表'!E3,0)</f>
        <v>5688</v>
      </c>
      <c r="E44" s="317">
        <f ca="1">ROUND(C44*10000/'数据-汇总表'!D3,0)</f>
        <v>14219</v>
      </c>
      <c r="F44" s="318">
        <f ca="1">ROUND(C44/('数据-汇总表'!D3/666.67),0)</f>
        <v>948</v>
      </c>
      <c r="G44" s="311"/>
      <c r="H44" s="311"/>
      <c r="I44" s="319"/>
      <c r="J44" s="2015"/>
      <c r="K44" s="1274" t="str">
        <f>D4</f>
        <v>剩余法-待开发</v>
      </c>
      <c r="L44" s="1275">
        <f ca="1">IF(L42="估价结果/万元",D19,D20)</f>
        <v>64488</v>
      </c>
      <c r="M44" s="1276">
        <f>D18</f>
        <v>0.65</v>
      </c>
      <c r="N44" s="1277"/>
      <c r="O44" s="1278"/>
      <c r="P44" s="2013"/>
      <c r="V44" s="2013"/>
    </row>
    <row r="45" spans="1:26" ht="15">
      <c r="A45" s="3358" t="str">
        <f>IF(项目基本情况!E8="已注销及未注销","4.抵押担保权已注销时的抵押价格",IF(项目基本情况!E8="已注销","3.抵押担保权已注销时的抵押价格","——"))</f>
        <v>——</v>
      </c>
      <c r="B45" s="3359"/>
      <c r="C45" s="178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5"/>
      <c r="K45" s="2013"/>
      <c r="L45" s="2013"/>
      <c r="M45" s="2013"/>
      <c r="N45" s="2013"/>
      <c r="O45" s="2013"/>
      <c r="P45" s="2013"/>
      <c r="V45" s="2013"/>
    </row>
    <row r="46" spans="1:26" ht="15.75" thickBot="1">
      <c r="A46" s="3354" t="str">
        <f>IF(项目基本情况!E9="抵押净值",IF(A45="——","4.抵押净值","5.抵押净值"),"——")</f>
        <v>4.抵押净值</v>
      </c>
      <c r="B46" s="3355"/>
      <c r="C46" s="320">
        <f ca="1">IF(A46="——","——",O79)</f>
        <v>24434</v>
      </c>
      <c r="D46" s="317">
        <f ca="1">ROUND(C46*10000/'数据-汇总表'!E3,0)</f>
        <v>3075</v>
      </c>
      <c r="E46" s="317">
        <f ca="1">ROUND(C46*10000/'数据-汇总表'!D3,0)</f>
        <v>7687</v>
      </c>
      <c r="F46" s="318">
        <f ca="1">ROUND(C46/('数据-汇总表'!D3/666.67),0)</f>
        <v>512</v>
      </c>
      <c r="G46" s="311"/>
      <c r="H46" s="311"/>
      <c r="I46" s="319"/>
      <c r="J46" s="2015"/>
      <c r="K46" s="2013"/>
      <c r="L46" s="2013"/>
      <c r="M46" s="2013"/>
      <c r="N46" s="2013"/>
      <c r="O46" s="2013"/>
      <c r="P46" s="2013"/>
      <c r="Q46" s="2013"/>
      <c r="R46" s="2013"/>
      <c r="S46" s="2013"/>
      <c r="T46" s="2013"/>
      <c r="U46" s="2013"/>
      <c r="V46" s="2013"/>
    </row>
    <row r="47" spans="1:26" ht="15.75">
      <c r="A47" s="321" t="s">
        <v>366</v>
      </c>
      <c r="B47" s="1279"/>
      <c r="C47" s="322" t="s">
        <v>367</v>
      </c>
      <c r="D47" s="323"/>
      <c r="E47" s="323"/>
      <c r="F47" s="323"/>
      <c r="G47" s="324"/>
      <c r="H47" s="325"/>
      <c r="I47" s="326"/>
      <c r="J47" s="2015"/>
      <c r="K47" s="311"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2.75">
      <c r="A48" s="327">
        <v>1</v>
      </c>
      <c r="B48" s="328"/>
      <c r="C48" s="328"/>
      <c r="D48" s="323"/>
      <c r="E48" s="323"/>
      <c r="F48" s="323"/>
      <c r="G48" s="323"/>
      <c r="H48" s="329"/>
      <c r="I48" s="330"/>
      <c r="J48" s="2015"/>
      <c r="K48" s="2013"/>
      <c r="L48" s="2013"/>
      <c r="M48" s="2013"/>
      <c r="N48" s="2013"/>
      <c r="O48" s="2013"/>
      <c r="P48" s="2013"/>
      <c r="Q48" s="2013"/>
      <c r="R48" s="2013"/>
      <c r="S48" s="2013"/>
      <c r="T48" s="2013"/>
      <c r="U48" s="2013"/>
      <c r="V48" s="2013"/>
    </row>
    <row r="49" spans="1:22" ht="12.75">
      <c r="A49" s="327">
        <v>2</v>
      </c>
      <c r="B49" s="328"/>
      <c r="C49" s="328"/>
      <c r="D49" s="323"/>
      <c r="E49" s="323"/>
      <c r="F49" s="323"/>
      <c r="G49" s="323"/>
      <c r="H49" s="329"/>
      <c r="I49" s="330"/>
      <c r="J49" s="2016"/>
      <c r="K49" s="2013"/>
      <c r="L49" s="2013"/>
      <c r="M49" s="2013"/>
      <c r="N49" s="2013"/>
      <c r="O49" s="2013"/>
      <c r="P49" s="2013"/>
      <c r="Q49" s="2013"/>
      <c r="R49" s="2013"/>
      <c r="S49" s="2013"/>
      <c r="T49" s="2013"/>
      <c r="U49" s="2013"/>
      <c r="V49" s="2013"/>
    </row>
    <row r="50" spans="1:22" ht="12.75">
      <c r="A50" s="327">
        <v>3</v>
      </c>
      <c r="B50" s="328"/>
      <c r="C50" s="328"/>
      <c r="D50" s="323"/>
      <c r="E50" s="323"/>
      <c r="F50" s="323"/>
      <c r="G50" s="323"/>
      <c r="H50" s="329"/>
      <c r="I50" s="330"/>
      <c r="J50" s="2016"/>
      <c r="K50" s="2013"/>
      <c r="L50" s="2013"/>
      <c r="M50" s="2013"/>
      <c r="N50" s="2013"/>
      <c r="O50" s="2013"/>
      <c r="P50" s="2013"/>
      <c r="Q50" s="2013"/>
      <c r="R50" s="2013"/>
      <c r="S50" s="2013"/>
      <c r="T50" s="2013"/>
      <c r="U50" s="2013"/>
      <c r="V50" s="2013"/>
    </row>
    <row r="51" spans="1:22" ht="12.75">
      <c r="A51" s="331"/>
      <c r="B51" s="332"/>
      <c r="C51" s="332"/>
      <c r="D51" s="333"/>
      <c r="E51" s="333"/>
      <c r="F51" s="333"/>
      <c r="G51" s="333"/>
      <c r="H51" s="334"/>
      <c r="I51" s="335"/>
      <c r="J51" s="2016"/>
      <c r="K51" s="2013"/>
      <c r="L51" s="2013"/>
      <c r="M51" s="2013"/>
      <c r="N51" s="2013"/>
      <c r="O51" s="2013"/>
      <c r="P51" s="2013"/>
      <c r="Q51" s="2013"/>
      <c r="R51" s="2013"/>
      <c r="S51" s="2013"/>
      <c r="T51" s="2013"/>
      <c r="U51" s="2013"/>
      <c r="V51" s="2013"/>
    </row>
    <row r="52" spans="1:22" ht="12.75">
      <c r="A52" s="328"/>
      <c r="B52" s="328"/>
      <c r="C52" s="328"/>
      <c r="D52" s="323"/>
      <c r="E52" s="323"/>
      <c r="F52" s="323"/>
      <c r="G52" s="323"/>
      <c r="H52" s="329"/>
      <c r="I52" s="257"/>
      <c r="J52" s="2016"/>
      <c r="K52" s="2013"/>
      <c r="L52" s="2013"/>
      <c r="M52" s="2013"/>
      <c r="N52" s="2013"/>
      <c r="O52" s="2013"/>
      <c r="P52" s="2013"/>
      <c r="Q52" s="2013"/>
      <c r="R52" s="2013"/>
      <c r="S52" s="2013"/>
      <c r="T52" s="2013"/>
      <c r="U52" s="2013"/>
      <c r="V52" s="2013"/>
    </row>
    <row r="53" spans="1:22" ht="12.75">
      <c r="A53" s="257"/>
      <c r="B53" s="257"/>
      <c r="C53" s="257"/>
      <c r="D53" s="257"/>
      <c r="E53" s="257"/>
      <c r="F53" s="336" t="s">
        <v>368</v>
      </c>
      <c r="G53" s="337"/>
      <c r="H53" s="337"/>
      <c r="I53" s="338" t="s">
        <v>369</v>
      </c>
      <c r="J53" s="2016"/>
      <c r="K53" s="2013"/>
      <c r="L53" s="2013"/>
      <c r="M53" s="2013"/>
      <c r="N53" s="2013"/>
      <c r="O53" s="2013"/>
      <c r="P53" s="2013"/>
      <c r="Q53" s="2013"/>
      <c r="R53" s="2013"/>
      <c r="S53" s="2013"/>
      <c r="T53" s="2013"/>
      <c r="U53" s="2013"/>
      <c r="V53" s="2013"/>
    </row>
    <row r="54" spans="1:22" ht="12.75">
      <c r="A54" s="257"/>
      <c r="B54" s="339" t="s">
        <v>370</v>
      </c>
      <c r="C54" s="257"/>
      <c r="D54" s="257"/>
      <c r="E54" s="257"/>
      <c r="F54" s="257"/>
      <c r="G54" s="257"/>
      <c r="H54" s="257"/>
      <c r="I54" s="257"/>
      <c r="J54" s="2016"/>
      <c r="K54" s="2013"/>
      <c r="L54" s="2013"/>
      <c r="M54" s="2013"/>
      <c r="N54" s="2013"/>
      <c r="O54" s="2013"/>
      <c r="P54" s="2013"/>
      <c r="Q54" s="2013"/>
      <c r="R54" s="2013"/>
      <c r="S54" s="2013"/>
      <c r="T54" s="2013"/>
      <c r="U54" s="2013"/>
      <c r="V54" s="2013"/>
    </row>
    <row r="55" spans="1:22" ht="12.75">
      <c r="A55" s="257"/>
      <c r="B55" s="257"/>
      <c r="C55" s="257"/>
      <c r="D55" s="257"/>
      <c r="E55" s="257"/>
      <c r="F55" s="257"/>
      <c r="G55" s="257"/>
      <c r="H55" s="257"/>
      <c r="I55" s="257"/>
      <c r="J55" s="2016"/>
      <c r="K55" s="2013"/>
      <c r="L55" s="2013"/>
      <c r="M55" s="2013"/>
      <c r="N55" s="2013"/>
      <c r="O55" s="2013"/>
      <c r="P55" s="2013"/>
      <c r="Q55" s="2013"/>
      <c r="R55" s="2013"/>
      <c r="S55" s="2013"/>
      <c r="T55" s="2013"/>
      <c r="U55" s="2013"/>
      <c r="V55" s="2013"/>
    </row>
    <row r="56" spans="1:22" ht="12.75">
      <c r="A56" s="257"/>
      <c r="B56" s="337"/>
      <c r="C56" s="337"/>
      <c r="D56" s="337"/>
      <c r="E56" s="337"/>
      <c r="F56" s="337"/>
      <c r="G56" s="337"/>
      <c r="H56" s="337"/>
      <c r="I56" s="338" t="s">
        <v>371</v>
      </c>
      <c r="J56" s="2016"/>
      <c r="K56" s="2013"/>
      <c r="L56" s="2013"/>
      <c r="M56" s="2013"/>
      <c r="N56" s="2013"/>
      <c r="O56" s="2013"/>
      <c r="P56" s="2013"/>
      <c r="Q56" s="2013"/>
      <c r="R56" s="2013"/>
      <c r="S56" s="2013"/>
      <c r="T56" s="2013"/>
      <c r="U56" s="2013"/>
      <c r="V56" s="2013"/>
    </row>
    <row r="57" spans="1:22" ht="12.75">
      <c r="A57" s="257"/>
      <c r="B57" s="339" t="s">
        <v>372</v>
      </c>
      <c r="C57" s="257"/>
      <c r="D57" s="257"/>
      <c r="E57" s="257"/>
      <c r="F57" s="257"/>
      <c r="G57" s="257"/>
      <c r="H57" s="257"/>
      <c r="I57" s="257"/>
      <c r="J57" s="2016"/>
      <c r="K57" s="2013"/>
      <c r="L57" s="2013"/>
      <c r="M57" s="2013"/>
      <c r="N57" s="2013"/>
      <c r="O57" s="2013"/>
      <c r="P57" s="2013"/>
      <c r="Q57" s="2013"/>
      <c r="R57" s="2013"/>
      <c r="S57" s="2013"/>
      <c r="T57" s="2013"/>
      <c r="U57" s="2013"/>
      <c r="V57" s="2013"/>
    </row>
    <row r="58" spans="1:22" ht="12.75">
      <c r="A58" s="257"/>
      <c r="B58" s="339"/>
      <c r="C58" s="257"/>
      <c r="D58" s="257"/>
      <c r="E58" s="257"/>
      <c r="F58" s="257"/>
      <c r="G58" s="257"/>
      <c r="H58" s="257"/>
      <c r="I58" s="257"/>
      <c r="J58" s="2016"/>
      <c r="K58" s="2013"/>
      <c r="L58" s="2013"/>
      <c r="M58" s="2013"/>
      <c r="N58" s="2013"/>
      <c r="O58" s="2013"/>
      <c r="P58" s="2013"/>
      <c r="Q58" s="2013"/>
      <c r="R58" s="2013"/>
      <c r="S58" s="2013"/>
      <c r="T58" s="2013"/>
      <c r="U58" s="2013"/>
      <c r="V58" s="2013"/>
    </row>
    <row r="59" spans="1:22" ht="12.75">
      <c r="A59" s="257"/>
      <c r="B59" s="337"/>
      <c r="C59" s="337"/>
      <c r="D59" s="337"/>
      <c r="E59" s="337"/>
      <c r="F59" s="337"/>
      <c r="G59" s="337"/>
      <c r="H59" s="337"/>
      <c r="I59" s="338" t="s">
        <v>371</v>
      </c>
      <c r="J59" s="2016"/>
      <c r="K59" s="2013"/>
      <c r="L59" s="2013"/>
      <c r="M59" s="2013"/>
      <c r="N59" s="2013"/>
      <c r="O59" s="2013"/>
      <c r="P59" s="2013"/>
      <c r="Q59" s="2013"/>
      <c r="R59" s="2013"/>
      <c r="S59" s="2013"/>
      <c r="T59" s="2013"/>
      <c r="U59" s="2013"/>
      <c r="V59" s="2013"/>
    </row>
    <row r="60" spans="1:22" ht="12.75">
      <c r="A60" s="257"/>
      <c r="B60" s="257"/>
      <c r="C60" s="257"/>
      <c r="D60" s="257"/>
      <c r="E60" s="257"/>
      <c r="F60" s="257"/>
      <c r="G60" s="257"/>
      <c r="H60" s="257"/>
      <c r="I60" s="257"/>
      <c r="J60" s="2016"/>
      <c r="K60" s="2013"/>
      <c r="L60" s="2013"/>
      <c r="M60" s="2013"/>
      <c r="N60" s="2013"/>
      <c r="O60" s="2013"/>
      <c r="P60" s="2013"/>
      <c r="Q60" s="2013"/>
      <c r="R60" s="2013"/>
      <c r="S60" s="2013"/>
      <c r="T60" s="2013"/>
      <c r="U60" s="2013"/>
      <c r="V60" s="2013"/>
    </row>
    <row r="61" spans="1:22" ht="12.75">
      <c r="A61" s="257"/>
      <c r="B61" s="339"/>
      <c r="C61" s="340"/>
      <c r="D61" s="216"/>
      <c r="E61" s="216"/>
      <c r="F61" s="253"/>
      <c r="G61" s="257"/>
      <c r="H61" s="257"/>
      <c r="I61" s="257"/>
      <c r="J61" s="2016"/>
      <c r="K61" s="2013"/>
      <c r="L61" s="2013"/>
      <c r="M61" s="2013"/>
      <c r="N61" s="2013"/>
      <c r="O61" s="2013"/>
      <c r="P61" s="2013"/>
      <c r="Q61" s="2013"/>
      <c r="R61" s="2013"/>
      <c r="S61" s="2013"/>
      <c r="T61" s="2013"/>
      <c r="U61" s="2013"/>
      <c r="V61" s="2013"/>
    </row>
    <row r="62" spans="1:22" ht="18.75">
      <c r="A62" s="1280" t="s">
        <v>373</v>
      </c>
      <c r="B62" s="1281"/>
      <c r="C62" s="1281"/>
      <c r="D62" s="1282"/>
      <c r="E62" s="1282"/>
      <c r="F62" s="1283"/>
      <c r="G62" s="1283"/>
      <c r="H62" s="1283"/>
      <c r="I62" s="1283"/>
      <c r="J62" s="2017"/>
      <c r="K62" s="2013"/>
      <c r="L62" s="2013"/>
      <c r="M62" s="2013"/>
      <c r="N62" s="2013"/>
      <c r="O62" s="2013"/>
      <c r="P62" s="2013"/>
      <c r="Q62" s="2013"/>
      <c r="R62" s="2013"/>
      <c r="S62" s="2013"/>
      <c r="T62" s="2013"/>
      <c r="U62" s="2013"/>
      <c r="V62" s="2013"/>
    </row>
    <row r="63" spans="1:22" ht="14.25" customHeight="1" thickBot="1">
      <c r="A63" s="3399" t="s">
        <v>374</v>
      </c>
      <c r="B63" s="3400"/>
      <c r="C63" s="3401"/>
      <c r="D63" s="341">
        <f ca="1">ROUND(C42*F63,0)</f>
        <v>45196</v>
      </c>
      <c r="E63" s="302" t="s">
        <v>375</v>
      </c>
      <c r="F63" s="342">
        <v>1</v>
      </c>
      <c r="G63" s="343" t="s">
        <v>376</v>
      </c>
      <c r="H63" s="311"/>
      <c r="I63" s="311"/>
      <c r="J63" s="2013"/>
      <c r="K63" s="2013"/>
      <c r="L63" s="2013"/>
      <c r="M63" s="2013"/>
      <c r="N63" s="2013"/>
      <c r="O63" s="2013"/>
      <c r="P63" s="311"/>
      <c r="Q63" s="2013"/>
      <c r="R63" s="2013"/>
      <c r="S63" s="2013"/>
      <c r="T63" s="2013"/>
      <c r="U63" s="2013"/>
      <c r="V63" s="2013"/>
    </row>
    <row r="64" spans="1:22" ht="14.25" customHeight="1">
      <c r="A64" s="3360" t="s">
        <v>378</v>
      </c>
      <c r="B64" s="3361"/>
      <c r="C64" s="3361"/>
      <c r="D64" s="3361"/>
      <c r="E64" s="3361"/>
      <c r="F64" s="3361"/>
      <c r="G64" s="3362"/>
      <c r="H64" s="1284"/>
      <c r="I64" s="948"/>
      <c r="J64" s="1975"/>
      <c r="K64" s="1547" t="s">
        <v>377</v>
      </c>
      <c r="L64" s="11"/>
      <c r="M64" s="11"/>
      <c r="N64" s="11"/>
      <c r="O64" s="11"/>
      <c r="P64" s="311"/>
      <c r="Q64" s="2013"/>
      <c r="R64" s="2013"/>
      <c r="S64" s="2013"/>
      <c r="T64" s="2013"/>
      <c r="U64" s="2013"/>
      <c r="V64" s="2013"/>
    </row>
    <row r="65" spans="1:22" ht="12" customHeight="1">
      <c r="A65" s="344" t="s">
        <v>380</v>
      </c>
      <c r="B65" s="345"/>
      <c r="C65" s="346"/>
      <c r="D65" s="347" t="s">
        <v>381</v>
      </c>
      <c r="E65" s="53" t="s">
        <v>382</v>
      </c>
      <c r="F65" s="348" t="s">
        <v>383</v>
      </c>
      <c r="G65" s="349" t="s">
        <v>384</v>
      </c>
      <c r="H65" s="1284"/>
      <c r="I65" s="948"/>
      <c r="J65" s="1975"/>
      <c r="K65" s="1285"/>
      <c r="L65" s="1286"/>
      <c r="M65" s="1286"/>
      <c r="N65" s="1318" t="s">
        <v>379</v>
      </c>
      <c r="O65" s="1319"/>
      <c r="P65" s="1320"/>
      <c r="Q65" s="2013"/>
      <c r="R65" s="2013"/>
      <c r="S65" s="2013"/>
      <c r="T65" s="2013"/>
      <c r="U65" s="2013"/>
      <c r="V65" s="2013"/>
    </row>
    <row r="66" spans="1:22" ht="25.5">
      <c r="A66" s="3356" t="s">
        <v>386</v>
      </c>
      <c r="B66" s="3357"/>
      <c r="C66" s="3357"/>
      <c r="D66" s="261">
        <f ca="1">IF(H66="情况1",0,IF(H66="情况2",D70,IF(H66="情况3",D71,IF(H66="情况4",D72))))</f>
        <v>2432</v>
      </c>
      <c r="E66" s="993" t="str">
        <f>IF(H66="情况4","(销售额-原购置价)×税（费）率","销售额×税（费）率")</f>
        <v>销售额×税（费）率</v>
      </c>
      <c r="F66" s="350">
        <f>IF(H66="情况1","免征",'数据-取费表'!B41)</f>
        <v>5.6500000000000002E-2</v>
      </c>
      <c r="G66" s="351" t="s">
        <v>387</v>
      </c>
      <c r="H66" s="191" t="s">
        <v>388</v>
      </c>
      <c r="I66" s="1284"/>
      <c r="J66" s="2019"/>
      <c r="K66" s="1287">
        <v>1</v>
      </c>
      <c r="L66" s="3414" t="s">
        <v>385</v>
      </c>
      <c r="M66" s="3415"/>
      <c r="N66" s="2422"/>
      <c r="O66" s="2423"/>
      <c r="P66" s="2424"/>
      <c r="Q66" s="2013"/>
      <c r="R66" s="2013"/>
      <c r="S66" s="2013"/>
      <c r="T66" s="2013"/>
      <c r="U66" s="2013"/>
      <c r="V66" s="2013"/>
    </row>
    <row r="67" spans="1:22" ht="25.5" customHeight="1">
      <c r="A67" s="352" t="s">
        <v>390</v>
      </c>
      <c r="B67" s="3347" t="s">
        <v>391</v>
      </c>
      <c r="C67" s="3347"/>
      <c r="D67" s="353">
        <v>0</v>
      </c>
      <c r="E67" s="41" t="s">
        <v>392</v>
      </c>
      <c r="F67" s="62" t="s">
        <v>21</v>
      </c>
      <c r="G67" s="3402"/>
      <c r="H67" s="311"/>
      <c r="I67" s="1288"/>
      <c r="J67" s="2020"/>
      <c r="K67" s="1961">
        <v>2</v>
      </c>
      <c r="L67" s="3413" t="s">
        <v>389</v>
      </c>
      <c r="M67" s="3413"/>
      <c r="N67" s="1321">
        <f>'数据-取费表'!B2</f>
        <v>43868</v>
      </c>
      <c r="O67" s="1321"/>
      <c r="P67" s="1321"/>
      <c r="Q67" s="2013"/>
      <c r="R67" s="2013"/>
      <c r="S67" s="2013"/>
      <c r="T67" s="2013"/>
      <c r="U67" s="2013"/>
      <c r="V67" s="2013"/>
    </row>
    <row r="68" spans="1:22" ht="25.5" customHeight="1">
      <c r="A68" s="354"/>
      <c r="B68" s="3347" t="s">
        <v>394</v>
      </c>
      <c r="C68" s="3347"/>
      <c r="D68" s="355"/>
      <c r="E68" s="77"/>
      <c r="F68" s="356"/>
      <c r="G68" s="3403"/>
      <c r="H68" s="311"/>
      <c r="I68" s="1288"/>
      <c r="J68" s="2020"/>
      <c r="K68" s="1961">
        <v>3</v>
      </c>
      <c r="L68" s="3413" t="s">
        <v>393</v>
      </c>
      <c r="M68" s="3413"/>
      <c r="N68" s="1289">
        <f ca="1">C42</f>
        <v>45196</v>
      </c>
      <c r="O68" s="1289"/>
      <c r="P68" s="1289"/>
      <c r="Q68" s="2013"/>
      <c r="R68" s="2013"/>
      <c r="S68" s="2013"/>
      <c r="T68" s="2013"/>
      <c r="U68" s="2013"/>
      <c r="V68" s="2013"/>
    </row>
    <row r="69" spans="1:22" ht="12" customHeight="1">
      <c r="A69" s="357"/>
      <c r="B69" s="3347" t="s">
        <v>395</v>
      </c>
      <c r="C69" s="3347"/>
      <c r="D69" s="358"/>
      <c r="E69" s="73"/>
      <c r="F69" s="356"/>
      <c r="G69" s="3404"/>
      <c r="H69" s="311"/>
      <c r="I69" s="1288"/>
      <c r="J69" s="2020"/>
      <c r="K69" s="1290">
        <v>4</v>
      </c>
      <c r="L69" s="3418" t="s">
        <v>2880</v>
      </c>
      <c r="M69" s="3419"/>
      <c r="N69" s="1291">
        <f ca="1">C44</f>
        <v>45196</v>
      </c>
      <c r="O69" s="1291"/>
      <c r="P69" s="1291"/>
      <c r="Q69" s="2013"/>
      <c r="R69" s="2013"/>
      <c r="S69" s="2013"/>
      <c r="T69" s="2013"/>
      <c r="U69" s="2013"/>
      <c r="V69" s="2013"/>
    </row>
    <row r="70" spans="1:22" ht="24" customHeight="1">
      <c r="A70" s="359" t="s">
        <v>396</v>
      </c>
      <c r="B70" s="3347" t="s">
        <v>397</v>
      </c>
      <c r="C70" s="3347"/>
      <c r="D70" s="358">
        <f ca="1">ROUND(D63*'数据-取费表'!B41/(1+'数据-取费表'!C42),0)</f>
        <v>2432</v>
      </c>
      <c r="E70" s="17" t="s">
        <v>398</v>
      </c>
      <c r="F70" s="360">
        <f>'数据-取费表'!B41</f>
        <v>5.6500000000000002E-2</v>
      </c>
      <c r="G70" s="361"/>
      <c r="H70" s="311"/>
      <c r="I70" s="1288"/>
      <c r="J70" s="2020"/>
      <c r="K70" s="3009"/>
      <c r="L70" s="3010"/>
      <c r="M70" s="3010"/>
      <c r="N70" s="3011" t="s">
        <v>2884</v>
      </c>
      <c r="O70" s="3010"/>
      <c r="P70" s="3012"/>
      <c r="Q70" s="2013"/>
      <c r="R70" s="2013"/>
      <c r="S70" s="2013"/>
      <c r="T70" s="2013"/>
      <c r="U70" s="2013"/>
      <c r="V70" s="2013"/>
    </row>
    <row r="71" spans="1:22" ht="12" customHeight="1">
      <c r="A71" s="359" t="s">
        <v>404</v>
      </c>
      <c r="B71" s="3348" t="s">
        <v>405</v>
      </c>
      <c r="C71" s="3349"/>
      <c r="D71" s="358">
        <f ca="1">ROUND(D63*'数据-取费表'!B41/(1+'数据-取费表'!C42),0)</f>
        <v>2432</v>
      </c>
      <c r="E71" s="17" t="s">
        <v>398</v>
      </c>
      <c r="F71" s="360">
        <f>'数据-取费表'!B41</f>
        <v>5.6500000000000002E-2</v>
      </c>
      <c r="G71" s="361"/>
      <c r="H71" s="311"/>
      <c r="I71" s="1288"/>
      <c r="J71" s="2020"/>
      <c r="K71" s="3008" t="s">
        <v>399</v>
      </c>
      <c r="L71" s="3420" t="s">
        <v>400</v>
      </c>
      <c r="M71" s="3420"/>
      <c r="N71" s="3008" t="s">
        <v>401</v>
      </c>
      <c r="O71" s="3008" t="s">
        <v>402</v>
      </c>
      <c r="P71" s="3008" t="s">
        <v>403</v>
      </c>
      <c r="Q71" s="2013"/>
      <c r="R71" s="2013"/>
      <c r="S71" s="2013"/>
      <c r="T71" s="2013"/>
      <c r="U71" s="2013"/>
      <c r="V71" s="2013"/>
    </row>
    <row r="72" spans="1:22" ht="12" customHeight="1">
      <c r="A72" s="359" t="s">
        <v>407</v>
      </c>
      <c r="B72" s="3348" t="s">
        <v>408</v>
      </c>
      <c r="C72" s="3349"/>
      <c r="D72" s="358">
        <f ca="1">C86</f>
        <v>2319</v>
      </c>
      <c r="E72" s="73" t="s">
        <v>409</v>
      </c>
      <c r="F72" s="360">
        <f>'数据-取费表'!B41</f>
        <v>5.6500000000000002E-2</v>
      </c>
      <c r="G72" s="361"/>
      <c r="H72" s="1294"/>
      <c r="I72" s="1288"/>
      <c r="J72" s="2020"/>
      <c r="K72" s="1961">
        <v>1</v>
      </c>
      <c r="L72" s="3395" t="s">
        <v>406</v>
      </c>
      <c r="M72" s="3395"/>
      <c r="N72" s="1292">
        <f ca="1">D66</f>
        <v>2432</v>
      </c>
      <c r="O72" s="1844" t="str">
        <f>E66</f>
        <v>销售额×税（费）率</v>
      </c>
      <c r="P72" s="1293">
        <f>F66</f>
        <v>5.6500000000000002E-2</v>
      </c>
      <c r="Q72" s="2013"/>
      <c r="R72" s="2013"/>
      <c r="S72" s="2013"/>
      <c r="T72" s="2013"/>
      <c r="U72" s="2013"/>
      <c r="V72" s="2013"/>
    </row>
    <row r="73" spans="1:22" ht="24" customHeight="1">
      <c r="A73" s="3389" t="s">
        <v>411</v>
      </c>
      <c r="B73" s="3357"/>
      <c r="C73" s="3357"/>
      <c r="D73" s="362">
        <f ca="1">IF(H73="个人住宅",0,ROUND(D63*I73,0))</f>
        <v>23</v>
      </c>
      <c r="E73" s="17" t="s">
        <v>412</v>
      </c>
      <c r="F73" s="360">
        <f>IF(H73="正常",I73,"免征")</f>
        <v>5.0000000000000001E-4</v>
      </c>
      <c r="G73" s="361"/>
      <c r="H73" s="191" t="s">
        <v>3354</v>
      </c>
      <c r="I73" s="360">
        <f>'数据-取费表'!B49</f>
        <v>5.0000000000000001E-4</v>
      </c>
      <c r="J73" s="2020"/>
      <c r="K73" s="1961">
        <v>2</v>
      </c>
      <c r="L73" s="3395" t="s">
        <v>410</v>
      </c>
      <c r="M73" s="3395"/>
      <c r="N73" s="1292">
        <f t="shared" ref="N73:P74" ca="1" si="1">D73</f>
        <v>23</v>
      </c>
      <c r="O73" s="1844" t="str">
        <f t="shared" si="1"/>
        <v>销售额×税（费）率</v>
      </c>
      <c r="P73" s="1293">
        <f t="shared" si="1"/>
        <v>5.0000000000000001E-4</v>
      </c>
      <c r="Q73" s="2013"/>
      <c r="R73" s="2013"/>
      <c r="S73" s="2013"/>
      <c r="T73" s="2013"/>
      <c r="U73" s="2013"/>
      <c r="V73" s="2013"/>
    </row>
    <row r="74" spans="1:22" ht="24.75">
      <c r="A74" s="3389" t="s">
        <v>415</v>
      </c>
      <c r="B74" s="3357"/>
      <c r="C74" s="3357"/>
      <c r="D74" s="362">
        <f ca="1">IF(H74="个人住宅",D75,D76)</f>
        <v>18307</v>
      </c>
      <c r="E74" s="17" t="s">
        <v>416</v>
      </c>
      <c r="F74" s="360" t="str">
        <f>IF(H74="正常",F76,"免征")</f>
        <v>——</v>
      </c>
      <c r="G74" s="983" t="s">
        <v>417</v>
      </c>
      <c r="H74" s="363" t="s">
        <v>413</v>
      </c>
      <c r="I74" s="42"/>
      <c r="J74" s="2020"/>
      <c r="K74" s="1961">
        <v>3</v>
      </c>
      <c r="L74" s="3395" t="s">
        <v>414</v>
      </c>
      <c r="M74" s="3395"/>
      <c r="N74" s="1292">
        <f t="shared" ca="1" si="1"/>
        <v>18307</v>
      </c>
      <c r="O74" s="1844" t="str">
        <f t="shared" si="1"/>
        <v>增值额×税（费）率</v>
      </c>
      <c r="P74" s="1295" t="str">
        <f t="shared" si="1"/>
        <v>——</v>
      </c>
      <c r="Q74" s="2013"/>
      <c r="R74" s="2013"/>
      <c r="S74" s="2013"/>
      <c r="T74" s="2013"/>
      <c r="U74" s="2013"/>
      <c r="V74" s="2013"/>
    </row>
    <row r="75" spans="1:22" ht="12.75">
      <c r="A75" s="359" t="s">
        <v>418</v>
      </c>
      <c r="B75" s="3345" t="s">
        <v>419</v>
      </c>
      <c r="C75" s="3375"/>
      <c r="D75" s="364">
        <v>0</v>
      </c>
      <c r="E75" s="41" t="s">
        <v>420</v>
      </c>
      <c r="F75" s="365"/>
      <c r="G75" s="361"/>
      <c r="H75" s="42"/>
      <c r="I75" s="42"/>
      <c r="J75" s="2020"/>
      <c r="K75" s="3001" t="str">
        <f>IF(H77="非个人房产","",4)</f>
        <v/>
      </c>
      <c r="L75" s="3395" t="str">
        <f>IF(H77="非个人房产","——","个人所得税")</f>
        <v>——</v>
      </c>
      <c r="M75" s="3395"/>
      <c r="N75" s="1296" t="str">
        <f>D77</f>
        <v>——</v>
      </c>
      <c r="O75" s="1857" t="str">
        <f>E77</f>
        <v>——</v>
      </c>
      <c r="P75" s="1297" t="str">
        <f>F77</f>
        <v>——</v>
      </c>
      <c r="Q75" s="2013"/>
      <c r="R75" s="2013"/>
      <c r="S75" s="2013"/>
      <c r="T75" s="2013"/>
      <c r="U75" s="2013"/>
      <c r="V75" s="2013"/>
    </row>
    <row r="76" spans="1:22" ht="24.75">
      <c r="A76" s="359" t="s">
        <v>396</v>
      </c>
      <c r="B76" s="3345" t="s">
        <v>422</v>
      </c>
      <c r="C76" s="3346"/>
      <c r="D76" s="362">
        <f ca="1">IF(H76="转让取得",C99,C115)</f>
        <v>18307</v>
      </c>
      <c r="E76" s="17" t="s">
        <v>423</v>
      </c>
      <c r="F76" s="53" t="s">
        <v>21</v>
      </c>
      <c r="G76" s="361"/>
      <c r="H76" s="363" t="s">
        <v>424</v>
      </c>
      <c r="I76" s="42"/>
      <c r="J76" s="2020"/>
      <c r="K76" s="3001" t="str">
        <f>IF(项目基本情况!K6="上海银行",IF(K75="",4,K75+1),"")</f>
        <v/>
      </c>
      <c r="L76" s="3406" t="str">
        <f>IF(项目基本情况!K6="上海银行","其他处置费用","")</f>
        <v/>
      </c>
      <c r="M76" s="3407"/>
      <c r="N76" s="1292" t="str">
        <f>IF(项目基本情况!K6="上海银行",N89,"")</f>
        <v/>
      </c>
      <c r="O76" s="3408" t="str">
        <f>IF(项目基本情况!K6="上海银行","包含处置中涉及的律师、诉讼、拍卖、评估等费用","")</f>
        <v/>
      </c>
      <c r="P76" s="3409"/>
      <c r="Q76" s="2013"/>
      <c r="R76" s="2013"/>
      <c r="S76" s="2013"/>
      <c r="T76" s="2013"/>
      <c r="U76" s="2013"/>
      <c r="V76" s="2013"/>
    </row>
    <row r="77" spans="1:22" ht="24.75" thickBot="1">
      <c r="A77" s="3397" t="s">
        <v>426</v>
      </c>
      <c r="B77" s="3398"/>
      <c r="C77" s="3398"/>
      <c r="D77" s="366" t="str">
        <f>IF(H77="非个人房产","——",IF(H77="个人住宅",0,ROUND(D63*I77,0)))</f>
        <v>——</v>
      </c>
      <c r="E77" s="367" t="str">
        <f>IF(H77="非个人房产","——","销售额×税（费）率")</f>
        <v>——</v>
      </c>
      <c r="F77" s="368" t="str">
        <f>IF(H77="非个人房产","——",IF(H77="个人住宅","免征",I77))</f>
        <v>——</v>
      </c>
      <c r="G77" s="984" t="s">
        <v>417</v>
      </c>
      <c r="H77" s="363" t="s">
        <v>3355</v>
      </c>
      <c r="I77" s="369">
        <v>0.01</v>
      </c>
      <c r="J77" s="2020"/>
      <c r="K77" s="3396">
        <f>IF(AND(K75="",K76=""),4,IF(项目基本情况!K6="上海银行",K76+1,K75+1))</f>
        <v>4</v>
      </c>
      <c r="L77" s="3395" t="s">
        <v>2881</v>
      </c>
      <c r="M77" s="3007" t="s">
        <v>421</v>
      </c>
      <c r="N77" s="1298"/>
      <c r="O77" s="1299">
        <f ca="1">SUMIF(N72:N76,"&lt;9e307")</f>
        <v>20762</v>
      </c>
      <c r="P77" s="1300"/>
      <c r="Q77" s="3005">
        <f ca="1">O77/N69</f>
        <v>0.45937693601203644</v>
      </c>
      <c r="R77" s="2013"/>
      <c r="S77" s="2013"/>
      <c r="T77" s="2013"/>
      <c r="U77" s="2013"/>
      <c r="V77" s="2013"/>
    </row>
    <row r="78" spans="1:22" ht="12" customHeight="1">
      <c r="A78" s="1301"/>
      <c r="B78" s="311"/>
      <c r="C78" s="311"/>
      <c r="D78" s="311"/>
      <c r="E78" s="42"/>
      <c r="F78" s="42"/>
      <c r="G78" s="42"/>
      <c r="H78" s="1003"/>
      <c r="I78" s="311"/>
      <c r="J78" s="2020"/>
      <c r="K78" s="3396"/>
      <c r="L78" s="3395"/>
      <c r="M78" s="3007" t="s">
        <v>425</v>
      </c>
      <c r="N78" s="1298"/>
      <c r="O78" s="1299" t="str">
        <f ca="1">NUMBERSTRING(INT(O77*10000),2)&amp;"元整"</f>
        <v>贰亿零柒佰陆拾贰万元整</v>
      </c>
      <c r="P78" s="1300"/>
      <c r="Q78" s="2013"/>
      <c r="R78" s="2013"/>
      <c r="S78" s="2013"/>
      <c r="T78" s="2013"/>
      <c r="U78" s="2013"/>
      <c r="V78" s="2013"/>
    </row>
    <row r="79" spans="1:22" ht="13.5" thickBot="1">
      <c r="A79" s="3390" t="s">
        <v>427</v>
      </c>
      <c r="B79" s="3390"/>
      <c r="C79" s="3390"/>
      <c r="D79" s="3390"/>
      <c r="E79" s="3390"/>
      <c r="F79" s="42"/>
      <c r="G79" s="42"/>
      <c r="H79" s="1003"/>
      <c r="I79" s="311"/>
      <c r="J79" s="2020"/>
      <c r="K79" s="3416">
        <f>K77+1</f>
        <v>5</v>
      </c>
      <c r="L79" s="3395" t="s">
        <v>2882</v>
      </c>
      <c r="M79" s="3007" t="s">
        <v>421</v>
      </c>
      <c r="N79" s="1298"/>
      <c r="O79" s="1299">
        <f ca="1">N69-O77</f>
        <v>24434</v>
      </c>
      <c r="P79" s="1300"/>
      <c r="Q79" s="2013"/>
      <c r="R79" s="2013"/>
      <c r="S79" s="2013"/>
      <c r="T79" s="2013"/>
      <c r="U79" s="2013"/>
      <c r="V79" s="2013"/>
    </row>
    <row r="80" spans="1:22" ht="25.5">
      <c r="A80" s="3385" t="s">
        <v>428</v>
      </c>
      <c r="B80" s="3386"/>
      <c r="C80" s="994"/>
      <c r="D80" s="994" t="s">
        <v>429</v>
      </c>
      <c r="E80" s="370" t="s">
        <v>430</v>
      </c>
      <c r="F80" s="42"/>
      <c r="G80" s="42"/>
      <c r="H80" s="1003"/>
      <c r="I80" s="311"/>
      <c r="J80" s="2013"/>
      <c r="K80" s="3417"/>
      <c r="L80" s="3395"/>
      <c r="M80" s="3007" t="s">
        <v>425</v>
      </c>
      <c r="N80" s="1298"/>
      <c r="O80" s="1299" t="str">
        <f ca="1">NUMBERSTRING(INT(O79*10000),2)&amp;"元整"</f>
        <v>贰亿肆仟肆佰叁拾肆万元整</v>
      </c>
      <c r="P80" s="1300"/>
      <c r="Q80" s="2013"/>
      <c r="R80" s="2013"/>
      <c r="S80" s="2013"/>
      <c r="T80" s="2013"/>
      <c r="U80" s="2013"/>
      <c r="V80" s="2013"/>
    </row>
    <row r="81" spans="1:26" ht="13.5" thickBot="1">
      <c r="A81" s="381" t="s">
        <v>1823</v>
      </c>
      <c r="B81" s="371" t="s">
        <v>431</v>
      </c>
      <c r="C81" s="372">
        <f ca="1">ROUND((C82+C83)/(1+'数据-取费表'!C42),0)</f>
        <v>43044</v>
      </c>
      <c r="D81" s="373"/>
      <c r="E81" s="374"/>
      <c r="F81" s="42"/>
      <c r="G81" s="42"/>
      <c r="H81" s="1003"/>
      <c r="I81" s="311"/>
      <c r="J81" s="2013"/>
      <c r="K81" s="3001">
        <f>K79+1</f>
        <v>6</v>
      </c>
      <c r="L81" s="3393" t="s">
        <v>2883</v>
      </c>
      <c r="M81" s="3394"/>
      <c r="N81" s="1302"/>
      <c r="O81" s="1303">
        <f ca="1">ROUND(O79*10000/'数据-汇总表'!E3,0)</f>
        <v>3075</v>
      </c>
      <c r="P81" s="1304"/>
      <c r="Q81" s="2013"/>
      <c r="R81" s="2013"/>
      <c r="S81" s="2013"/>
      <c r="T81" s="2013"/>
      <c r="U81" s="2013"/>
      <c r="V81" s="2013"/>
    </row>
    <row r="82" spans="1:26" ht="13.5" thickTop="1">
      <c r="A82" s="375" t="s">
        <v>1824</v>
      </c>
      <c r="B82" s="376" t="s">
        <v>432</v>
      </c>
      <c r="C82" s="377">
        <f ca="1">D63</f>
        <v>45196</v>
      </c>
      <c r="D82" s="378" t="s">
        <v>19</v>
      </c>
      <c r="E82" s="379"/>
      <c r="F82" s="42"/>
      <c r="G82" s="42"/>
      <c r="H82" s="1003"/>
      <c r="I82" s="311"/>
      <c r="J82" s="2013"/>
      <c r="K82" s="2013"/>
      <c r="L82" s="2013"/>
      <c r="M82" s="2013"/>
      <c r="N82" s="2013"/>
      <c r="O82" s="2013"/>
      <c r="P82" s="2013"/>
      <c r="Q82" s="2013"/>
      <c r="R82" s="2013"/>
      <c r="S82" s="2013"/>
      <c r="T82" s="2013"/>
      <c r="U82" s="2013"/>
      <c r="V82" s="2013"/>
    </row>
    <row r="83" spans="1:26" ht="12.75">
      <c r="A83" s="375" t="s">
        <v>1825</v>
      </c>
      <c r="B83" s="376" t="s">
        <v>433</v>
      </c>
      <c r="C83" s="380">
        <v>0</v>
      </c>
      <c r="D83" s="378"/>
      <c r="E83" s="379"/>
      <c r="F83" s="42"/>
      <c r="G83" s="42"/>
      <c r="H83" s="1003"/>
      <c r="I83" s="311"/>
      <c r="J83" s="2013"/>
      <c r="K83" s="3405" t="s">
        <v>2871</v>
      </c>
      <c r="L83" s="3013" t="s">
        <v>2872</v>
      </c>
      <c r="M83" s="3003">
        <f ca="1">IF(N69&gt;10000,N69*0.5%,IF(AND(N69&gt;1000,N69&lt;=10000),N69*1%,IF(AND(N69&gt;100,N69&lt;=1000),N69*3%,IF(AND(N69&gt;10,N69&lt;=100),N69*5%,N69*8%))))</f>
        <v>225.98000000000002</v>
      </c>
      <c r="N83" s="53">
        <f ca="1">ROUND(M83,1)</f>
        <v>226</v>
      </c>
      <c r="O83" s="3006"/>
      <c r="P83" s="2013"/>
      <c r="Q83" s="2013"/>
      <c r="R83" s="2013"/>
      <c r="S83" s="2013"/>
      <c r="T83" s="2013"/>
      <c r="U83" s="2013"/>
      <c r="V83" s="2013"/>
    </row>
    <row r="84" spans="1:26" ht="12.75">
      <c r="A84" s="381" t="s">
        <v>1826</v>
      </c>
      <c r="B84" s="382" t="s">
        <v>434</v>
      </c>
      <c r="C84" s="383">
        <v>2000</v>
      </c>
      <c r="D84" s="384" t="s">
        <v>19</v>
      </c>
      <c r="E84" s="3048" t="s">
        <v>2933</v>
      </c>
      <c r="F84" s="42"/>
      <c r="G84" s="42"/>
      <c r="H84" s="1003"/>
      <c r="I84" s="311"/>
      <c r="J84" s="2013"/>
      <c r="K84" s="3405"/>
      <c r="L84" s="3013" t="s">
        <v>2873</v>
      </c>
      <c r="M84" s="3003">
        <f ca="1">IF(N69&gt;2000,N69*0.5%,IF(AND(N69&gt;1000,N69&lt;=2000),N69*0.6%,IF(AND(N69&gt;500,N69&lt;=1000),N69*0.7%,IF(AND(N69&gt;200,N69&lt;=500),N69*0.8%,IF(AND(N69&gt;100,N69&lt;=200),N69*0.9%,IF(AND(N69&gt;50,N69&lt;=100),N69*1%,IF(AND(N69&gt;20,N69&lt;=50),N69*1.5%,IF(AND(N69&gt;10,N69&lt;=20),N69*2%,IF(AND(N69&gt;1,N69&lt;=10),N69*2.5%)))))))))</f>
        <v>225.98000000000002</v>
      </c>
      <c r="N84" s="53">
        <f t="shared" ref="N84:N85" ca="1" si="2">ROUND(M84,1)</f>
        <v>226</v>
      </c>
      <c r="O84" s="2013" t="s">
        <v>2874</v>
      </c>
      <c r="P84" s="2013"/>
      <c r="Q84" s="2013"/>
      <c r="R84" s="2013"/>
      <c r="S84" s="2013"/>
      <c r="T84" s="2013"/>
      <c r="U84" s="2013"/>
      <c r="V84" s="2013"/>
    </row>
    <row r="85" spans="1:26" ht="12.75">
      <c r="A85" s="381" t="s">
        <v>1827</v>
      </c>
      <c r="B85" s="382" t="s">
        <v>435</v>
      </c>
      <c r="C85" s="385">
        <f ca="1">C81-C84</f>
        <v>41044</v>
      </c>
      <c r="D85" s="378" t="s">
        <v>19</v>
      </c>
      <c r="E85" s="379"/>
      <c r="F85" s="42"/>
      <c r="G85" s="42"/>
      <c r="H85" s="1003"/>
      <c r="I85" s="311"/>
      <c r="J85" s="2013"/>
      <c r="K85" s="3405"/>
      <c r="L85" s="3013" t="s">
        <v>2875</v>
      </c>
      <c r="M85" s="3003">
        <f ca="1">IF(N69&gt;1000,N69*0.1%,IF(AND(N69&gt;500,N69&lt;=1000),N69*0.5%,IF(AND(N69&gt;50,N69&lt;=500),N69*1%,IF(AND(N69&gt;1,N69&lt;=50),N69*1.5%))))</f>
        <v>45.195999999999998</v>
      </c>
      <c r="N85" s="53">
        <f t="shared" ca="1" si="2"/>
        <v>45.2</v>
      </c>
      <c r="O85" s="2013" t="s">
        <v>2874</v>
      </c>
      <c r="P85" s="2013"/>
      <c r="Q85" s="2013"/>
      <c r="R85" s="2013"/>
      <c r="S85" s="2013"/>
      <c r="T85" s="2013"/>
      <c r="U85" s="2013"/>
      <c r="V85" s="2013"/>
    </row>
    <row r="86" spans="1:26" ht="13.5" thickBot="1">
      <c r="A86" s="386" t="s">
        <v>1828</v>
      </c>
      <c r="B86" s="387" t="s">
        <v>436</v>
      </c>
      <c r="C86" s="388">
        <f ca="1">IF(C85&lt;=0,0,ROUND(C85*D86,0))</f>
        <v>2319</v>
      </c>
      <c r="D86" s="389">
        <f>'数据-取费表'!B41</f>
        <v>5.6500000000000002E-2</v>
      </c>
      <c r="E86" s="390"/>
      <c r="F86" s="42"/>
      <c r="G86" s="42"/>
      <c r="H86" s="1003"/>
      <c r="I86" s="311"/>
      <c r="J86" s="2013"/>
      <c r="K86" s="3405"/>
      <c r="L86" s="3013" t="s">
        <v>2876</v>
      </c>
      <c r="M86" s="3003">
        <f ca="1">N69*0.5%</f>
        <v>225.98000000000002</v>
      </c>
      <c r="N86" s="53">
        <f ca="1">IF(M86&gt;0.5,0.5,ROUND(M86,0))</f>
        <v>0.5</v>
      </c>
      <c r="O86" s="2013" t="s">
        <v>2877</v>
      </c>
      <c r="P86" s="2013"/>
      <c r="Q86" s="2013"/>
      <c r="R86" s="2013"/>
      <c r="S86" s="2013"/>
      <c r="T86" s="2013"/>
      <c r="U86" s="2013"/>
      <c r="V86" s="2013"/>
    </row>
    <row r="87" spans="1:26" s="1250" customFormat="1" ht="14.25" customHeight="1">
      <c r="A87" s="1305"/>
      <c r="B87" s="1306"/>
      <c r="C87" s="1307"/>
      <c r="D87" s="1308"/>
      <c r="E87" s="1309"/>
      <c r="F87" s="42"/>
      <c r="G87" s="42"/>
      <c r="H87" s="1003"/>
      <c r="I87" s="311"/>
      <c r="J87" s="2013"/>
      <c r="K87" s="3405"/>
      <c r="L87" s="3013" t="s">
        <v>2878</v>
      </c>
      <c r="M87" s="3003">
        <f ca="1">IF(N69&gt;=10000,(8.25+(N69-10000)*0.01%),IF(AND(N69&gt;=8000,N69&lt;10000),(7.85+(N69-8000)*0.02%),IF(AND(N69&gt;=5000,N69&lt;8000),(6.65+(N69-5000)*0.04%),IF(AND(N69&gt;=2000,N69&lt;5000),(4.25+(PN69-2000)*0.08%),IF(AND(N69&gt;=1000,N69&lt;2000),(2.75+(N69-1000)*0.15%),IF(AND(N69&gt;=100,N69&lt;1000),(0.5+(N69-100)*0.25%),IF(AND(N69&gt;0,N69&lt;100),N69*0.5%)))))))</f>
        <v>11.769600000000001</v>
      </c>
      <c r="N87" s="53">
        <f ca="1">ROUND(M87*0.9,1)</f>
        <v>10.6</v>
      </c>
      <c r="O87" s="3006"/>
      <c r="P87" s="311"/>
      <c r="Q87" s="2013"/>
      <c r="R87" s="2013"/>
      <c r="S87" s="2013"/>
      <c r="T87" s="2013"/>
      <c r="U87" s="2013"/>
      <c r="V87" s="2013"/>
      <c r="W87" s="292"/>
      <c r="X87" s="292"/>
      <c r="Y87" s="292"/>
      <c r="Z87" s="292"/>
    </row>
    <row r="88" spans="1:26" s="1310" customFormat="1" ht="15" thickBot="1">
      <c r="A88" s="3387" t="s">
        <v>437</v>
      </c>
      <c r="B88" s="3388"/>
      <c r="C88" s="3388"/>
      <c r="D88" s="3388"/>
      <c r="E88" s="3388"/>
      <c r="F88" s="3388"/>
      <c r="G88" s="3388"/>
      <c r="H88" s="3388"/>
      <c r="I88" s="1311"/>
      <c r="J88" s="2021"/>
      <c r="K88" s="3405"/>
      <c r="L88" s="3013" t="s">
        <v>2879</v>
      </c>
      <c r="M88" s="3003">
        <f ca="1">IF(N69&gt;10000,N69*0.5%,IF(AND(N69&gt;5000,N69&lt;=10000),N69*1%,IF(AND(N69&gt;1000,N69&lt;=5000),N69*2%,IF(AND(N69&gt;200,N69&lt;=1000),N69*3%,N69*5%))))</f>
        <v>225.98000000000002</v>
      </c>
      <c r="N88" s="53">
        <f ca="1">ROUND(M88,1)</f>
        <v>226</v>
      </c>
      <c r="O88" s="3006"/>
      <c r="P88" s="11"/>
      <c r="Q88" s="2018"/>
      <c r="R88" s="2018"/>
      <c r="S88" s="2018"/>
      <c r="T88" s="2018"/>
      <c r="U88" s="2018"/>
      <c r="V88" s="2018"/>
      <c r="W88" s="2022"/>
      <c r="X88" s="2022"/>
      <c r="Y88" s="2022"/>
      <c r="Z88" s="2022"/>
    </row>
    <row r="89" spans="1:26" s="1310" customFormat="1" ht="14.25">
      <c r="A89" s="3385" t="s">
        <v>428</v>
      </c>
      <c r="B89" s="3386"/>
      <c r="C89" s="994"/>
      <c r="D89" s="994" t="s">
        <v>429</v>
      </c>
      <c r="E89" s="391" t="s">
        <v>438</v>
      </c>
      <c r="F89" s="392"/>
      <c r="G89" s="392"/>
      <c r="H89" s="393"/>
      <c r="I89" s="1312"/>
      <c r="J89" s="2023"/>
      <c r="K89" s="3405"/>
      <c r="L89" s="3013" t="s">
        <v>27</v>
      </c>
      <c r="M89" s="3004"/>
      <c r="N89" s="53">
        <f ca="1">ROUND(SUM(N83:N88),0)</f>
        <v>734</v>
      </c>
      <c r="O89" s="3014">
        <f ca="1">N89/N69</f>
        <v>1.6240375254447298E-2</v>
      </c>
      <c r="P89" s="2018"/>
      <c r="Q89" s="2018"/>
      <c r="R89" s="2018"/>
      <c r="S89" s="2018"/>
      <c r="T89" s="2018"/>
      <c r="U89" s="2018"/>
      <c r="V89" s="2018"/>
      <c r="W89" s="2022"/>
      <c r="X89" s="2022"/>
      <c r="Y89" s="2022"/>
      <c r="Z89" s="2022"/>
    </row>
    <row r="90" spans="1:26" s="1310" customFormat="1" ht="14.25">
      <c r="A90" s="381" t="s">
        <v>1823</v>
      </c>
      <c r="B90" s="382" t="s">
        <v>439</v>
      </c>
      <c r="C90" s="385">
        <f ca="1">ROUND(D63/(1+'数据-取费表'!C42),0)</f>
        <v>43044</v>
      </c>
      <c r="D90" s="378" t="s">
        <v>19</v>
      </c>
      <c r="E90" s="991"/>
      <c r="F90" s="990"/>
      <c r="G90" s="990"/>
      <c r="H90" s="394"/>
      <c r="I90" s="1312"/>
      <c r="J90" s="2023"/>
      <c r="K90" s="2018"/>
      <c r="L90" s="2018"/>
      <c r="M90" s="2018"/>
      <c r="N90" s="2018"/>
      <c r="O90" s="2018"/>
      <c r="P90" s="2018"/>
      <c r="Q90" s="2018"/>
      <c r="R90" s="2018"/>
      <c r="S90" s="2018"/>
      <c r="T90" s="2018"/>
      <c r="U90" s="2018"/>
      <c r="V90" s="2018"/>
      <c r="W90" s="2022"/>
      <c r="X90" s="2022"/>
      <c r="Y90" s="2022"/>
      <c r="Z90" s="2022"/>
    </row>
    <row r="91" spans="1:26" s="1310" customFormat="1" ht="14.25">
      <c r="A91" s="381" t="s">
        <v>1829</v>
      </c>
      <c r="B91" s="348" t="s">
        <v>440</v>
      </c>
      <c r="C91" s="385">
        <f ca="1">C92+C96</f>
        <v>2841</v>
      </c>
      <c r="D91" s="378" t="s">
        <v>19</v>
      </c>
      <c r="E91" s="991"/>
      <c r="F91" s="990"/>
      <c r="G91" s="990"/>
      <c r="H91" s="394"/>
      <c r="I91" s="1312"/>
      <c r="J91" s="2023"/>
      <c r="K91" s="2018"/>
      <c r="L91" s="2018"/>
      <c r="M91" s="2018"/>
      <c r="N91" s="2018"/>
      <c r="O91" s="2018"/>
      <c r="P91" s="2018"/>
      <c r="Q91" s="2018"/>
      <c r="R91" s="2018"/>
      <c r="S91" s="2018"/>
      <c r="T91" s="2018"/>
      <c r="U91" s="2018"/>
      <c r="V91" s="2018"/>
      <c r="W91" s="2022"/>
      <c r="X91" s="2022"/>
      <c r="Y91" s="2022"/>
      <c r="Z91" s="2022"/>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3"/>
      <c r="K92" s="2018"/>
      <c r="L92" s="2018"/>
      <c r="M92" s="2018"/>
      <c r="N92" s="2018"/>
      <c r="O92" s="2018"/>
      <c r="P92" s="2018"/>
      <c r="Q92" s="2018"/>
      <c r="R92" s="2018"/>
      <c r="S92" s="2018"/>
      <c r="T92" s="2018"/>
      <c r="U92" s="2018"/>
      <c r="V92" s="2018"/>
      <c r="W92" s="2022"/>
      <c r="X92" s="2022"/>
      <c r="Y92" s="2022"/>
      <c r="Z92" s="2022"/>
    </row>
    <row r="93" spans="1:26" s="1310" customFormat="1" ht="14.25">
      <c r="A93" s="395" t="s">
        <v>1831</v>
      </c>
      <c r="B93" s="376" t="s">
        <v>442</v>
      </c>
      <c r="C93" s="396">
        <v>2000</v>
      </c>
      <c r="D93" s="378" t="s">
        <v>19</v>
      </c>
      <c r="E93" s="397" t="s">
        <v>443</v>
      </c>
      <c r="F93" s="398" t="s">
        <v>444</v>
      </c>
      <c r="G93" s="397" t="s">
        <v>445</v>
      </c>
      <c r="H93" s="399">
        <v>5</v>
      </c>
      <c r="I93" s="11"/>
      <c r="J93" s="2018"/>
      <c r="K93" s="2018"/>
      <c r="L93" s="2018"/>
      <c r="M93" s="2018"/>
      <c r="N93" s="2018"/>
      <c r="O93" s="2018"/>
      <c r="P93" s="2018"/>
      <c r="Q93" s="2018"/>
      <c r="R93" s="2018"/>
      <c r="S93" s="2018"/>
      <c r="T93" s="2018"/>
      <c r="U93" s="2018"/>
      <c r="V93" s="2018"/>
      <c r="W93" s="2022"/>
      <c r="X93" s="2022"/>
      <c r="Y93" s="2022"/>
      <c r="Z93" s="2022"/>
    </row>
    <row r="94" spans="1:26" s="1310" customFormat="1" ht="24.75" customHeight="1">
      <c r="A94" s="395" t="s">
        <v>1832</v>
      </c>
      <c r="B94" s="400" t="s">
        <v>446</v>
      </c>
      <c r="C94" s="378">
        <f>IF(F93="购房发票",ROUND(C93*H93*5%,0),0)</f>
        <v>500</v>
      </c>
      <c r="D94" s="401">
        <v>0.05</v>
      </c>
      <c r="E94" s="3348" t="s">
        <v>447</v>
      </c>
      <c r="F94" s="3347"/>
      <c r="G94" s="3347"/>
      <c r="H94" s="3384"/>
      <c r="I94" s="1312"/>
      <c r="J94" s="2023"/>
      <c r="K94" s="2018"/>
      <c r="L94" s="2018"/>
      <c r="M94" s="2018"/>
      <c r="N94" s="2018"/>
      <c r="O94" s="2018"/>
      <c r="P94" s="2018"/>
      <c r="Q94" s="2018"/>
      <c r="R94" s="2018"/>
      <c r="S94" s="2018"/>
      <c r="T94" s="2018"/>
      <c r="U94" s="2018"/>
      <c r="V94" s="2018"/>
      <c r="W94" s="2022"/>
      <c r="X94" s="2022"/>
      <c r="Y94" s="2022"/>
      <c r="Z94" s="2022"/>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9" t="str">
        <f>IF(G95="个人买卖住房","免征印花税"," ")</f>
        <v xml:space="preserve"> </v>
      </c>
      <c r="I95" s="1312"/>
      <c r="J95" s="2023"/>
      <c r="K95" s="2018"/>
      <c r="L95" s="2018"/>
      <c r="M95" s="2018"/>
      <c r="N95" s="2018"/>
      <c r="O95" s="2018"/>
      <c r="P95" s="2018"/>
      <c r="Q95" s="2018"/>
      <c r="R95" s="2018"/>
      <c r="S95" s="2018"/>
      <c r="T95" s="2018"/>
      <c r="U95" s="2018"/>
      <c r="V95" s="2018"/>
      <c r="W95" s="2022"/>
      <c r="X95" s="2022"/>
      <c r="Y95" s="2022"/>
      <c r="Z95" s="2022"/>
    </row>
    <row r="96" spans="1:26" s="1310" customFormat="1" ht="24.75" customHeight="1">
      <c r="A96" s="395" t="s">
        <v>1834</v>
      </c>
      <c r="B96" s="376" t="s">
        <v>450</v>
      </c>
      <c r="C96" s="405">
        <f ca="1">ROUND(D63*D96/(1+'数据-取费表'!C42),0)</f>
        <v>280</v>
      </c>
      <c r="D96" s="406">
        <f>'数据-取费表'!B43</f>
        <v>6.5000000000000006E-3</v>
      </c>
      <c r="E96" s="3376" t="s">
        <v>2427</v>
      </c>
      <c r="F96" s="3377"/>
      <c r="G96" s="3377"/>
      <c r="H96" s="3378"/>
      <c r="I96" s="1313"/>
      <c r="J96" s="2024"/>
      <c r="K96" s="2018"/>
      <c r="L96" s="2018"/>
      <c r="M96" s="2018"/>
      <c r="N96" s="2018"/>
      <c r="O96" s="2018"/>
      <c r="P96" s="2018"/>
      <c r="Q96" s="2018"/>
      <c r="R96" s="2018"/>
      <c r="S96" s="2018"/>
      <c r="T96" s="2018"/>
      <c r="U96" s="2018"/>
      <c r="V96" s="2018"/>
      <c r="W96" s="2022"/>
      <c r="X96" s="2022"/>
      <c r="Y96" s="2022"/>
      <c r="Z96" s="2022"/>
    </row>
    <row r="97" spans="1:26" s="1310" customFormat="1" ht="14.25">
      <c r="A97" s="1602" t="s">
        <v>1835</v>
      </c>
      <c r="B97" s="382" t="s">
        <v>451</v>
      </c>
      <c r="C97" s="385">
        <f ca="1">C90-C91</f>
        <v>40203</v>
      </c>
      <c r="D97" s="378" t="s">
        <v>19</v>
      </c>
      <c r="E97" s="991"/>
      <c r="F97" s="990"/>
      <c r="G97" s="990"/>
      <c r="H97" s="394"/>
      <c r="I97" s="1312"/>
      <c r="J97" s="2023"/>
      <c r="K97" s="2018"/>
      <c r="L97" s="2018"/>
      <c r="M97" s="2018"/>
      <c r="N97" s="2018"/>
      <c r="O97" s="2018"/>
      <c r="P97" s="2018"/>
      <c r="Q97" s="2018"/>
      <c r="R97" s="2018"/>
      <c r="S97" s="2018"/>
      <c r="T97" s="2018"/>
      <c r="U97" s="2018"/>
      <c r="V97" s="2018"/>
      <c r="W97" s="2022"/>
      <c r="X97" s="2022"/>
      <c r="Y97" s="2022"/>
      <c r="Z97" s="2022"/>
    </row>
    <row r="98" spans="1:26" s="1310" customFormat="1" ht="24">
      <c r="A98" s="1602" t="s">
        <v>1836</v>
      </c>
      <c r="B98" s="382" t="s">
        <v>452</v>
      </c>
      <c r="C98" s="407">
        <f ca="1">IF(C97&lt;=0,0,C97/C91)</f>
        <v>14.151003167898628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3"/>
      <c r="K98" s="2018"/>
      <c r="L98" s="2018"/>
      <c r="M98" s="2018"/>
      <c r="N98" s="2018"/>
      <c r="O98" s="2018"/>
      <c r="P98" s="2018"/>
      <c r="Q98" s="2018"/>
      <c r="R98" s="2018"/>
      <c r="S98" s="2018"/>
      <c r="T98" s="2018"/>
      <c r="U98" s="2018"/>
      <c r="V98" s="2018"/>
      <c r="W98" s="2022"/>
      <c r="X98" s="2022"/>
      <c r="Y98" s="2022"/>
      <c r="Z98" s="2022"/>
    </row>
    <row r="99" spans="1:26" s="1310" customFormat="1" ht="24.75" thickBot="1">
      <c r="A99" s="1603" t="s">
        <v>1837</v>
      </c>
      <c r="B99" s="387" t="s">
        <v>453</v>
      </c>
      <c r="C99" s="408">
        <f ca="1">ROUND(IF(C97&lt;=0,0,IF(C98&gt;=200%,C97*60%-C91*35%,IF(C98&gt;=100%,C97*50%-C91*15%,IF(C98&gt;=50%,C97*40%-C91*5%,IF(C98&lt;50%,C97*30%,0))))),0)</f>
        <v>23127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3"/>
      <c r="K99" s="2018"/>
      <c r="L99" s="2018"/>
      <c r="M99" s="2018"/>
      <c r="N99" s="2018"/>
      <c r="O99" s="2018"/>
      <c r="P99" s="2018"/>
      <c r="Q99" s="2018"/>
      <c r="R99" s="2018"/>
      <c r="S99" s="2018"/>
      <c r="T99" s="2018"/>
      <c r="U99" s="2018"/>
      <c r="V99" s="2018"/>
      <c r="W99" s="2022"/>
      <c r="X99" s="2022"/>
      <c r="Y99" s="2022"/>
      <c r="Z99" s="2022"/>
    </row>
    <row r="100" spans="1:26" s="1310" customFormat="1" ht="7.5" customHeight="1">
      <c r="A100" s="1314"/>
      <c r="B100" s="1315"/>
      <c r="C100" s="11"/>
      <c r="D100" s="11"/>
      <c r="E100" s="1315"/>
      <c r="F100" s="1315"/>
      <c r="G100" s="1315"/>
      <c r="H100" s="1316"/>
      <c r="I100" s="1313"/>
      <c r="J100" s="2024"/>
      <c r="K100" s="2018"/>
      <c r="L100" s="2018"/>
      <c r="M100" s="2018"/>
      <c r="N100" s="2018"/>
      <c r="O100" s="2018"/>
      <c r="P100" s="2018"/>
      <c r="Q100" s="2018"/>
      <c r="R100" s="2018"/>
      <c r="S100" s="2018"/>
      <c r="T100" s="2018"/>
      <c r="U100" s="2018"/>
      <c r="V100" s="2018"/>
      <c r="W100" s="2022"/>
      <c r="X100" s="2022"/>
      <c r="Y100" s="2022"/>
      <c r="Z100" s="2022"/>
    </row>
    <row r="101" spans="1:26" s="1310" customFormat="1" ht="15" thickBot="1">
      <c r="A101" s="3387" t="s">
        <v>454</v>
      </c>
      <c r="B101" s="3388"/>
      <c r="C101" s="3388"/>
      <c r="D101" s="3388"/>
      <c r="E101" s="3388"/>
      <c r="F101" s="3388"/>
      <c r="G101" s="3388"/>
      <c r="H101" s="3388"/>
      <c r="I101" s="11"/>
      <c r="J101" s="2018"/>
      <c r="K101" s="2018"/>
      <c r="L101" s="2018"/>
      <c r="M101" s="2018"/>
      <c r="N101" s="2018"/>
      <c r="O101" s="2018"/>
      <c r="P101" s="2018"/>
      <c r="Q101" s="2018"/>
      <c r="R101" s="2018"/>
      <c r="S101" s="2018"/>
      <c r="T101" s="2018"/>
      <c r="U101" s="2018"/>
      <c r="V101" s="2018"/>
      <c r="W101" s="2022"/>
      <c r="X101" s="2022"/>
      <c r="Y101" s="2022"/>
      <c r="Z101" s="2022"/>
    </row>
    <row r="102" spans="1:26" s="1310" customFormat="1" ht="14.25">
      <c r="A102" s="3385" t="s">
        <v>428</v>
      </c>
      <c r="B102" s="3386"/>
      <c r="C102" s="994"/>
      <c r="D102" s="994" t="s">
        <v>429</v>
      </c>
      <c r="E102" s="391" t="s">
        <v>438</v>
      </c>
      <c r="F102" s="392"/>
      <c r="G102" s="392"/>
      <c r="H102" s="413"/>
      <c r="I102" s="11"/>
      <c r="J102" s="2018"/>
      <c r="K102" s="2018"/>
      <c r="L102" s="2018"/>
      <c r="M102" s="2018"/>
      <c r="N102" s="2018"/>
      <c r="O102" s="2018"/>
      <c r="P102" s="2018"/>
      <c r="Q102" s="2018"/>
      <c r="R102" s="2018"/>
      <c r="S102" s="2018"/>
      <c r="T102" s="2018"/>
      <c r="U102" s="2018"/>
      <c r="V102" s="2018"/>
      <c r="W102" s="2022"/>
      <c r="X102" s="2022"/>
      <c r="Y102" s="2022"/>
      <c r="Z102" s="2022"/>
    </row>
    <row r="103" spans="1:26" s="1310" customFormat="1" ht="14.25">
      <c r="A103" s="381" t="s">
        <v>1823</v>
      </c>
      <c r="B103" s="382" t="s">
        <v>439</v>
      </c>
      <c r="C103" s="385">
        <f ca="1">ROUND(D63/(1+'数据-取费表'!C42),0)</f>
        <v>43044</v>
      </c>
      <c r="D103" s="378" t="s">
        <v>19</v>
      </c>
      <c r="E103" s="991"/>
      <c r="F103" s="990"/>
      <c r="G103" s="990"/>
      <c r="H103" s="414"/>
      <c r="I103" s="11"/>
      <c r="J103" s="2018"/>
      <c r="K103" s="2018"/>
      <c r="L103" s="2018"/>
      <c r="M103" s="2018"/>
      <c r="N103" s="2018"/>
      <c r="O103" s="2018"/>
      <c r="P103" s="2018"/>
      <c r="Q103" s="2018"/>
      <c r="R103" s="2018"/>
      <c r="S103" s="2018"/>
      <c r="T103" s="2018"/>
      <c r="U103" s="2018"/>
      <c r="V103" s="2018"/>
      <c r="W103" s="2022"/>
      <c r="X103" s="2022"/>
      <c r="Y103" s="2022"/>
      <c r="Z103" s="2022"/>
    </row>
    <row r="104" spans="1:26" s="1310" customFormat="1" ht="14.25">
      <c r="A104" s="381" t="s">
        <v>1829</v>
      </c>
      <c r="B104" s="348" t="s">
        <v>440</v>
      </c>
      <c r="C104" s="385">
        <f ca="1">IF(H106="仅含出让金",C105+C108+C109+C110+C111+C112,C105+C109+C110+C111+C112)</f>
        <v>7914.8602460000002</v>
      </c>
      <c r="D104" s="415"/>
      <c r="E104" s="991"/>
      <c r="F104" s="990"/>
      <c r="G104" s="990"/>
      <c r="H104" s="414"/>
      <c r="I104" s="11"/>
      <c r="J104" s="2018"/>
      <c r="K104" s="2018"/>
      <c r="L104" s="2018"/>
      <c r="M104" s="2018"/>
      <c r="N104" s="2018"/>
      <c r="O104" s="2018"/>
      <c r="P104" s="2018"/>
      <c r="Q104" s="2018"/>
      <c r="R104" s="2018"/>
      <c r="S104" s="2018"/>
      <c r="T104" s="2018"/>
      <c r="U104" s="2018"/>
      <c r="V104" s="2018"/>
      <c r="W104" s="2022"/>
      <c r="X104" s="2022"/>
      <c r="Y104" s="2022"/>
      <c r="Z104" s="2022"/>
    </row>
    <row r="105" spans="1:26" s="1310" customFormat="1" ht="14.25">
      <c r="A105" s="395" t="s">
        <v>1830</v>
      </c>
      <c r="B105" s="376" t="s">
        <v>455</v>
      </c>
      <c r="C105" s="405">
        <f>C106+C107</f>
        <v>6940.8602460000002</v>
      </c>
      <c r="D105" s="406"/>
      <c r="E105" s="985"/>
      <c r="F105" s="986"/>
      <c r="G105" s="986"/>
      <c r="H105" s="987"/>
      <c r="I105" s="11"/>
      <c r="J105" s="2018"/>
      <c r="K105" s="2018"/>
      <c r="L105" s="2018"/>
      <c r="M105" s="2018"/>
      <c r="N105" s="2018"/>
      <c r="O105" s="2018"/>
      <c r="P105" s="2018"/>
      <c r="Q105" s="2018"/>
      <c r="R105" s="2018"/>
      <c r="S105" s="2018"/>
      <c r="T105" s="2018"/>
      <c r="U105" s="2018"/>
      <c r="V105" s="2018"/>
      <c r="W105" s="2022"/>
      <c r="X105" s="2022"/>
      <c r="Y105" s="2022"/>
      <c r="Z105" s="2022"/>
    </row>
    <row r="106" spans="1:26" s="1310" customFormat="1" ht="14.25">
      <c r="A106" s="395" t="s">
        <v>1831</v>
      </c>
      <c r="B106" s="376" t="s">
        <v>456</v>
      </c>
      <c r="C106" s="416">
        <f>基本情况表!K3</f>
        <v>6735.8602460000002</v>
      </c>
      <c r="D106" s="406"/>
      <c r="E106" s="417" t="s">
        <v>457</v>
      </c>
      <c r="F106" s="986"/>
      <c r="G106" s="418" t="s">
        <v>458</v>
      </c>
      <c r="H106" s="419" t="s">
        <v>3351</v>
      </c>
      <c r="I106" s="11"/>
      <c r="J106" s="2018"/>
      <c r="K106" s="2018"/>
      <c r="L106" s="2018"/>
      <c r="M106" s="2018"/>
      <c r="N106" s="2018"/>
      <c r="O106" s="2018"/>
      <c r="P106" s="2018"/>
      <c r="Q106" s="2018"/>
      <c r="R106" s="2018"/>
      <c r="S106" s="2018"/>
      <c r="T106" s="2018"/>
      <c r="U106" s="2018"/>
      <c r="V106" s="2018"/>
      <c r="W106" s="2022"/>
      <c r="X106" s="2022"/>
      <c r="Y106" s="2022"/>
      <c r="Z106" s="2022"/>
    </row>
    <row r="107" spans="1:26" s="1310" customFormat="1" ht="14.25">
      <c r="A107" s="395" t="s">
        <v>1832</v>
      </c>
      <c r="B107" s="376" t="s">
        <v>448</v>
      </c>
      <c r="C107" s="405">
        <f>ROUND(C106*D107,0)</f>
        <v>205</v>
      </c>
      <c r="D107" s="406">
        <f>'数据-取费表'!B48+'数据-取费表'!B49</f>
        <v>3.0499999999999999E-2</v>
      </c>
      <c r="E107" s="417" t="s">
        <v>459</v>
      </c>
      <c r="F107" s="986"/>
      <c r="G107" s="986"/>
      <c r="H107" s="987"/>
      <c r="I107" s="11"/>
      <c r="J107" s="2018"/>
      <c r="K107" s="2018"/>
      <c r="L107" s="2018"/>
      <c r="M107" s="2018"/>
      <c r="N107" s="2018"/>
      <c r="O107" s="2018"/>
      <c r="P107" s="2018"/>
      <c r="Q107" s="2018"/>
      <c r="R107" s="2018"/>
      <c r="S107" s="2018"/>
      <c r="T107" s="2018"/>
      <c r="U107" s="2018"/>
      <c r="V107" s="2018"/>
      <c r="W107" s="2022"/>
      <c r="X107" s="2022"/>
      <c r="Y107" s="2022"/>
      <c r="Z107" s="2022"/>
    </row>
    <row r="108" spans="1:26" s="1310" customFormat="1" ht="14.25">
      <c r="A108" s="395" t="s">
        <v>1834</v>
      </c>
      <c r="B108" s="376" t="s">
        <v>460</v>
      </c>
      <c r="C108" s="416"/>
      <c r="D108" s="406"/>
      <c r="E108" s="417" t="str">
        <f>IF(H106="-","土地取得成本中已包含该笔费用"," ")</f>
        <v xml:space="preserve"> </v>
      </c>
      <c r="F108" s="986"/>
      <c r="G108" s="986"/>
      <c r="H108" s="987"/>
      <c r="I108" s="11"/>
      <c r="J108" s="2018"/>
      <c r="K108" s="2018"/>
      <c r="L108" s="2018"/>
      <c r="M108" s="2018"/>
      <c r="N108" s="2018"/>
      <c r="O108" s="2018"/>
      <c r="P108" s="2018"/>
      <c r="Q108" s="2018"/>
      <c r="R108" s="2018"/>
      <c r="S108" s="2018"/>
      <c r="T108" s="2018"/>
      <c r="U108" s="2018"/>
      <c r="V108" s="2018"/>
      <c r="W108" s="2022"/>
      <c r="X108" s="2022"/>
      <c r="Y108" s="2022"/>
      <c r="Z108" s="2022"/>
    </row>
    <row r="109" spans="1:26" s="1310" customFormat="1" ht="24" customHeight="1">
      <c r="A109" s="1604" t="s">
        <v>1838</v>
      </c>
      <c r="B109" s="376" t="s">
        <v>461</v>
      </c>
      <c r="C109" s="405">
        <f>IF(H109="——",IF(F1="现房",'剩余法-现房'!C18,'剩余法-待开发'!C18),I109)</f>
        <v>0</v>
      </c>
      <c r="D109" s="406"/>
      <c r="E109" s="3379" t="s">
        <v>462</v>
      </c>
      <c r="F109" s="3377"/>
      <c r="G109" s="3377"/>
      <c r="H109" s="1926" t="s">
        <v>2279</v>
      </c>
      <c r="I109" s="1927"/>
      <c r="J109" s="2018"/>
      <c r="K109" s="2018"/>
      <c r="L109" s="2018"/>
      <c r="M109" s="2018"/>
      <c r="N109" s="2018"/>
      <c r="O109" s="2018"/>
      <c r="P109" s="2018"/>
      <c r="Q109" s="2018"/>
      <c r="R109" s="2018"/>
      <c r="S109" s="2018"/>
      <c r="T109" s="2018"/>
      <c r="U109" s="2018"/>
      <c r="V109" s="2018"/>
      <c r="W109" s="2022"/>
      <c r="X109" s="2022"/>
      <c r="Y109" s="2022"/>
      <c r="Z109" s="2022"/>
    </row>
    <row r="110" spans="1:26" s="1310" customFormat="1" ht="25.5" customHeight="1">
      <c r="A110" s="1604" t="s">
        <v>1839</v>
      </c>
      <c r="B110" s="376" t="s">
        <v>463</v>
      </c>
      <c r="C110" s="405">
        <f>ROUND((C105+C108+C109)*D110,0)</f>
        <v>694</v>
      </c>
      <c r="D110" s="406">
        <v>0.1</v>
      </c>
      <c r="E110" s="3379" t="s">
        <v>464</v>
      </c>
      <c r="F110" s="3377"/>
      <c r="G110" s="3377"/>
      <c r="H110" s="3378"/>
      <c r="I110" s="11"/>
      <c r="J110" s="2018"/>
      <c r="K110" s="2018"/>
      <c r="L110" s="2018"/>
      <c r="M110" s="2018"/>
      <c r="N110" s="2018"/>
      <c r="O110" s="2018"/>
      <c r="P110" s="2018"/>
      <c r="Q110" s="2018"/>
      <c r="R110" s="2018"/>
      <c r="S110" s="2018"/>
      <c r="T110" s="2018"/>
      <c r="U110" s="2018"/>
      <c r="V110" s="2018"/>
      <c r="W110" s="2022"/>
      <c r="X110" s="2022"/>
      <c r="Y110" s="2022"/>
      <c r="Z110" s="2022"/>
    </row>
    <row r="111" spans="1:26" s="1310" customFormat="1" ht="25.5" customHeight="1">
      <c r="A111" s="1604" t="s">
        <v>1840</v>
      </c>
      <c r="B111" s="376" t="s">
        <v>450</v>
      </c>
      <c r="C111" s="405">
        <f ca="1">ROUND(D63*D111/(1+'数据-取费表'!C42),0)</f>
        <v>280</v>
      </c>
      <c r="D111" s="406">
        <f>'数据-取费表'!B43</f>
        <v>6.5000000000000006E-3</v>
      </c>
      <c r="E111" s="3376" t="s">
        <v>2427</v>
      </c>
      <c r="F111" s="3377"/>
      <c r="G111" s="3377"/>
      <c r="H111" s="3378"/>
      <c r="I111" s="11"/>
      <c r="J111" s="2018"/>
      <c r="K111" s="2018"/>
      <c r="L111" s="2018"/>
      <c r="M111" s="2018"/>
      <c r="N111" s="2018"/>
      <c r="O111" s="2018"/>
      <c r="P111" s="2018"/>
      <c r="Q111" s="2018"/>
      <c r="R111" s="2018"/>
      <c r="S111" s="2018"/>
      <c r="T111" s="2018"/>
      <c r="U111" s="2018"/>
      <c r="V111" s="2018"/>
      <c r="W111" s="2022"/>
      <c r="X111" s="2022"/>
      <c r="Y111" s="2022"/>
      <c r="Z111" s="2022"/>
    </row>
    <row r="112" spans="1:26" s="1310" customFormat="1" ht="25.5" customHeight="1">
      <c r="A112" s="1604" t="s">
        <v>1841</v>
      </c>
      <c r="B112" s="376" t="s">
        <v>465</v>
      </c>
      <c r="C112" s="405">
        <f>ROUND(C108*D112,0)</f>
        <v>0</v>
      </c>
      <c r="D112" s="406">
        <v>0.2</v>
      </c>
      <c r="E112" s="3379" t="s">
        <v>2451</v>
      </c>
      <c r="F112" s="3377"/>
      <c r="G112" s="3377"/>
      <c r="H112" s="3378"/>
      <c r="I112" s="11"/>
      <c r="J112" s="2018"/>
      <c r="K112" s="2018"/>
      <c r="L112" s="2018"/>
      <c r="M112" s="2018"/>
      <c r="N112" s="2018"/>
      <c r="O112" s="2018"/>
      <c r="P112" s="2018"/>
      <c r="Q112" s="2018"/>
      <c r="R112" s="2018"/>
      <c r="S112" s="2018"/>
      <c r="T112" s="2018"/>
      <c r="U112" s="2018"/>
      <c r="V112" s="2018"/>
      <c r="W112" s="2022"/>
      <c r="X112" s="2022"/>
      <c r="Y112" s="2022"/>
      <c r="Z112" s="2022"/>
    </row>
    <row r="113" spans="1:26" s="1310" customFormat="1" ht="14.25">
      <c r="A113" s="1602" t="s">
        <v>1835</v>
      </c>
      <c r="B113" s="382" t="s">
        <v>451</v>
      </c>
      <c r="C113" s="385">
        <f ca="1">ROUND(C103-C104,0)</f>
        <v>35129</v>
      </c>
      <c r="D113" s="378" t="s">
        <v>19</v>
      </c>
      <c r="E113" s="991"/>
      <c r="F113" s="990"/>
      <c r="G113" s="990"/>
      <c r="H113" s="414"/>
      <c r="I113" s="11"/>
      <c r="J113" s="2018"/>
      <c r="K113" s="2018"/>
      <c r="L113" s="2018"/>
      <c r="M113" s="2018"/>
      <c r="N113" s="2018"/>
      <c r="O113" s="2018"/>
      <c r="P113" s="2018"/>
      <c r="Q113" s="2018"/>
      <c r="R113" s="2018"/>
      <c r="S113" s="2018"/>
      <c r="T113" s="2018"/>
      <c r="U113" s="2018"/>
      <c r="V113" s="2018"/>
      <c r="W113" s="2022"/>
      <c r="X113" s="2022"/>
      <c r="Y113" s="2022"/>
      <c r="Z113" s="2022"/>
    </row>
    <row r="114" spans="1:26" s="1310" customFormat="1" ht="24">
      <c r="A114" s="1602" t="s">
        <v>1836</v>
      </c>
      <c r="B114" s="382" t="s">
        <v>452</v>
      </c>
      <c r="C114" s="407">
        <f ca="1">IF(C113&lt;=0,0,C113/C104)</f>
        <v>4.4383601110017628</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8"/>
      <c r="K114" s="2018"/>
      <c r="L114" s="2018"/>
      <c r="M114" s="2018"/>
      <c r="N114" s="2018"/>
      <c r="O114" s="2018"/>
      <c r="P114" s="2018"/>
      <c r="Q114" s="2018"/>
      <c r="R114" s="2018"/>
      <c r="S114" s="2018"/>
      <c r="T114" s="2018"/>
      <c r="U114" s="2018"/>
      <c r="V114" s="2018"/>
      <c r="W114" s="2022"/>
      <c r="X114" s="2022"/>
      <c r="Y114" s="2022"/>
      <c r="Z114" s="2022"/>
    </row>
    <row r="115" spans="1:26" s="1310" customFormat="1" ht="24.75" thickBot="1">
      <c r="A115" s="1603" t="s">
        <v>1837</v>
      </c>
      <c r="B115" s="387" t="s">
        <v>453</v>
      </c>
      <c r="C115" s="408">
        <f ca="1">ROUND(IF(C113&lt;=0,0,IF(C114&gt;=200%,C113*60%-C104*35%,IF(C114&gt;=100%,C113*50%-C104*15%,IF(C114&gt;=50%,C113*40%-C104*5%,IF(C114&lt;50%,C113*30%,0))))),0)</f>
        <v>18307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7" customFormat="1" ht="21.75" customHeight="1">
      <c r="K185" s="2026"/>
      <c r="L185" s="2026"/>
      <c r="M185" s="2026"/>
      <c r="N185" s="2026"/>
      <c r="O185" s="202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9" sqref="C9"/>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31" s="2026" customFormat="1" ht="20.25">
      <c r="A1" s="2088" t="s">
        <v>466</v>
      </c>
      <c r="B1" s="2764"/>
      <c r="C1" s="2089"/>
      <c r="D1" s="2089"/>
      <c r="E1" s="2089"/>
      <c r="F1" s="2089"/>
      <c r="G1" s="2089"/>
      <c r="H1" s="2089"/>
      <c r="I1" s="2089"/>
      <c r="J1" s="2089"/>
      <c r="K1" s="422">
        <f>MATCH(B1,'数据-取费表'!A6:A16,0)+5</f>
        <v>9</v>
      </c>
    </row>
    <row r="2" spans="1:31" s="2026" customFormat="1" ht="18" customHeight="1">
      <c r="A2" s="2086" t="s">
        <v>467</v>
      </c>
      <c r="B2" s="2090">
        <f ca="1">C36</f>
        <v>64488</v>
      </c>
      <c r="C2" s="2089"/>
      <c r="D2" s="2089"/>
      <c r="E2" s="2089"/>
      <c r="F2" s="2089"/>
      <c r="G2" s="2089"/>
      <c r="H2" s="2089"/>
      <c r="I2" s="2089"/>
      <c r="J2" s="2089"/>
      <c r="K2" s="2089"/>
    </row>
    <row r="3" spans="1:31" s="2026" customFormat="1" ht="18" customHeight="1">
      <c r="A3" s="2091" t="s">
        <v>1684</v>
      </c>
      <c r="B3" s="2092">
        <f ca="1">ROUND(B2*10000/IF(B1="",'数据-汇总表'!E3,INDIRECT("'数据-取费表'!K"&amp;$K$1)),0)</f>
        <v>8116</v>
      </c>
      <c r="C3" s="2089"/>
      <c r="D3" s="2089"/>
      <c r="E3" s="2089"/>
      <c r="F3" s="2089"/>
      <c r="G3" s="2089"/>
      <c r="H3" s="2089"/>
      <c r="I3" s="2089"/>
      <c r="J3" s="2089"/>
      <c r="K3" s="2089"/>
    </row>
    <row r="4" spans="1:31" s="2026" customFormat="1" ht="18" customHeight="1">
      <c r="A4" s="426" t="s">
        <v>468</v>
      </c>
      <c r="B4" s="427">
        <f ca="1">ROUND(B2*10000/IF(B1="",'数据-汇总表'!D3,INDIRECT("'数据-取费表'!R"&amp;$K$1)),0)</f>
        <v>20289</v>
      </c>
      <c r="C4" s="428"/>
      <c r="D4" s="422"/>
      <c r="E4" s="422"/>
      <c r="F4" s="422"/>
      <c r="G4" s="422"/>
      <c r="H4" s="422"/>
      <c r="I4" s="422"/>
      <c r="J4" s="422"/>
      <c r="K4" s="422"/>
    </row>
    <row r="5" spans="1:31" s="2026" customFormat="1" ht="18" customHeight="1" thickBot="1">
      <c r="A5" s="429"/>
      <c r="B5" s="430">
        <f ca="1">ROUND(B2/(IF(B1="",'数据-汇总表'!D3,INDIRECT("'数据-取费表'!R"&amp;$K$1))/666.67),0)</f>
        <v>1353</v>
      </c>
      <c r="C5" s="431" t="s">
        <v>469</v>
      </c>
      <c r="D5" s="422"/>
      <c r="E5" s="422"/>
      <c r="F5" s="422"/>
      <c r="G5" s="422"/>
      <c r="H5" s="422"/>
      <c r="I5" s="422"/>
      <c r="J5" s="422"/>
      <c r="K5" s="422"/>
    </row>
    <row r="6" spans="1:31" s="2096" customFormat="1" ht="16.5" customHeight="1">
      <c r="A6" s="2783" t="s">
        <v>1842</v>
      </c>
      <c r="B6" s="2784"/>
      <c r="C6" s="2785">
        <f ca="1">SUM(C10:K10)</f>
        <v>148652</v>
      </c>
      <c r="D6" s="2784"/>
      <c r="E6" s="2784"/>
      <c r="F6" s="2784"/>
      <c r="G6" s="2784"/>
      <c r="H6" s="2784"/>
      <c r="I6" s="2784"/>
      <c r="J6" s="2784"/>
      <c r="K6" s="2786"/>
    </row>
    <row r="7" spans="1:31" s="2098" customFormat="1" ht="15">
      <c r="A7" s="2787" t="s">
        <v>470</v>
      </c>
      <c r="B7" s="2788" t="s">
        <v>471</v>
      </c>
      <c r="C7" s="436" t="s">
        <v>3165</v>
      </c>
      <c r="D7" s="436" t="s">
        <v>2996</v>
      </c>
      <c r="E7" s="436" t="s">
        <v>923</v>
      </c>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3" t="s">
        <v>1845</v>
      </c>
      <c r="B8" s="261" t="s">
        <v>472</v>
      </c>
      <c r="C8" s="2789">
        <f>'不动产比较法-loft公寓'!B3</f>
        <v>20745</v>
      </c>
      <c r="D8" s="2789">
        <f ca="1">不动产收益法!B3</f>
        <v>24275</v>
      </c>
      <c r="E8" s="2789">
        <f>'不动产比较法-住宅'!B3</f>
        <v>14019</v>
      </c>
      <c r="F8" s="2789"/>
      <c r="G8" s="2789"/>
      <c r="H8" s="2789"/>
      <c r="I8" s="2789"/>
      <c r="J8" s="2789"/>
      <c r="K8" s="2790"/>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3" t="s">
        <v>1846</v>
      </c>
      <c r="B9" s="261" t="s">
        <v>473</v>
      </c>
      <c r="C9" s="441">
        <f>SUMIF('数据-汇总表'!$C19:$C33,'剩余法-待开发'!C7,'数据-汇总表'!$E19:$E33)</f>
        <v>52440.110000000008</v>
      </c>
      <c r="D9" s="441">
        <f>SUMIF('数据-汇总表'!$C19:$C33,'剩余法-待开发'!D7,'数据-汇总表'!$E19:$E33)</f>
        <v>2760.01</v>
      </c>
      <c r="E9" s="441">
        <f>SUMIF('数据-汇总表'!$C19:$C33,'剩余法-待开发'!E7,'数据-汇总表'!$E19:$E33)</f>
        <v>23657.200000000001</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1847</v>
      </c>
      <c r="B10" s="2777" t="s">
        <v>474</v>
      </c>
      <c r="C10" s="2977">
        <f>'不动产比较法-loft公寓'!B2</f>
        <v>108787</v>
      </c>
      <c r="D10" s="2977">
        <f ca="1">不动产收益法!B2</f>
        <v>6700</v>
      </c>
      <c r="E10" s="2977">
        <f>'不动产比较法-住宅'!B2</f>
        <v>33165</v>
      </c>
      <c r="F10" s="2792"/>
      <c r="G10" s="2792"/>
      <c r="H10" s="2792"/>
      <c r="I10" s="2792"/>
      <c r="J10" s="2792"/>
      <c r="K10" s="2793"/>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1843</v>
      </c>
      <c r="B11" s="2784"/>
      <c r="C11" s="2784"/>
      <c r="D11" s="2784"/>
      <c r="E11" s="2784"/>
      <c r="F11" s="2784"/>
      <c r="G11" s="2784"/>
      <c r="H11" s="2784"/>
      <c r="I11" s="2784"/>
      <c r="J11" s="2784"/>
      <c r="K11" s="2786"/>
    </row>
    <row r="12" spans="1:31" s="2070" customFormat="1" ht="13.5" customHeight="1">
      <c r="A12" s="2795" t="s">
        <v>470</v>
      </c>
      <c r="B12" s="2767" t="s">
        <v>471</v>
      </c>
      <c r="C12" s="2796" t="s">
        <v>475</v>
      </c>
      <c r="D12" s="2763" t="s">
        <v>476</v>
      </c>
      <c r="E12" s="2763" t="s">
        <v>477</v>
      </c>
      <c r="F12" s="2763" t="s">
        <v>478</v>
      </c>
      <c r="G12" s="2767"/>
      <c r="H12" s="2768"/>
      <c r="I12" s="2768"/>
      <c r="J12" s="2768"/>
      <c r="K12" s="2769"/>
    </row>
    <row r="13" spans="1:31" s="2101" customFormat="1" ht="13.5" customHeight="1">
      <c r="A13" s="2797" t="s">
        <v>1848</v>
      </c>
      <c r="B13" s="2798" t="s">
        <v>479</v>
      </c>
      <c r="C13" s="450">
        <f ca="1">IF(B1="",'数据-取费表'!P16,INDIRECT("'数据-取费表'!p"&amp;$K$1)+INDIRECT("'数据-取费表'!t"&amp;$K$1))</f>
        <v>34857</v>
      </c>
      <c r="D13" s="2799"/>
      <c r="E13" s="2800"/>
      <c r="F13" s="2801"/>
      <c r="G13" s="2767"/>
      <c r="H13" s="2768"/>
      <c r="I13" s="2768"/>
      <c r="J13" s="2768"/>
      <c r="K13" s="2769"/>
    </row>
    <row r="14" spans="1:31" s="2101" customFormat="1" ht="13.5" customHeight="1">
      <c r="A14" s="2797" t="s">
        <v>1849</v>
      </c>
      <c r="B14" s="2798" t="s">
        <v>480</v>
      </c>
      <c r="C14" s="53">
        <f ca="1">ROUND(C13*F14,0)</f>
        <v>1046</v>
      </c>
      <c r="D14" s="2799"/>
      <c r="E14" s="2800"/>
      <c r="F14" s="2802">
        <f>'数据-取费表'!B33</f>
        <v>0.03</v>
      </c>
      <c r="G14" s="2767" t="s">
        <v>481</v>
      </c>
      <c r="H14" s="2768"/>
      <c r="I14" s="2768"/>
      <c r="J14" s="2768"/>
      <c r="K14" s="2769"/>
    </row>
    <row r="15" spans="1:31" s="2101" customFormat="1" ht="13.5" customHeight="1">
      <c r="A15" s="2797" t="s">
        <v>1850</v>
      </c>
      <c r="B15" s="2798" t="s">
        <v>482</v>
      </c>
      <c r="C15" s="53">
        <f ca="1">ROUND(IF(B1="",SUMIF('数据-取费表'!C:C,"住宅",'数据-取费表'!P:P)*F15,IF(INDIRECT("'数据-取费表'!c"&amp;$K$1)="住宅",INDIRECT("'数据-取费表'!P"&amp;$K$1)*F15,0)),0)</f>
        <v>284</v>
      </c>
      <c r="D15" s="2799"/>
      <c r="E15" s="2800"/>
      <c r="F15" s="2802">
        <f>'数据-取费表'!B34</f>
        <v>0.03</v>
      </c>
      <c r="G15" s="2767" t="s">
        <v>483</v>
      </c>
      <c r="H15" s="2768"/>
      <c r="I15" s="2768"/>
      <c r="J15" s="2768"/>
      <c r="K15" s="2769"/>
    </row>
    <row r="16" spans="1:31" s="2102" customFormat="1" ht="13.5" customHeight="1">
      <c r="A16" s="2797" t="s">
        <v>1851</v>
      </c>
      <c r="B16" s="2798" t="s">
        <v>484</v>
      </c>
      <c r="C16" s="53">
        <f ca="1">ROUND(D16*E16/10000,0)</f>
        <v>1589</v>
      </c>
      <c r="D16" s="2799">
        <f ca="1">IF(B1="",'数据-汇总表'!E3,INDIRECT("'数据-取费表'!K"&amp;$K$1)+INDIRECT("'数据-取费表'!S"&amp;$K$1))</f>
        <v>79462.3</v>
      </c>
      <c r="E16" s="53">
        <f>'数据-取费表'!B35</f>
        <v>200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1852</v>
      </c>
      <c r="B17" s="2798" t="s">
        <v>485</v>
      </c>
      <c r="C17" s="2803">
        <f ca="1">ROUND(C13*F17,0)</f>
        <v>523</v>
      </c>
      <c r="D17" s="475"/>
      <c r="E17" s="2803"/>
      <c r="F17" s="2804">
        <f>'数据-取费表'!B36</f>
        <v>1.4999999999999999E-2</v>
      </c>
      <c r="G17" s="261" t="s">
        <v>486</v>
      </c>
      <c r="H17" s="2770"/>
      <c r="I17" s="2770"/>
      <c r="J17" s="2770"/>
      <c r="K17" s="279"/>
    </row>
    <row r="18" spans="1:14" s="2101" customFormat="1" ht="13.5" customHeight="1">
      <c r="A18" s="2805" t="s">
        <v>1853</v>
      </c>
      <c r="B18" s="2806" t="s">
        <v>487</v>
      </c>
      <c r="C18" s="2807">
        <f ca="1">SUM(C13:C17)</f>
        <v>38299</v>
      </c>
      <c r="D18" s="2808"/>
      <c r="E18" s="468"/>
      <c r="F18" s="468"/>
      <c r="G18" s="2771" t="s">
        <v>2429</v>
      </c>
      <c r="H18" s="2772"/>
      <c r="I18" s="2772"/>
      <c r="J18" s="2772"/>
      <c r="K18" s="2773"/>
    </row>
    <row r="19" spans="1:14" s="2101" customFormat="1" ht="13.5" customHeight="1">
      <c r="A19" s="2805" t="s">
        <v>1854</v>
      </c>
      <c r="B19" s="2806" t="s">
        <v>488</v>
      </c>
      <c r="C19" s="2763">
        <f ca="1">ROUND(D19*E19/10000,0)</f>
        <v>795</v>
      </c>
      <c r="D19" s="2809">
        <f ca="1">D16</f>
        <v>79462.3</v>
      </c>
      <c r="E19" s="2763">
        <f>'数据-取费表'!B32</f>
        <v>100</v>
      </c>
      <c r="F19" s="468"/>
      <c r="G19" s="2767" t="s">
        <v>489</v>
      </c>
      <c r="H19" s="2768"/>
      <c r="I19" s="2772"/>
      <c r="J19" s="2772"/>
      <c r="K19" s="2773"/>
    </row>
    <row r="20" spans="1:14" s="2101" customFormat="1" ht="13.5" customHeight="1">
      <c r="A20" s="2805" t="s">
        <v>1855</v>
      </c>
      <c r="B20" s="2806" t="s">
        <v>490</v>
      </c>
      <c r="C20" s="2763">
        <f ca="1">C21+C22-IF(B1="",'数据-取费表'!B29,IF(G20="已全部缴纳",C21+C22,H20))</f>
        <v>1748</v>
      </c>
      <c r="D20" s="2809"/>
      <c r="E20" s="2763"/>
      <c r="F20" s="2810"/>
      <c r="G20" s="3036"/>
      <c r="H20" s="2765"/>
      <c r="I20" s="2766" t="s">
        <v>2648</v>
      </c>
      <c r="J20" s="2772"/>
      <c r="K20" s="2773"/>
    </row>
    <row r="21" spans="1:14" s="2101" customFormat="1" ht="13.5" customHeight="1">
      <c r="A21" s="2797" t="s">
        <v>1856</v>
      </c>
      <c r="B21" s="2798" t="s">
        <v>491</v>
      </c>
      <c r="C21" s="53">
        <f ca="1">ROUND(D21*E21/10000,0)</f>
        <v>520</v>
      </c>
      <c r="D21" s="2799">
        <f ca="1">IF(B1="",'数据-汇总表'!E5,IF(INDIRECT("'数据-取费表'!c"&amp;$K$1)="住宅",INDIRECT("'数据-取费表'!k"&amp;$K$1),0))</f>
        <v>23657.200000000001</v>
      </c>
      <c r="E21" s="53">
        <f>'数据-取费表'!B27</f>
        <v>220</v>
      </c>
      <c r="F21" s="2802"/>
      <c r="G21" s="26"/>
      <c r="H21" s="51"/>
      <c r="I21" s="51"/>
      <c r="J21" s="51"/>
      <c r="K21" s="2774"/>
    </row>
    <row r="22" spans="1:14" s="2101" customFormat="1" ht="13.5" customHeight="1">
      <c r="A22" s="2797" t="s">
        <v>1857</v>
      </c>
      <c r="B22" s="2798" t="s">
        <v>492</v>
      </c>
      <c r="C22" s="53">
        <f ca="1">ROUND(D22*E22/10000,0)</f>
        <v>1228</v>
      </c>
      <c r="D22" s="2799">
        <f ca="1">IF(B1="",'数据-汇总表'!E6,IF(INDIRECT("'数据-取费表'!c"&amp;$K$1)="住宅",INDIRECT("'数据-取费表'!s"&amp;$K$1),INDIRECT("'数据-取费表'!k"&amp;$K$1)+INDIRECT("'数据-取费表'!s"&amp;$K$1)))</f>
        <v>55805.100000000006</v>
      </c>
      <c r="E22" s="53">
        <f>'数据-取费表'!B28</f>
        <v>220</v>
      </c>
      <c r="F22" s="2802"/>
      <c r="G22" s="26"/>
      <c r="H22" s="51"/>
      <c r="I22" s="51"/>
      <c r="J22" s="51"/>
      <c r="K22" s="2774"/>
    </row>
    <row r="23" spans="1:14" s="2101" customFormat="1" ht="13.5" customHeight="1">
      <c r="A23" s="2805" t="s">
        <v>1858</v>
      </c>
      <c r="B23" s="2983" t="s">
        <v>2831</v>
      </c>
      <c r="C23" s="2807">
        <f ca="1">ROUND((C18+C19+C20)*F23,0)</f>
        <v>817</v>
      </c>
      <c r="D23" s="468"/>
      <c r="E23" s="468"/>
      <c r="F23" s="2811">
        <f>'数据-取费表'!B37</f>
        <v>0.02</v>
      </c>
      <c r="G23" s="2767" t="s">
        <v>2430</v>
      </c>
      <c r="H23" s="2768"/>
      <c r="I23" s="2768"/>
      <c r="J23" s="2768"/>
      <c r="K23" s="2769"/>
      <c r="L23" s="2103"/>
      <c r="M23" s="2103"/>
      <c r="N23" s="2103"/>
    </row>
    <row r="24" spans="1:14" s="2101" customFormat="1" ht="13.5" customHeight="1">
      <c r="A24" s="2805" t="s">
        <v>1859</v>
      </c>
      <c r="B24" s="2983" t="s">
        <v>2834</v>
      </c>
      <c r="C24" s="2807">
        <f ca="1">ROUND(C6*F24,0)</f>
        <v>2973</v>
      </c>
      <c r="D24" s="475"/>
      <c r="E24" s="473"/>
      <c r="F24" s="2811">
        <f>'数据-取费表'!B38</f>
        <v>0.02</v>
      </c>
      <c r="G24" s="2776" t="s">
        <v>499</v>
      </c>
      <c r="H24" s="2770"/>
      <c r="I24" s="2770"/>
      <c r="J24" s="2770"/>
      <c r="K24" s="279"/>
      <c r="L24" s="2103"/>
      <c r="M24" s="2103"/>
      <c r="N24" s="2103"/>
    </row>
    <row r="25" spans="1:14" s="2104" customFormat="1" ht="13.5" customHeight="1">
      <c r="A25" s="2805" t="s">
        <v>1860</v>
      </c>
      <c r="B25" s="2983" t="s">
        <v>2832</v>
      </c>
      <c r="C25" s="467">
        <f>ROUND(F25/(1+'数据-取费表'!C42),4)</f>
        <v>2.9000000000000001E-2</v>
      </c>
      <c r="D25" s="462" t="s">
        <v>2826</v>
      </c>
      <c r="E25" s="469"/>
      <c r="F25" s="2811">
        <f>IF(项目基本情况!B8="出让",0,'数据-取费表'!B48+'数据-取费表'!B49)</f>
        <v>3.0499999999999999E-2</v>
      </c>
      <c r="G25" s="2775" t="s">
        <v>2289</v>
      </c>
      <c r="H25" s="2768"/>
      <c r="I25" s="2768"/>
      <c r="J25" s="2768"/>
      <c r="K25" s="2769"/>
    </row>
    <row r="26" spans="1:14" s="2103" customFormat="1" ht="13.5" customHeight="1">
      <c r="A26" s="2805" t="s">
        <v>1861</v>
      </c>
      <c r="B26" s="2984" t="s">
        <v>2833</v>
      </c>
      <c r="C26" s="2812">
        <f ca="1">C28</f>
        <v>2120</v>
      </c>
      <c r="D26" s="467">
        <f ca="1">C27</f>
        <v>0.10009999999999999</v>
      </c>
      <c r="E26" s="469" t="s">
        <v>495</v>
      </c>
      <c r="F26" s="471">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3" t="s">
        <v>1856</v>
      </c>
      <c r="B27" s="2813" t="s">
        <v>496</v>
      </c>
      <c r="C27" s="2814">
        <f ca="1">ROUND(IF('数据-取费表'!B22&lt;=1,(1+C25)*F26*'数据-取费表'!B24,(1+C25)*(POWER((1+F26),'数据-取费表'!B24)-1)),4)</f>
        <v>0.10009999999999999</v>
      </c>
      <c r="D27" s="472"/>
      <c r="E27" s="473"/>
      <c r="F27" s="474"/>
      <c r="G27" s="2536" t="str">
        <f>IF('数据-取费表'!B22&lt;=1,"（1+取得税费率/(1+5%)）×年利率×建设期","（1+取得税费率）/(1+5%)×((1+年利率)^建设期-1)")</f>
        <v>（1+取得税费率）/(1+5%)×((1+年利率)^建设期-1)</v>
      </c>
      <c r="H27" s="2770"/>
      <c r="I27" s="2770"/>
      <c r="J27" s="2770"/>
      <c r="K27" s="279"/>
    </row>
    <row r="28" spans="1:14" s="2105" customFormat="1" ht="13.5" customHeight="1">
      <c r="A28" s="803" t="s">
        <v>1857</v>
      </c>
      <c r="B28" s="2813" t="s">
        <v>2835</v>
      </c>
      <c r="C28" s="2815">
        <f ca="1">ROUND(IF('数据-取费表'!B22&lt;=1,(C18+C19+C20+C23+C24)*F26*'数据-取费表'!B24/2,(C18+C19+C20+C23+C24)*(POWER((1+F26),'数据-取费表'!B24/2)-1)),0)</f>
        <v>2120</v>
      </c>
      <c r="D28" s="472"/>
      <c r="E28" s="473"/>
      <c r="F28" s="474"/>
      <c r="G28" s="2536" t="str">
        <f>IF('数据-取费表'!B22&lt;=1,"（1）-（4）项×年利率×建设期÷2","（1）-（4）项×((1+年利率)^(建设期÷2)-1)")</f>
        <v>（1）-（4）项×((1+年利率)^(建设期÷2)-1)</v>
      </c>
      <c r="H28" s="2770"/>
      <c r="I28" s="2770"/>
      <c r="J28" s="2770"/>
      <c r="K28" s="279"/>
    </row>
    <row r="29" spans="1:14" s="2105" customFormat="1" ht="13.5" customHeight="1">
      <c r="A29" s="2816" t="s">
        <v>1862</v>
      </c>
      <c r="B29" s="2806" t="s">
        <v>497</v>
      </c>
      <c r="C29" s="2807">
        <f ca="1">ROUND(C6*F29/(1+'数据-取费表'!C42),0)</f>
        <v>7999</v>
      </c>
      <c r="D29" s="468"/>
      <c r="E29" s="468"/>
      <c r="F29" s="2985">
        <f>'数据-取费表'!B41</f>
        <v>5.6500000000000002E-2</v>
      </c>
      <c r="G29" s="2776" t="s">
        <v>498</v>
      </c>
      <c r="H29" s="2768"/>
      <c r="I29" s="2768"/>
      <c r="J29" s="2768"/>
      <c r="K29" s="2769"/>
    </row>
    <row r="30" spans="1:14" s="2106" customFormat="1" ht="13.5" customHeight="1">
      <c r="A30" s="1620" t="s">
        <v>1863</v>
      </c>
      <c r="B30" s="2817" t="s">
        <v>500</v>
      </c>
      <c r="C30" s="2812">
        <f ca="1">C31</f>
        <v>54751</v>
      </c>
      <c r="D30" s="477">
        <f ca="1">C32</f>
        <v>0.12909999999999999</v>
      </c>
      <c r="E30" s="469" t="s">
        <v>495</v>
      </c>
      <c r="F30" s="471"/>
      <c r="G30" s="2775" t="s">
        <v>2964</v>
      </c>
      <c r="H30" s="2768"/>
      <c r="I30" s="2768"/>
      <c r="J30" s="2768"/>
      <c r="K30" s="2769"/>
    </row>
    <row r="31" spans="1:14" s="2105" customFormat="1" ht="13.5" customHeight="1">
      <c r="A31" s="803" t="s">
        <v>1856</v>
      </c>
      <c r="B31" s="2813"/>
      <c r="C31" s="450">
        <f ca="1">C18+C19+C20+C23+C24+C26+C29</f>
        <v>54751</v>
      </c>
      <c r="D31" s="472"/>
      <c r="E31" s="473"/>
      <c r="F31" s="474"/>
      <c r="G31" s="261"/>
      <c r="H31" s="2770"/>
      <c r="I31" s="2770"/>
      <c r="J31" s="2770"/>
      <c r="K31" s="279"/>
    </row>
    <row r="32" spans="1:14" s="2105" customFormat="1" ht="13.5" customHeight="1">
      <c r="A32" s="803" t="s">
        <v>1857</v>
      </c>
      <c r="B32" s="2813"/>
      <c r="C32" s="53">
        <f ca="1">ROUND(C25+D26,4)</f>
        <v>0.12909999999999999</v>
      </c>
      <c r="D32" s="472"/>
      <c r="E32" s="473"/>
      <c r="F32" s="474"/>
      <c r="G32" s="261"/>
      <c r="H32" s="2770"/>
      <c r="I32" s="2770"/>
      <c r="J32" s="2770"/>
      <c r="K32" s="279"/>
    </row>
    <row r="33" spans="1:11" s="2107" customFormat="1" ht="13.5" customHeight="1">
      <c r="A33" s="2982" t="s">
        <v>2830</v>
      </c>
      <c r="B33" s="2980" t="s">
        <v>2828</v>
      </c>
      <c r="C33" s="478">
        <f ca="1">C35</f>
        <v>8480</v>
      </c>
      <c r="D33" s="467">
        <f ca="1">C34</f>
        <v>0.19550000000000001</v>
      </c>
      <c r="E33" s="469" t="s">
        <v>495</v>
      </c>
      <c r="F33" s="479">
        <f ca="1">IF(B1="",'数据-取费表'!Q16,INDIRECT("'数据-取费表'!q"&amp;$K$1))</f>
        <v>0.19</v>
      </c>
      <c r="G33" s="2771"/>
      <c r="H33" s="2772"/>
      <c r="I33" s="2772"/>
      <c r="J33" s="2772"/>
      <c r="K33" s="2773"/>
    </row>
    <row r="34" spans="1:11" s="2108" customFormat="1" ht="13.5" customHeight="1">
      <c r="A34" s="375" t="s">
        <v>1856</v>
      </c>
      <c r="B34" s="2818" t="s">
        <v>501</v>
      </c>
      <c r="C34" s="472">
        <f ca="1">ROUND((1+C25)*F33,4)</f>
        <v>0.19550000000000001</v>
      </c>
      <c r="D34" s="472"/>
      <c r="E34" s="473"/>
      <c r="F34" s="480"/>
      <c r="G34" s="261" t="s">
        <v>2290</v>
      </c>
      <c r="H34" s="2770"/>
      <c r="I34" s="2770"/>
      <c r="J34" s="2770"/>
      <c r="K34" s="279"/>
    </row>
    <row r="35" spans="1:11" s="2108" customFormat="1" ht="13.5" customHeight="1" thickBot="1">
      <c r="A35" s="1621" t="s">
        <v>1857</v>
      </c>
      <c r="B35" s="2981" t="s">
        <v>2836</v>
      </c>
      <c r="C35" s="1613">
        <f ca="1">ROUND((C18+C19+C20+C23+C24)*F33,0)</f>
        <v>8480</v>
      </c>
      <c r="D35" s="1614"/>
      <c r="E35" s="2819"/>
      <c r="F35" s="1615"/>
      <c r="G35" s="2777"/>
      <c r="H35" s="2778"/>
      <c r="I35" s="2778"/>
      <c r="J35" s="2778"/>
      <c r="K35" s="2779"/>
    </row>
    <row r="36" spans="1:11" s="2070" customFormat="1" ht="13.5" customHeight="1" thickBot="1">
      <c r="A36" s="284" t="s">
        <v>1844</v>
      </c>
      <c r="B36" s="2781"/>
      <c r="C36" s="2820">
        <f ca="1">ROUND((C6-C30-C33)/(1+D30+D33),0)</f>
        <v>64488</v>
      </c>
      <c r="D36" s="2781"/>
      <c r="E36" s="2781"/>
      <c r="F36" s="2781"/>
      <c r="G36" s="2780" t="s">
        <v>2837</v>
      </c>
      <c r="H36" s="2781"/>
      <c r="I36" s="2781"/>
      <c r="J36" s="2781"/>
      <c r="K36" s="278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C126" sqref="C126:F131"/>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1" t="s">
        <v>466</v>
      </c>
      <c r="B1" s="2764"/>
      <c r="C1" s="2089"/>
      <c r="D1" s="2089"/>
      <c r="E1" s="2089"/>
      <c r="F1" s="2089"/>
      <c r="G1" s="2089"/>
      <c r="H1" s="2089"/>
      <c r="I1" s="2089"/>
      <c r="J1" s="2089"/>
      <c r="K1" s="422">
        <f>MATCH(B1,'数据-取费表'!A6:A16,0)+5</f>
        <v>9</v>
      </c>
    </row>
    <row r="2" spans="1:41" s="2026" customFormat="1" ht="18" customHeight="1">
      <c r="A2" s="423" t="s">
        <v>467</v>
      </c>
      <c r="B2" s="424">
        <f ca="1">C32</f>
        <v>0</v>
      </c>
      <c r="C2" s="2089"/>
      <c r="D2" s="2089"/>
      <c r="E2" s="2089"/>
      <c r="F2" s="2089"/>
      <c r="G2" s="2089"/>
      <c r="H2" s="2089"/>
      <c r="I2" s="2089"/>
      <c r="J2" s="2089"/>
      <c r="K2" s="2089"/>
    </row>
    <row r="3" spans="1:41" s="2026" customFormat="1" ht="18" customHeight="1">
      <c r="A3" s="1375" t="s">
        <v>1684</v>
      </c>
      <c r="B3" s="425">
        <f ca="1">ROUND(B2*10000/IF(B1="",'数据-汇总表'!E3,INDIRECT("'数据-取费表'!K"&amp;$K$1)),0)</f>
        <v>0</v>
      </c>
      <c r="C3" s="2089"/>
      <c r="D3" s="2089"/>
      <c r="E3" s="2089"/>
      <c r="F3" s="2089"/>
      <c r="G3" s="2089"/>
      <c r="H3" s="2089"/>
      <c r="I3" s="2089"/>
      <c r="J3" s="2089"/>
      <c r="K3" s="2089"/>
    </row>
    <row r="4" spans="1:41" s="2026" customFormat="1" ht="18" customHeight="1">
      <c r="A4" s="426" t="s">
        <v>468</v>
      </c>
      <c r="B4" s="427">
        <f ca="1">ROUND(B2*10000/IF(B1="",'数据-汇总表'!D3,INDIRECT("'数据-取费表'!R"&amp;$K$1)),0)</f>
        <v>0</v>
      </c>
      <c r="C4" s="2046"/>
      <c r="D4" s="2089"/>
      <c r="E4" s="2089"/>
      <c r="F4" s="2089"/>
      <c r="G4" s="2089"/>
      <c r="H4" s="2089"/>
      <c r="I4" s="2089"/>
      <c r="J4" s="2089"/>
      <c r="K4" s="2089"/>
    </row>
    <row r="5" spans="1:41" s="2026" customFormat="1" ht="18" customHeight="1" thickBot="1">
      <c r="A5" s="429"/>
      <c r="B5" s="430">
        <f ca="1">ROUND(B2/(IF(B1="",'数据-汇总表'!D3,INDIRECT("'数据-取费表'!R"&amp;$K$1))/666.67),0)</f>
        <v>0</v>
      </c>
      <c r="C5" s="431" t="s">
        <v>469</v>
      </c>
      <c r="D5" s="2089"/>
      <c r="E5" s="2089"/>
      <c r="F5" s="2089"/>
      <c r="G5" s="2089"/>
      <c r="H5" s="2089"/>
      <c r="I5" s="2089"/>
      <c r="J5" s="2089"/>
      <c r="K5" s="2089"/>
    </row>
    <row r="6" spans="1:41" s="2096" customFormat="1" ht="16.5" customHeight="1">
      <c r="A6" s="432" t="s">
        <v>2649</v>
      </c>
      <c r="B6" s="433"/>
      <c r="C6" s="1608">
        <f>SUM(C10:K10)</f>
        <v>0</v>
      </c>
      <c r="D6" s="2094"/>
      <c r="E6" s="2094"/>
      <c r="F6" s="2094"/>
      <c r="G6" s="2094"/>
      <c r="H6" s="2094"/>
      <c r="I6" s="2094"/>
      <c r="J6" s="2094"/>
      <c r="K6" s="2095"/>
    </row>
    <row r="7" spans="1:41" s="2098" customFormat="1" ht="15">
      <c r="A7" s="434" t="s">
        <v>470</v>
      </c>
      <c r="B7" s="435" t="s">
        <v>471</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6" t="s">
        <v>1845</v>
      </c>
      <c r="B8" s="438" t="s">
        <v>472</v>
      </c>
      <c r="C8" s="439"/>
      <c r="D8" s="439"/>
      <c r="E8" s="439"/>
      <c r="F8" s="439"/>
      <c r="G8" s="439"/>
      <c r="H8" s="439"/>
      <c r="I8" s="439"/>
      <c r="J8" s="439"/>
      <c r="K8" s="440"/>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6"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7" t="s">
        <v>1847</v>
      </c>
      <c r="B10" s="1609" t="s">
        <v>474</v>
      </c>
      <c r="C10" s="1610"/>
      <c r="D10" s="1610"/>
      <c r="E10" s="1610"/>
      <c r="F10" s="1611"/>
      <c r="G10" s="1611"/>
      <c r="H10" s="1611"/>
      <c r="I10" s="1611"/>
      <c r="J10" s="1611"/>
      <c r="K10" s="1612"/>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5" t="s">
        <v>1864</v>
      </c>
      <c r="B11" s="1606"/>
      <c r="C11" s="1606"/>
      <c r="D11" s="1606"/>
      <c r="E11" s="1606"/>
      <c r="F11" s="1606"/>
      <c r="G11" s="1606"/>
      <c r="H11" s="1606"/>
      <c r="I11" s="1606"/>
      <c r="J11" s="1606"/>
      <c r="K11" s="1607"/>
    </row>
    <row r="12" spans="1:41" s="2070" customFormat="1" ht="13.5" customHeight="1">
      <c r="A12" s="434" t="s">
        <v>470</v>
      </c>
      <c r="B12" s="444" t="s">
        <v>471</v>
      </c>
      <c r="C12" s="445" t="s">
        <v>475</v>
      </c>
      <c r="D12" s="446" t="s">
        <v>476</v>
      </c>
      <c r="E12" s="446" t="s">
        <v>477</v>
      </c>
      <c r="F12" s="446" t="s">
        <v>478</v>
      </c>
      <c r="G12" s="444"/>
      <c r="H12" s="447"/>
      <c r="I12" s="447"/>
      <c r="J12" s="447"/>
      <c r="K12" s="448"/>
    </row>
    <row r="13" spans="1:41" s="2101" customFormat="1" ht="13.5" customHeight="1">
      <c r="A13" s="1618" t="s">
        <v>1848</v>
      </c>
      <c r="B13" s="449" t="s">
        <v>479</v>
      </c>
      <c r="C13" s="450">
        <f ca="1">IF(B1="",'数据-取费表'!M16,INDIRECT("'数据-取费表'!M"&amp;$K$1)+INDIRECT("'数据-取费表'!t"&amp;$K$1))</f>
        <v>34857</v>
      </c>
      <c r="D13" s="451"/>
      <c r="E13" s="365"/>
      <c r="F13" s="452"/>
      <c r="G13" s="444"/>
      <c r="H13" s="447"/>
      <c r="I13" s="447"/>
      <c r="J13" s="447"/>
      <c r="K13" s="448"/>
    </row>
    <row r="14" spans="1:41" s="2101" customFormat="1" ht="13.5" customHeight="1">
      <c r="A14" s="1618" t="s">
        <v>1849</v>
      </c>
      <c r="B14" s="449" t="s">
        <v>480</v>
      </c>
      <c r="C14" s="53">
        <f ca="1">ROUND(C13*F14,0)</f>
        <v>1046</v>
      </c>
      <c r="D14" s="451"/>
      <c r="E14" s="365"/>
      <c r="F14" s="453">
        <f>'数据-取费表'!B33</f>
        <v>0.03</v>
      </c>
      <c r="G14" s="444" t="s">
        <v>502</v>
      </c>
      <c r="H14" s="447"/>
      <c r="I14" s="447"/>
      <c r="J14" s="447"/>
      <c r="K14" s="448"/>
    </row>
    <row r="15" spans="1:41" s="2101" customFormat="1" ht="13.5" customHeight="1">
      <c r="A15" s="1618" t="s">
        <v>1850</v>
      </c>
      <c r="B15" s="449" t="s">
        <v>482</v>
      </c>
      <c r="C15" s="53">
        <f ca="1">ROUND(IF(B1="",SUMIF('数据-取费表'!C:C,"住宅",'数据-取费表'!M:M)*F15,IF(INDIRECT("'数据-取费表'!c"&amp;$K$1)="住宅",INDIRECT("'数据-取费表'!M"&amp;$K$1)*F15,0)),0)</f>
        <v>284</v>
      </c>
      <c r="D15" s="451"/>
      <c r="E15" s="365"/>
      <c r="F15" s="453">
        <f>'数据-取费表'!B34</f>
        <v>0.03</v>
      </c>
      <c r="G15" s="444" t="s">
        <v>502</v>
      </c>
      <c r="H15" s="447"/>
      <c r="I15" s="447"/>
      <c r="J15" s="447"/>
      <c r="K15" s="448"/>
    </row>
    <row r="16" spans="1:41" s="2102" customFormat="1" ht="13.5" customHeight="1">
      <c r="A16" s="1618" t="s">
        <v>1851</v>
      </c>
      <c r="B16" s="449" t="s">
        <v>484</v>
      </c>
      <c r="C16" s="53">
        <f ca="1">ROUND(D16*E16/10000,0)</f>
        <v>1589</v>
      </c>
      <c r="D16" s="451">
        <f ca="1">IF(B1="",'数据-汇总表'!E3,INDIRECT("'数据-取费表'!K"&amp;$K$1)+INDIRECT("'数据-取费表'!S"&amp;$K$1))</f>
        <v>79462.3</v>
      </c>
      <c r="E16" s="53">
        <f>'数据-取费表'!B35</f>
        <v>200</v>
      </c>
      <c r="F16" s="453"/>
      <c r="G16" s="444"/>
      <c r="H16" s="447"/>
      <c r="I16" s="447"/>
      <c r="J16" s="447"/>
      <c r="K16" s="448"/>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8" t="s">
        <v>1852</v>
      </c>
      <c r="B17" s="449" t="s">
        <v>485</v>
      </c>
      <c r="C17" s="454">
        <f ca="1">ROUND(C13*F17,0)</f>
        <v>523</v>
      </c>
      <c r="D17" s="455"/>
      <c r="E17" s="454"/>
      <c r="F17" s="456">
        <f>'数据-取费表'!B36</f>
        <v>1.4999999999999999E-2</v>
      </c>
      <c r="G17" s="444" t="s">
        <v>502</v>
      </c>
      <c r="H17" s="457"/>
      <c r="I17" s="457"/>
      <c r="J17" s="457"/>
      <c r="K17" s="458"/>
    </row>
    <row r="18" spans="1:14" s="2104" customFormat="1" ht="13.5" customHeight="1">
      <c r="A18" s="1619" t="s">
        <v>1853</v>
      </c>
      <c r="B18" s="459" t="s">
        <v>487</v>
      </c>
      <c r="C18" s="460">
        <f ca="1">SUM(C13:C17)</f>
        <v>38299</v>
      </c>
      <c r="D18" s="461"/>
      <c r="E18" s="462"/>
      <c r="F18" s="462"/>
      <c r="G18" s="1323" t="s">
        <v>2431</v>
      </c>
      <c r="H18" s="447"/>
      <c r="I18" s="447"/>
      <c r="J18" s="447"/>
      <c r="K18" s="448"/>
    </row>
    <row r="19" spans="1:14" s="2104" customFormat="1" ht="13.5" customHeight="1">
      <c r="A19" s="1619" t="s">
        <v>1854</v>
      </c>
      <c r="B19" s="459" t="s">
        <v>493</v>
      </c>
      <c r="C19" s="460">
        <f ca="1">ROUND(C18*F19,0)</f>
        <v>766</v>
      </c>
      <c r="D19" s="462"/>
      <c r="E19" s="462"/>
      <c r="F19" s="466">
        <f>'数据-取费表'!B37</f>
        <v>0.02</v>
      </c>
      <c r="G19" s="444" t="s">
        <v>503</v>
      </c>
      <c r="H19" s="447"/>
      <c r="I19" s="447"/>
      <c r="J19" s="447"/>
      <c r="K19" s="448"/>
      <c r="L19" s="2106"/>
      <c r="M19" s="2106"/>
      <c r="N19" s="2106"/>
    </row>
    <row r="20" spans="1:14" s="2104" customFormat="1" ht="13.5" customHeight="1">
      <c r="A20" s="1619" t="s">
        <v>1855</v>
      </c>
      <c r="B20" s="459" t="s">
        <v>504</v>
      </c>
      <c r="C20" s="2978">
        <f>F20</f>
        <v>0.02</v>
      </c>
      <c r="D20" s="469" t="s">
        <v>505</v>
      </c>
      <c r="E20" s="469"/>
      <c r="F20" s="486">
        <f>'数据-取费表'!B38</f>
        <v>0.02</v>
      </c>
      <c r="G20" s="1323" t="s">
        <v>506</v>
      </c>
      <c r="H20" s="447"/>
      <c r="I20" s="447"/>
      <c r="J20" s="447"/>
      <c r="K20" s="448"/>
      <c r="L20" s="2106"/>
      <c r="M20" s="2106"/>
      <c r="N20" s="2106"/>
    </row>
    <row r="21" spans="1:14" s="2106" customFormat="1" ht="13.5" customHeight="1">
      <c r="A21" s="1619" t="s">
        <v>1858</v>
      </c>
      <c r="B21" s="461" t="s">
        <v>494</v>
      </c>
      <c r="C21" s="470">
        <f ca="1">C22</f>
        <v>1856</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3" t="s">
        <v>2452</v>
      </c>
    </row>
    <row r="22" spans="1:14" s="2105" customFormat="1" ht="13.5" customHeight="1">
      <c r="A22" s="1618" t="s">
        <v>1848</v>
      </c>
      <c r="B22" s="1324" t="s">
        <v>2434</v>
      </c>
      <c r="C22" s="487">
        <f ca="1">ROUND(IF('数据-取费表'!B22&lt;=1,(C18+C19)*F21*'数据-取费表'!B20/2,(C18+C19)*(POWER((1+F21),'数据-取费表'!B20/2)-1)),0)</f>
        <v>1856</v>
      </c>
      <c r="D22" s="472"/>
      <c r="E22" s="473"/>
      <c r="F22" s="474"/>
      <c r="G22" s="2531" t="str">
        <f>IF('数据-取费表'!B22&lt;=1,"((1)+(2))×年利率×建设期÷2","((1)+(2))×((1+年利率)^(建设期÷2)-1)")</f>
        <v>((1)+(2))×((1+年利率)^(建设期÷2)-1)</v>
      </c>
      <c r="H22" s="457"/>
      <c r="I22" s="457"/>
      <c r="J22" s="457"/>
      <c r="K22" s="458"/>
    </row>
    <row r="23" spans="1:14" s="2105" customFormat="1" ht="13.5" customHeight="1">
      <c r="A23" s="1618" t="s">
        <v>1849</v>
      </c>
      <c r="B23" s="1324" t="s">
        <v>508</v>
      </c>
      <c r="C23" s="488">
        <f ca="1">ROUND(IF('数据-取费表'!B22&lt;=1,F20*F21*'数据-取费表'!B20/2,F20*(POWER((1+F21),'数据-取费表'!B20/2)-1)),4)</f>
        <v>1E-3</v>
      </c>
      <c r="D23" s="472"/>
      <c r="E23" s="473"/>
      <c r="F23" s="474"/>
      <c r="G23" s="2531" t="str">
        <f>IF('数据-取费表'!B22&lt;=1,"销售费用率×年利率×建设期÷2","销售费用率×((1+年利率)^(建设期÷2)-1)")</f>
        <v>销售费用率×((1+年利率)^(建设期÷2)-1)</v>
      </c>
      <c r="H23" s="457"/>
      <c r="I23" s="457"/>
      <c r="J23" s="457"/>
      <c r="K23" s="458"/>
    </row>
    <row r="24" spans="1:14" s="2105" customFormat="1" ht="13.5" customHeight="1">
      <c r="A24" s="1619" t="s">
        <v>1859</v>
      </c>
      <c r="B24" s="2980" t="s">
        <v>2829</v>
      </c>
      <c r="C24" s="478">
        <f ca="1">C25</f>
        <v>7422</v>
      </c>
      <c r="D24" s="489">
        <f ca="1">C26</f>
        <v>3.8E-3</v>
      </c>
      <c r="E24" s="469" t="s">
        <v>507</v>
      </c>
      <c r="F24" s="479">
        <f ca="1">IF(B1="",'数据-取费表'!Q16,INDIRECT("'数据-取费表'!q"&amp;$K$1))</f>
        <v>0.19</v>
      </c>
      <c r="G24" s="444"/>
      <c r="H24" s="447"/>
      <c r="I24" s="447"/>
      <c r="J24" s="447"/>
      <c r="K24" s="448"/>
    </row>
    <row r="25" spans="1:14" s="2105" customFormat="1" ht="13.5" customHeight="1">
      <c r="A25" s="1618" t="s">
        <v>1848</v>
      </c>
      <c r="B25" s="1324" t="s">
        <v>2435</v>
      </c>
      <c r="C25" s="490">
        <f ca="1">ROUND((C18+C19)*F24,0)</f>
        <v>7422</v>
      </c>
      <c r="D25" s="472"/>
      <c r="E25" s="473"/>
      <c r="F25" s="480"/>
      <c r="G25" s="1322" t="s">
        <v>2432</v>
      </c>
      <c r="H25" s="457"/>
      <c r="I25" s="457"/>
      <c r="J25" s="457"/>
      <c r="K25" s="458"/>
    </row>
    <row r="26" spans="1:14" s="2105" customFormat="1" ht="13.5" customHeight="1">
      <c r="A26" s="1618" t="s">
        <v>1849</v>
      </c>
      <c r="B26" s="1324" t="s">
        <v>509</v>
      </c>
      <c r="C26" s="491">
        <f ca="1">ROUND(F20*F24,4)</f>
        <v>3.8E-3</v>
      </c>
      <c r="D26" s="472"/>
      <c r="E26" s="481"/>
      <c r="F26" s="480"/>
      <c r="G26" s="1322" t="s">
        <v>510</v>
      </c>
      <c r="H26" s="457"/>
      <c r="I26" s="457"/>
      <c r="J26" s="457"/>
      <c r="K26" s="458"/>
    </row>
    <row r="27" spans="1:14" s="2105" customFormat="1" ht="13.5" customHeight="1">
      <c r="A27" s="1622" t="s">
        <v>1867</v>
      </c>
      <c r="B27" s="459" t="s">
        <v>511</v>
      </c>
      <c r="C27" s="2979">
        <f>ROUND(F27/(1+'数据-取费表'!C42),4)</f>
        <v>5.3800000000000001E-2</v>
      </c>
      <c r="D27" s="462" t="s">
        <v>2827</v>
      </c>
      <c r="E27" s="462"/>
      <c r="F27" s="466">
        <f>'数据-取费表'!B41</f>
        <v>5.6500000000000002E-2</v>
      </c>
      <c r="G27" s="1945" t="s">
        <v>2291</v>
      </c>
      <c r="H27" s="447"/>
      <c r="I27" s="447"/>
      <c r="J27" s="447"/>
      <c r="K27" s="448"/>
    </row>
    <row r="28" spans="1:14" s="2106" customFormat="1" ht="13.5" customHeight="1">
      <c r="A28" s="1622" t="s">
        <v>1868</v>
      </c>
      <c r="B28" s="476" t="s">
        <v>512</v>
      </c>
      <c r="C28" s="470">
        <f ca="1">ROUND((C18+C19+C21+C24)/(1-C20-D21-D24-C27),0)</f>
        <v>52467</v>
      </c>
      <c r="D28" s="477"/>
      <c r="E28" s="469"/>
      <c r="F28" s="471"/>
      <c r="G28" s="1323" t="s">
        <v>2433</v>
      </c>
      <c r="H28" s="447"/>
      <c r="I28" s="447"/>
      <c r="J28" s="447"/>
      <c r="K28" s="448"/>
    </row>
    <row r="29" spans="1:14" s="2106" customFormat="1" ht="13.5" customHeight="1">
      <c r="A29" s="1622" t="s">
        <v>1869</v>
      </c>
      <c r="B29" s="476" t="s">
        <v>513</v>
      </c>
      <c r="C29" s="492">
        <f ca="1">IF(B1="",'数据-取费表'!N16,INDIRECT("'数据-取费表'!N"&amp;$K$1))</f>
        <v>0</v>
      </c>
      <c r="D29" s="493"/>
      <c r="E29" s="494"/>
      <c r="F29" s="495"/>
      <c r="G29" s="444"/>
      <c r="H29" s="447"/>
      <c r="I29" s="447"/>
      <c r="J29" s="447"/>
      <c r="K29" s="448"/>
    </row>
    <row r="30" spans="1:14" s="2106" customFormat="1" ht="13.5" customHeight="1">
      <c r="A30" s="443">
        <v>2</v>
      </c>
      <c r="B30" s="476" t="s">
        <v>514</v>
      </c>
      <c r="C30" s="497">
        <f ca="1">ROUND(C28*C29,0)</f>
        <v>0</v>
      </c>
      <c r="D30" s="493"/>
      <c r="E30" s="498"/>
      <c r="F30" s="499"/>
      <c r="G30" s="1325" t="s">
        <v>515</v>
      </c>
      <c r="H30" s="496"/>
      <c r="I30" s="496"/>
      <c r="J30" s="447"/>
      <c r="K30" s="448"/>
    </row>
    <row r="31" spans="1:14" s="2111" customFormat="1" ht="13.5" customHeight="1">
      <c r="A31" s="2446" t="s">
        <v>1865</v>
      </c>
      <c r="B31" s="1326"/>
      <c r="C31" s="500">
        <f>ROUND(C6*F31/(1+'数据-取费表'!C42),0)</f>
        <v>0</v>
      </c>
      <c r="D31" s="1327"/>
      <c r="E31" s="1327"/>
      <c r="F31" s="501">
        <f>'数据-取费表'!B41</f>
        <v>5.6500000000000002E-2</v>
      </c>
      <c r="G31" s="1328"/>
      <c r="H31" s="1328"/>
      <c r="I31" s="1328"/>
      <c r="J31" s="1329"/>
      <c r="K31" s="1330"/>
    </row>
    <row r="32" spans="1:14" s="2070"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7" t="s">
        <v>2965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opLeftCell="A7" zoomScale="85" zoomScaleNormal="85" zoomScaleSheetLayoutView="85" workbookViewId="0">
      <selection activeCell="E79" sqref="E79"/>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8"/>
      <c r="M1" s="1549"/>
      <c r="N1" s="1549"/>
      <c r="O1" s="1549"/>
      <c r="P1" s="1550"/>
      <c r="Q1" s="1550"/>
      <c r="R1" s="1550"/>
      <c r="S1" s="1550"/>
      <c r="T1" s="1550"/>
      <c r="U1" s="1550"/>
      <c r="V1" s="1550"/>
      <c r="W1" s="1550"/>
      <c r="X1" s="1550"/>
      <c r="Y1" s="1550"/>
      <c r="Z1" s="1550"/>
      <c r="AA1" s="1550"/>
      <c r="AB1" s="1550"/>
      <c r="AC1" s="1551"/>
      <c r="AD1" s="1331"/>
    </row>
    <row r="2" spans="1:30" s="1332" customFormat="1" ht="28.5" customHeight="1">
      <c r="A2" s="423" t="s">
        <v>467</v>
      </c>
      <c r="B2" s="508">
        <f>F68</f>
        <v>9368</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c r="AD2" s="1331"/>
    </row>
    <row r="3" spans="1:30" s="1332" customFormat="1" ht="28.5" customHeight="1">
      <c r="A3" s="1375" t="s">
        <v>1684</v>
      </c>
      <c r="B3" s="510">
        <f>ROUND(B2*10000/'数据-汇总表'!E3,0)</f>
        <v>1179</v>
      </c>
      <c r="C3" s="2046"/>
      <c r="D3" s="2534"/>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30" s="1332" customFormat="1" ht="28.5" customHeight="1">
      <c r="A4" s="511" t="s">
        <v>520</v>
      </c>
      <c r="B4" s="427">
        <f>IF(B48="单位面积地价",C50,ROUND(B2*10000/'数据-汇总表'!D3,0))</f>
        <v>2947</v>
      </c>
      <c r="C4" s="2046"/>
      <c r="D4" s="2534"/>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30" s="1332" customFormat="1" ht="28.5" customHeight="1" thickBot="1">
      <c r="A5" s="429"/>
      <c r="B5" s="430">
        <f>ROUND(B2/('数据-汇总表'!D3/666.67),0)</f>
        <v>196</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0"/>
      <c r="AC5" s="428"/>
    </row>
    <row r="6" spans="1:30" ht="20.25">
      <c r="A6" s="512" t="s">
        <v>521</v>
      </c>
      <c r="B6" s="513"/>
      <c r="C6" s="3430" t="s">
        <v>522</v>
      </c>
      <c r="D6" s="3431"/>
      <c r="E6" s="3430" t="s">
        <v>523</v>
      </c>
      <c r="F6" s="3431"/>
      <c r="G6" s="3430" t="s">
        <v>524</v>
      </c>
      <c r="H6" s="3431"/>
      <c r="I6" s="3430" t="s">
        <v>525</v>
      </c>
      <c r="J6" s="3431"/>
      <c r="K6" s="514" t="s">
        <v>526</v>
      </c>
      <c r="L6" s="2118"/>
      <c r="M6" s="2117"/>
      <c r="N6" s="2117"/>
      <c r="O6" s="2119"/>
      <c r="P6" s="3432" t="s">
        <v>527</v>
      </c>
      <c r="Q6" s="3433"/>
      <c r="R6" s="3438" t="s">
        <v>523</v>
      </c>
      <c r="S6" s="3439"/>
      <c r="T6" s="3438" t="s">
        <v>524</v>
      </c>
      <c r="U6" s="3439"/>
      <c r="V6" s="3425" t="s">
        <v>525</v>
      </c>
      <c r="W6" s="3425"/>
      <c r="X6" s="1553"/>
      <c r="Y6" s="3438" t="s">
        <v>527</v>
      </c>
      <c r="Z6" s="3439"/>
      <c r="AA6" s="3427" t="s">
        <v>523</v>
      </c>
      <c r="AB6" s="3428" t="s">
        <v>524</v>
      </c>
      <c r="AC6" s="3427" t="s">
        <v>525</v>
      </c>
    </row>
    <row r="7" spans="1:30" ht="20.25">
      <c r="A7" s="515"/>
      <c r="B7" s="516"/>
      <c r="C7" s="3448" t="s">
        <v>3347</v>
      </c>
      <c r="D7" s="3447"/>
      <c r="E7" s="3446" t="str">
        <f>土地案例!$A$8</f>
        <v>海口市西海岸新区南片区</v>
      </c>
      <c r="F7" s="3447"/>
      <c r="G7" s="3446" t="str">
        <f>土地案例!$A$19</f>
        <v>海口市西海岸新区南片区</v>
      </c>
      <c r="H7" s="3447"/>
      <c r="I7" s="3446" t="str">
        <f>土地案例!$A$21</f>
        <v>海口市西海岸新区南片区</v>
      </c>
      <c r="J7" s="3447"/>
      <c r="K7" s="514"/>
      <c r="L7" s="2118"/>
      <c r="M7" s="2117"/>
      <c r="N7" s="2117"/>
      <c r="O7" s="2119"/>
      <c r="P7" s="3434"/>
      <c r="Q7" s="3435"/>
      <c r="R7" s="3440"/>
      <c r="S7" s="3441"/>
      <c r="T7" s="3440"/>
      <c r="U7" s="3441"/>
      <c r="V7" s="3425"/>
      <c r="W7" s="3425"/>
      <c r="X7" s="1553"/>
      <c r="Y7" s="3440"/>
      <c r="Z7" s="3441"/>
      <c r="AA7" s="3428"/>
      <c r="AB7" s="3428"/>
      <c r="AC7" s="3428"/>
    </row>
    <row r="8" spans="1:30" ht="21" thickBot="1">
      <c r="A8" s="515"/>
      <c r="B8" s="516"/>
      <c r="C8" s="3449"/>
      <c r="D8" s="3445"/>
      <c r="E8" s="3450" t="s">
        <v>2926</v>
      </c>
      <c r="F8" s="3451"/>
      <c r="G8" s="3444" t="s">
        <v>2926</v>
      </c>
      <c r="H8" s="3445"/>
      <c r="I8" s="3444" t="s">
        <v>2926</v>
      </c>
      <c r="J8" s="3445"/>
      <c r="K8" s="514" t="s">
        <v>528</v>
      </c>
      <c r="L8" s="2118"/>
      <c r="M8" s="2117"/>
      <c r="N8" s="2117"/>
      <c r="O8" s="2119"/>
      <c r="P8" s="3436"/>
      <c r="Q8" s="3437"/>
      <c r="R8" s="3440"/>
      <c r="S8" s="3441"/>
      <c r="T8" s="3442"/>
      <c r="U8" s="3443"/>
      <c r="V8" s="3425"/>
      <c r="W8" s="3425"/>
      <c r="X8" s="1553"/>
      <c r="Y8" s="3442"/>
      <c r="Z8" s="3443"/>
      <c r="AA8" s="3429"/>
      <c r="AB8" s="3429"/>
      <c r="AC8" s="3429"/>
    </row>
    <row r="9" spans="1:30" s="1216" customFormat="1" ht="21" thickBot="1">
      <c r="A9" s="2867"/>
      <c r="B9" s="2874" t="s">
        <v>529</v>
      </c>
      <c r="C9" s="2866">
        <f>'数据-取费表'!B2</f>
        <v>43868</v>
      </c>
      <c r="D9" s="520">
        <v>100</v>
      </c>
      <c r="E9" s="521" t="str">
        <f>土地案例!$AA$8</f>
        <v>2019-07-04</v>
      </c>
      <c r="F9" s="522">
        <f>SUMIF(72:72,YEAR(E9)&amp;"-"&amp;INT((MONTH(E9)+2)/3),73:73)</f>
        <v>99</v>
      </c>
      <c r="G9" s="521" t="str">
        <f>土地案例!$AA$19</f>
        <v>2018-12-29</v>
      </c>
      <c r="H9" s="520">
        <f>SUMIF(72:72,YEAR(G9)&amp;"-"&amp;INT((MONTH(G9)+2)/3),73:73)</f>
        <v>97.5</v>
      </c>
      <c r="I9" s="521" t="str">
        <f>土地案例!$AA$21</f>
        <v>2018-12-29</v>
      </c>
      <c r="J9" s="520">
        <f>SUMIF(72:72,YEAR(I9)&amp;"-"&amp;INT((MONTH(I9)+2)/3),73:73)</f>
        <v>97.5</v>
      </c>
      <c r="K9" s="524"/>
      <c r="L9" s="2120"/>
      <c r="M9" s="2117"/>
      <c r="N9" s="2117"/>
      <c r="O9" s="2121"/>
      <c r="P9" s="3457" t="s">
        <v>530</v>
      </c>
      <c r="Q9" s="3459"/>
      <c r="R9" s="1554" t="s">
        <v>8</v>
      </c>
      <c r="S9" s="1555">
        <f t="shared" ref="S9:S17" si="0">F9</f>
        <v>99</v>
      </c>
      <c r="T9" s="1554" t="s">
        <v>8</v>
      </c>
      <c r="U9" s="1555">
        <f t="shared" ref="U9:U17" si="1">H9</f>
        <v>97.5</v>
      </c>
      <c r="V9" s="1554" t="s">
        <v>8</v>
      </c>
      <c r="W9" s="1555">
        <f t="shared" ref="W9:W17" si="2">J9</f>
        <v>97.5</v>
      </c>
      <c r="X9" s="1556"/>
      <c r="Y9" s="3457" t="s">
        <v>530</v>
      </c>
      <c r="Z9" s="3458"/>
      <c r="AA9" s="1557">
        <f>D9/F9</f>
        <v>1.0101010101010102</v>
      </c>
      <c r="AB9" s="1557">
        <f>D9/H9</f>
        <v>1.0256410256410255</v>
      </c>
      <c r="AC9" s="1557">
        <f>D9/J9</f>
        <v>1.0256410256410255</v>
      </c>
    </row>
    <row r="10" spans="1:30" s="1216" customFormat="1" ht="21" thickBot="1">
      <c r="A10" s="2868"/>
      <c r="B10" s="2875"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20"/>
      <c r="M10" s="2117"/>
      <c r="N10" s="2117"/>
      <c r="O10" s="2121"/>
      <c r="P10" s="3457" t="s">
        <v>533</v>
      </c>
      <c r="Q10" s="3458"/>
      <c r="R10" s="1554" t="s">
        <v>8</v>
      </c>
      <c r="S10" s="1555">
        <f t="shared" si="0"/>
        <v>100</v>
      </c>
      <c r="T10" s="1554" t="s">
        <v>8</v>
      </c>
      <c r="U10" s="1555">
        <f t="shared" si="1"/>
        <v>100</v>
      </c>
      <c r="V10" s="1554" t="s">
        <v>8</v>
      </c>
      <c r="W10" s="1555">
        <f t="shared" si="2"/>
        <v>100</v>
      </c>
      <c r="X10" s="1556"/>
      <c r="Y10" s="3457" t="s">
        <v>533</v>
      </c>
      <c r="Z10" s="3458"/>
      <c r="AA10" s="1557">
        <f t="shared" ref="AA10:AA47" si="3">D10/F10</f>
        <v>1</v>
      </c>
      <c r="AB10" s="1557">
        <f t="shared" ref="AB10:AB47" si="4">D10/H10</f>
        <v>1</v>
      </c>
      <c r="AC10" s="1557">
        <f t="shared" ref="AC10:AC47" si="5">D10/J10</f>
        <v>1</v>
      </c>
    </row>
    <row r="11" spans="1:30" s="1216" customFormat="1" ht="20.25">
      <c r="A11" s="2869"/>
      <c r="B11" s="2876" t="s">
        <v>2753</v>
      </c>
      <c r="C11" s="2863" t="s">
        <v>3348</v>
      </c>
      <c r="D11" s="254">
        <v>100</v>
      </c>
      <c r="E11" s="2863" t="s">
        <v>3352</v>
      </c>
      <c r="F11" s="254">
        <f>SUMIF(77:77,E11,78:78)-SUMIF(77:77,C11,78:78)+100</f>
        <v>85</v>
      </c>
      <c r="G11" s="2863" t="s">
        <v>2996</v>
      </c>
      <c r="H11" s="254">
        <f>SUMIF(77:77,G11,78:78)-SUMIF(77:77,C11,78:78)+100</f>
        <v>95</v>
      </c>
      <c r="I11" s="2863" t="s">
        <v>2996</v>
      </c>
      <c r="J11" s="254">
        <f>SUMIF(77:77,I11,78:78)-SUMIF(77:77,C11,78:78)+100</f>
        <v>95</v>
      </c>
      <c r="K11" s="524"/>
      <c r="L11" s="2120"/>
      <c r="M11" s="2117"/>
      <c r="N11" s="2117"/>
      <c r="O11" s="2122"/>
      <c r="P11" s="3424" t="s">
        <v>535</v>
      </c>
      <c r="Q11" s="1147" t="str">
        <f t="shared" ref="Q11:Q17" si="6">B11</f>
        <v>用途</v>
      </c>
      <c r="R11" s="1554" t="s">
        <v>8</v>
      </c>
      <c r="S11" s="1555">
        <f t="shared" si="0"/>
        <v>85</v>
      </c>
      <c r="T11" s="1554" t="s">
        <v>8</v>
      </c>
      <c r="U11" s="1555">
        <f t="shared" si="1"/>
        <v>95</v>
      </c>
      <c r="V11" s="1554" t="s">
        <v>8</v>
      </c>
      <c r="W11" s="1555">
        <f t="shared" si="2"/>
        <v>95</v>
      </c>
      <c r="X11" s="1556"/>
      <c r="Y11" s="3370" t="s">
        <v>536</v>
      </c>
      <c r="Z11" s="1146" t="str">
        <f t="shared" ref="Z11:Z17" si="7">Q11</f>
        <v>用途</v>
      </c>
      <c r="AA11" s="1557">
        <f t="shared" si="3"/>
        <v>1.1764705882352942</v>
      </c>
      <c r="AB11" s="1557">
        <f t="shared" si="4"/>
        <v>1.0526315789473684</v>
      </c>
      <c r="AC11" s="1557">
        <f t="shared" si="5"/>
        <v>1.0526315789473684</v>
      </c>
    </row>
    <row r="12" spans="1:30" s="1334" customFormat="1" ht="27">
      <c r="A12" s="2870"/>
      <c r="B12" s="2875" t="s">
        <v>2754</v>
      </c>
      <c r="C12" s="910"/>
      <c r="D12" s="255">
        <v>100</v>
      </c>
      <c r="E12" s="529"/>
      <c r="F12" s="255">
        <f>ROUND(100/'数据-取费表'!G16,0)</f>
        <v>101</v>
      </c>
      <c r="G12" s="530"/>
      <c r="H12" s="255">
        <f>ROUND(100/'数据-取费表'!G16,0)</f>
        <v>101</v>
      </c>
      <c r="I12" s="530"/>
      <c r="J12" s="255">
        <f>ROUND(100/'数据-取费表'!G16,0)</f>
        <v>101</v>
      </c>
      <c r="K12" s="531"/>
      <c r="L12" s="2123"/>
      <c r="M12" s="2117"/>
      <c r="N12" s="2117"/>
      <c r="O12" s="2124"/>
      <c r="P12" s="3424"/>
      <c r="Q12" s="1147" t="str">
        <f t="shared" si="6"/>
        <v>土地使用年限（年）</v>
      </c>
      <c r="R12" s="1554" t="s">
        <v>8</v>
      </c>
      <c r="S12" s="1555">
        <f t="shared" si="0"/>
        <v>101</v>
      </c>
      <c r="T12" s="1554" t="s">
        <v>8</v>
      </c>
      <c r="U12" s="1555">
        <f t="shared" si="1"/>
        <v>101</v>
      </c>
      <c r="V12" s="1554" t="s">
        <v>8</v>
      </c>
      <c r="W12" s="1555">
        <f t="shared" si="2"/>
        <v>101</v>
      </c>
      <c r="X12" s="1556"/>
      <c r="Y12" s="3370"/>
      <c r="Z12" s="1146" t="str">
        <f t="shared" si="7"/>
        <v>土地使用年限（年）</v>
      </c>
      <c r="AA12" s="1557">
        <f t="shared" si="3"/>
        <v>0.99009900990099009</v>
      </c>
      <c r="AB12" s="1557">
        <f t="shared" si="4"/>
        <v>0.99009900990099009</v>
      </c>
      <c r="AC12" s="1557">
        <f t="shared" si="5"/>
        <v>0.99009900990099009</v>
      </c>
    </row>
    <row r="13" spans="1:30" ht="20.25">
      <c r="A13" s="2871"/>
      <c r="B13" s="2875" t="s">
        <v>2755</v>
      </c>
      <c r="C13" s="534">
        <f>'数据-汇总表'!I6</f>
        <v>2.5</v>
      </c>
      <c r="D13" s="255">
        <v>100</v>
      </c>
      <c r="E13" s="533">
        <v>2.9</v>
      </c>
      <c r="F13" s="255">
        <f>LOOKUP(E13,82:82,83:83)-LOOKUP(C13,82:82,83:83)+100</f>
        <v>100</v>
      </c>
      <c r="G13" s="534">
        <v>2.4</v>
      </c>
      <c r="H13" s="255">
        <f>LOOKUP(G13,82:82,83:83)-LOOKUP(C13,82:82,83:83)+100</f>
        <v>101</v>
      </c>
      <c r="I13" s="533">
        <v>2.2999999999999998</v>
      </c>
      <c r="J13" s="255">
        <f>LOOKUP(I13,82:82,83:83)-LOOKUP(C13,82:82,83:83)+100</f>
        <v>101</v>
      </c>
      <c r="K13" s="535">
        <v>1</v>
      </c>
      <c r="L13" s="2125"/>
      <c r="M13" s="2117"/>
      <c r="N13" s="2117"/>
      <c r="O13" s="2126"/>
      <c r="P13" s="3424"/>
      <c r="Q13" s="1147" t="str">
        <f t="shared" si="6"/>
        <v>容积率</v>
      </c>
      <c r="R13" s="1554" t="s">
        <v>8</v>
      </c>
      <c r="S13" s="1555">
        <f t="shared" si="0"/>
        <v>100</v>
      </c>
      <c r="T13" s="1554" t="s">
        <v>8</v>
      </c>
      <c r="U13" s="1555">
        <f t="shared" si="1"/>
        <v>101</v>
      </c>
      <c r="V13" s="1554" t="s">
        <v>8</v>
      </c>
      <c r="W13" s="1555">
        <f t="shared" si="2"/>
        <v>101</v>
      </c>
      <c r="X13" s="1556"/>
      <c r="Y13" s="3370"/>
      <c r="Z13" s="1146" t="str">
        <f t="shared" si="7"/>
        <v>容积率</v>
      </c>
      <c r="AA13" s="1557">
        <f t="shared" si="3"/>
        <v>1</v>
      </c>
      <c r="AB13" s="1557">
        <f t="shared" si="4"/>
        <v>0.99009900990099009</v>
      </c>
      <c r="AC13" s="1557">
        <f t="shared" si="5"/>
        <v>0.99009900990099009</v>
      </c>
    </row>
    <row r="14" spans="1:30" s="1216" customFormat="1" ht="20.25" hidden="1">
      <c r="A14" s="2868"/>
      <c r="B14" s="2877" t="s">
        <v>2756</v>
      </c>
      <c r="C14" s="2864"/>
      <c r="D14" s="538">
        <v>100</v>
      </c>
      <c r="E14" s="1371"/>
      <c r="F14" s="255">
        <f>SUMIF(84:84,E14,85:85)-SUMIF(84:84,C14,85:85)+100</f>
        <v>100</v>
      </c>
      <c r="G14" s="530"/>
      <c r="H14" s="255">
        <f>SUMIF(84:84,G14,85:85)-SUMIF(84:84,C14,85:85)+100</f>
        <v>100</v>
      </c>
      <c r="I14" s="529"/>
      <c r="J14" s="255">
        <f>SUMIF(84:84,I14,85:85)-SUMIF(84:84,C14,85:85)+100</f>
        <v>100</v>
      </c>
      <c r="K14" s="531"/>
      <c r="L14" s="2120"/>
      <c r="M14" s="2117"/>
      <c r="N14" s="2117"/>
      <c r="O14" s="2122"/>
      <c r="P14" s="3424"/>
      <c r="Q14" s="1147" t="str">
        <f t="shared" si="6"/>
        <v>配建</v>
      </c>
      <c r="R14" s="1554" t="s">
        <v>8</v>
      </c>
      <c r="S14" s="1555">
        <f t="shared" si="0"/>
        <v>100</v>
      </c>
      <c r="T14" s="1554" t="s">
        <v>8</v>
      </c>
      <c r="U14" s="1555">
        <f t="shared" si="1"/>
        <v>100</v>
      </c>
      <c r="V14" s="1554" t="s">
        <v>8</v>
      </c>
      <c r="W14" s="1555">
        <f t="shared" si="2"/>
        <v>100</v>
      </c>
      <c r="X14" s="1556"/>
      <c r="Y14" s="3370"/>
      <c r="Z14" s="1146" t="str">
        <f t="shared" si="7"/>
        <v>配建</v>
      </c>
      <c r="AA14" s="1557">
        <f>D14/F14</f>
        <v>1</v>
      </c>
      <c r="AB14" s="1557">
        <f>D14/H14</f>
        <v>1</v>
      </c>
      <c r="AC14" s="1557">
        <f>D14/J14</f>
        <v>1</v>
      </c>
    </row>
    <row r="15" spans="1:30" ht="20.25" hidden="1">
      <c r="A15" s="2872"/>
      <c r="B15" s="2878">
        <v>111</v>
      </c>
      <c r="C15" s="912"/>
      <c r="D15" s="540">
        <v>100</v>
      </c>
      <c r="E15" s="541"/>
      <c r="F15" s="255">
        <f>SUMIF(86:86,E15,87:87)-SUMIF(86:86,C15,87:87)+100</f>
        <v>100</v>
      </c>
      <c r="G15" s="542"/>
      <c r="H15" s="540">
        <f>SUMIF(86:86,G15,87:87)-SUMIF(86:86,C15,87:87)+100</f>
        <v>100</v>
      </c>
      <c r="I15" s="542"/>
      <c r="J15" s="540">
        <f>SUMIF(86:86,I15,87:87)-SUMIF(86:86,C15,87:87)+100</f>
        <v>100</v>
      </c>
      <c r="K15" s="531"/>
      <c r="L15" s="2127"/>
      <c r="M15" s="2117"/>
      <c r="N15" s="2117"/>
      <c r="O15" s="2126"/>
      <c r="P15" s="3424"/>
      <c r="Q15" s="1147">
        <f t="shared" si="6"/>
        <v>111</v>
      </c>
      <c r="R15" s="1554" t="s">
        <v>8</v>
      </c>
      <c r="S15" s="1555">
        <f t="shared" si="0"/>
        <v>100</v>
      </c>
      <c r="T15" s="1554" t="s">
        <v>8</v>
      </c>
      <c r="U15" s="1555">
        <f t="shared" si="1"/>
        <v>100</v>
      </c>
      <c r="V15" s="1554" t="s">
        <v>8</v>
      </c>
      <c r="W15" s="1555">
        <f t="shared" si="2"/>
        <v>100</v>
      </c>
      <c r="X15" s="1556"/>
      <c r="Y15" s="3370"/>
      <c r="Z15" s="1146">
        <f t="shared" si="7"/>
        <v>111</v>
      </c>
      <c r="AA15" s="1557">
        <f>D15/F15</f>
        <v>1</v>
      </c>
      <c r="AB15" s="1557">
        <f>D15/H15</f>
        <v>1</v>
      </c>
      <c r="AC15" s="1557">
        <f>D15/J15</f>
        <v>1</v>
      </c>
    </row>
    <row r="16" spans="1:30" ht="21" hidden="1" thickBot="1">
      <c r="A16" s="2873"/>
      <c r="B16" s="2879">
        <v>111</v>
      </c>
      <c r="C16" s="915"/>
      <c r="D16" s="546">
        <v>100</v>
      </c>
      <c r="E16" s="541"/>
      <c r="F16" s="546">
        <f>SUMIF(88:88,E16,89:89)-SUMIF(88:88,C16,89:89)+100</f>
        <v>100</v>
      </c>
      <c r="G16" s="542"/>
      <c r="H16" s="546">
        <f>SUMIF(88:88,G16,89:89)-SUMIF(88:88,C16,89:89)+100</f>
        <v>100</v>
      </c>
      <c r="I16" s="542"/>
      <c r="J16" s="546">
        <f>SUMIF(88:88,I16,89:89)-SUMIF(88:88,C16,89:89)+100</f>
        <v>100</v>
      </c>
      <c r="K16" s="531"/>
      <c r="L16" s="2127"/>
      <c r="M16" s="2117"/>
      <c r="N16" s="2117"/>
      <c r="O16" s="2126"/>
      <c r="P16" s="3424"/>
      <c r="Q16" s="1147">
        <f t="shared" si="6"/>
        <v>111</v>
      </c>
      <c r="R16" s="1554" t="s">
        <v>8</v>
      </c>
      <c r="S16" s="1555">
        <f t="shared" si="0"/>
        <v>100</v>
      </c>
      <c r="T16" s="1554" t="s">
        <v>8</v>
      </c>
      <c r="U16" s="1555">
        <f t="shared" si="1"/>
        <v>100</v>
      </c>
      <c r="V16" s="1554" t="s">
        <v>8</v>
      </c>
      <c r="W16" s="1555">
        <f t="shared" si="2"/>
        <v>100</v>
      </c>
      <c r="X16" s="1556"/>
      <c r="Y16" s="3370"/>
      <c r="Z16" s="1146">
        <f t="shared" si="7"/>
        <v>111</v>
      </c>
      <c r="AA16" s="1557">
        <f>D16/F16</f>
        <v>1</v>
      </c>
      <c r="AB16" s="1557">
        <f>D16/H16</f>
        <v>1</v>
      </c>
      <c r="AC16" s="1557">
        <f>D16/J16</f>
        <v>1</v>
      </c>
    </row>
    <row r="17" spans="1:29" ht="20.25" hidden="1">
      <c r="A17" s="2865" t="s">
        <v>2751</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100</v>
      </c>
      <c r="K17" s="535"/>
      <c r="L17" s="2127"/>
      <c r="M17" s="2117"/>
      <c r="N17" s="2117"/>
      <c r="O17" s="2126"/>
      <c r="P17" s="3460" t="s">
        <v>540</v>
      </c>
      <c r="Q17" s="1558" t="str">
        <f t="shared" si="6"/>
        <v>居住社区成熟度</v>
      </c>
      <c r="R17" s="1559" t="s">
        <v>8</v>
      </c>
      <c r="S17" s="1560">
        <f t="shared" si="0"/>
        <v>100</v>
      </c>
      <c r="T17" s="1559" t="s">
        <v>8</v>
      </c>
      <c r="U17" s="1560">
        <f t="shared" si="1"/>
        <v>100</v>
      </c>
      <c r="V17" s="1559" t="s">
        <v>8</v>
      </c>
      <c r="W17" s="1560">
        <f t="shared" si="2"/>
        <v>100</v>
      </c>
      <c r="X17" s="1553"/>
      <c r="Y17" s="3460" t="s">
        <v>540</v>
      </c>
      <c r="Z17" s="1561" t="str">
        <f t="shared" si="7"/>
        <v>居住社区成熟度</v>
      </c>
      <c r="AA17" s="1562">
        <f t="shared" si="3"/>
        <v>1</v>
      </c>
      <c r="AB17" s="1562">
        <f t="shared" si="4"/>
        <v>1</v>
      </c>
      <c r="AC17" s="1562">
        <f t="shared" si="5"/>
        <v>1</v>
      </c>
    </row>
    <row r="18" spans="1:29" ht="20.25" hidden="1">
      <c r="A18" s="532"/>
      <c r="B18" s="553"/>
      <c r="C18" s="554"/>
      <c r="D18" s="557"/>
      <c r="E18" s="558"/>
      <c r="F18" s="555"/>
      <c r="G18" s="556"/>
      <c r="H18" s="559"/>
      <c r="I18" s="558"/>
      <c r="J18" s="555"/>
      <c r="K18" s="531"/>
      <c r="L18" s="2127"/>
      <c r="M18" s="2117"/>
      <c r="N18" s="2117"/>
      <c r="O18" s="2126"/>
      <c r="P18" s="3461"/>
      <c r="Q18" s="1558"/>
      <c r="R18" s="1559"/>
      <c r="S18" s="1560"/>
      <c r="T18" s="1559"/>
      <c r="U18" s="1560"/>
      <c r="V18" s="1559"/>
      <c r="W18" s="1560"/>
      <c r="X18" s="1553"/>
      <c r="Y18" s="3461"/>
      <c r="Z18" s="1561"/>
      <c r="AA18" s="1562">
        <v>1</v>
      </c>
      <c r="AB18" s="1562">
        <v>1</v>
      </c>
      <c r="AC18" s="1562">
        <v>1</v>
      </c>
    </row>
    <row r="19" spans="1:29" ht="20.25">
      <c r="A19" s="532"/>
      <c r="B19" s="560" t="s">
        <v>541</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v>2</v>
      </c>
      <c r="L19" s="2127"/>
      <c r="M19" s="2117"/>
      <c r="N19" s="2117"/>
      <c r="O19" s="2126"/>
      <c r="P19" s="3461"/>
      <c r="Q19" s="1558" t="str">
        <f>B19</f>
        <v>商业繁华度</v>
      </c>
      <c r="R19" s="1559" t="s">
        <v>8</v>
      </c>
      <c r="S19" s="1560">
        <f>F19</f>
        <v>100</v>
      </c>
      <c r="T19" s="1559" t="s">
        <v>8</v>
      </c>
      <c r="U19" s="1560">
        <f>H19</f>
        <v>100</v>
      </c>
      <c r="V19" s="1559" t="s">
        <v>8</v>
      </c>
      <c r="W19" s="1560">
        <f>J19</f>
        <v>100</v>
      </c>
      <c r="X19" s="1553"/>
      <c r="Y19" s="3461"/>
      <c r="Z19" s="1561" t="str">
        <f>Q19</f>
        <v>商业繁华度</v>
      </c>
      <c r="AA19" s="1562">
        <f t="shared" si="3"/>
        <v>1</v>
      </c>
      <c r="AB19" s="1562">
        <f t="shared" si="4"/>
        <v>1</v>
      </c>
      <c r="AC19" s="1562">
        <f t="shared" si="5"/>
        <v>1</v>
      </c>
    </row>
    <row r="20" spans="1:29" ht="20.25">
      <c r="A20" s="532"/>
      <c r="B20" s="566"/>
      <c r="C20" s="567" t="s">
        <v>3019</v>
      </c>
      <c r="D20" s="563"/>
      <c r="E20" s="567" t="s">
        <v>3019</v>
      </c>
      <c r="F20" s="559"/>
      <c r="G20" s="567" t="s">
        <v>3019</v>
      </c>
      <c r="H20" s="555"/>
      <c r="I20" s="567" t="s">
        <v>3019</v>
      </c>
      <c r="J20" s="555"/>
      <c r="K20" s="531"/>
      <c r="L20" s="2127"/>
      <c r="M20" s="2117"/>
      <c r="N20" s="2117"/>
      <c r="O20" s="2126"/>
      <c r="P20" s="3461"/>
      <c r="Q20" s="1558"/>
      <c r="R20" s="1559"/>
      <c r="S20" s="1560"/>
      <c r="T20" s="1559"/>
      <c r="U20" s="1560"/>
      <c r="V20" s="1559"/>
      <c r="W20" s="1560"/>
      <c r="X20" s="1553"/>
      <c r="Y20" s="3461"/>
      <c r="Z20" s="1561"/>
      <c r="AA20" s="1562">
        <v>1</v>
      </c>
      <c r="AB20" s="1562">
        <v>1</v>
      </c>
      <c r="AC20" s="1562">
        <v>1</v>
      </c>
    </row>
    <row r="21" spans="1:29" ht="20.25">
      <c r="A21" s="532"/>
      <c r="B21" s="560" t="s">
        <v>542</v>
      </c>
      <c r="C21" s="561" t="str">
        <f>估价对象房地状况!C17</f>
        <v>一般</v>
      </c>
      <c r="D21" s="571">
        <v>100</v>
      </c>
      <c r="E21" s="572"/>
      <c r="F21" s="565">
        <f>SUMIF(94:94,E22,95:95)-SUMIF(94:94,C22,95:95)+100</f>
        <v>100</v>
      </c>
      <c r="G21" s="570"/>
      <c r="H21" s="559">
        <f>SUMIF(94:94,G22,95:95)-SUMIF(94:94,C22,95:95)+100</f>
        <v>100</v>
      </c>
      <c r="I21" s="572"/>
      <c r="J21" s="559">
        <f>SUMIF(94:94,I22,95:95)-SUMIF(94:94,C22,95:95)+100</f>
        <v>100</v>
      </c>
      <c r="K21" s="535">
        <v>2</v>
      </c>
      <c r="L21" s="2127"/>
      <c r="M21" s="2117"/>
      <c r="N21" s="2117"/>
      <c r="O21" s="2126"/>
      <c r="P21" s="3461"/>
      <c r="Q21" s="1558" t="str">
        <f>B21</f>
        <v>办公集聚程度</v>
      </c>
      <c r="R21" s="1559" t="s">
        <v>8</v>
      </c>
      <c r="S21" s="1560">
        <f>F21</f>
        <v>100</v>
      </c>
      <c r="T21" s="1559" t="s">
        <v>8</v>
      </c>
      <c r="U21" s="1560">
        <f>H21</f>
        <v>100</v>
      </c>
      <c r="V21" s="1559" t="s">
        <v>8</v>
      </c>
      <c r="W21" s="1560">
        <f>J21</f>
        <v>100</v>
      </c>
      <c r="X21" s="1553"/>
      <c r="Y21" s="3461"/>
      <c r="Z21" s="1561" t="str">
        <f>Q21</f>
        <v>办公集聚程度</v>
      </c>
      <c r="AA21" s="1562">
        <f t="shared" si="3"/>
        <v>1</v>
      </c>
      <c r="AB21" s="1562">
        <f t="shared" si="4"/>
        <v>1</v>
      </c>
      <c r="AC21" s="1562">
        <f t="shared" si="5"/>
        <v>1</v>
      </c>
    </row>
    <row r="22" spans="1:29" ht="20.25">
      <c r="A22" s="532"/>
      <c r="B22" s="566"/>
      <c r="C22" s="567"/>
      <c r="D22" s="557"/>
      <c r="E22" s="567"/>
      <c r="F22" s="555"/>
      <c r="G22" s="567"/>
      <c r="H22" s="555"/>
      <c r="I22" s="567"/>
      <c r="J22" s="555"/>
      <c r="K22" s="531"/>
      <c r="L22" s="2127"/>
      <c r="M22" s="2117"/>
      <c r="N22" s="2117"/>
      <c r="O22" s="2126"/>
      <c r="P22" s="3461"/>
      <c r="Q22" s="1558"/>
      <c r="R22" s="1559"/>
      <c r="S22" s="1560"/>
      <c r="T22" s="1559"/>
      <c r="U22" s="1560"/>
      <c r="V22" s="1559"/>
      <c r="W22" s="1560"/>
      <c r="X22" s="1553"/>
      <c r="Y22" s="3461"/>
      <c r="Z22" s="1561"/>
      <c r="AA22" s="1562">
        <v>1</v>
      </c>
      <c r="AB22" s="1562">
        <v>1</v>
      </c>
      <c r="AC22" s="1562">
        <v>1</v>
      </c>
    </row>
    <row r="23" spans="1:29" ht="20.25">
      <c r="A23" s="532"/>
      <c r="B23" s="560" t="s">
        <v>543</v>
      </c>
      <c r="C23" s="573" t="str">
        <f>估价对象房地状况!C18</f>
        <v>较好</v>
      </c>
      <c r="D23" s="563">
        <v>100</v>
      </c>
      <c r="E23" s="564"/>
      <c r="F23" s="565">
        <f>SUMIF(96:96,E24,97:97)-SUMIF(96:96,C24,97:97)+100</f>
        <v>100</v>
      </c>
      <c r="G23" s="562"/>
      <c r="H23" s="559">
        <f>SUMIF(96:96,G24,97:97)-SUMIF(96:96,C24,97:97)+100</f>
        <v>100</v>
      </c>
      <c r="I23" s="564"/>
      <c r="J23" s="559">
        <f>SUMIF(96:96,I24,97:97)-SUMIF(96:96,C24,97:97)+100</f>
        <v>100</v>
      </c>
      <c r="K23" s="535">
        <v>2</v>
      </c>
      <c r="L23" s="2127"/>
      <c r="M23" s="2117"/>
      <c r="N23" s="2117"/>
      <c r="O23" s="2126"/>
      <c r="P23" s="3461"/>
      <c r="Q23" s="1558" t="str">
        <f>B23</f>
        <v>交通便捷度</v>
      </c>
      <c r="R23" s="1559" t="s">
        <v>8</v>
      </c>
      <c r="S23" s="1560">
        <f>F23</f>
        <v>100</v>
      </c>
      <c r="T23" s="1559" t="s">
        <v>8</v>
      </c>
      <c r="U23" s="1560">
        <f>H23</f>
        <v>100</v>
      </c>
      <c r="V23" s="1559" t="s">
        <v>8</v>
      </c>
      <c r="W23" s="1560">
        <f>J23</f>
        <v>100</v>
      </c>
      <c r="X23" s="1553"/>
      <c r="Y23" s="3461"/>
      <c r="Z23" s="1561" t="str">
        <f>Q23</f>
        <v>交通便捷度</v>
      </c>
      <c r="AA23" s="1562">
        <f t="shared" si="3"/>
        <v>1</v>
      </c>
      <c r="AB23" s="1562">
        <f t="shared" si="4"/>
        <v>1</v>
      </c>
      <c r="AC23" s="1562">
        <f t="shared" si="5"/>
        <v>1</v>
      </c>
    </row>
    <row r="24" spans="1:29" ht="20.25">
      <c r="A24" s="532"/>
      <c r="B24" s="578"/>
      <c r="C24" s="554" t="s">
        <v>3020</v>
      </c>
      <c r="D24" s="557"/>
      <c r="E24" s="554" t="s">
        <v>3020</v>
      </c>
      <c r="F24" s="555"/>
      <c r="G24" s="554" t="s">
        <v>3020</v>
      </c>
      <c r="H24" s="555"/>
      <c r="I24" s="558" t="s">
        <v>3020</v>
      </c>
      <c r="J24" s="555"/>
      <c r="K24" s="531"/>
      <c r="L24" s="2127"/>
      <c r="M24" s="2117"/>
      <c r="N24" s="2117"/>
      <c r="O24" s="2126"/>
      <c r="P24" s="3461"/>
      <c r="Q24" s="1558"/>
      <c r="R24" s="1559"/>
      <c r="S24" s="1560"/>
      <c r="T24" s="1559"/>
      <c r="U24" s="1560"/>
      <c r="V24" s="1559"/>
      <c r="W24" s="1560"/>
      <c r="X24" s="1553"/>
      <c r="Y24" s="3461"/>
      <c r="Z24" s="1561"/>
      <c r="AA24" s="1562">
        <v>1</v>
      </c>
      <c r="AB24" s="1562">
        <v>1</v>
      </c>
      <c r="AC24" s="1562">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1</v>
      </c>
      <c r="L25" s="2127"/>
      <c r="M25" s="2117"/>
      <c r="N25" s="2117"/>
      <c r="O25" s="2126"/>
      <c r="P25" s="3461"/>
      <c r="Q25" s="1558" t="str">
        <f t="shared" ref="Q25:Q39" si="8">B25</f>
        <v>区域土地利用方向</v>
      </c>
      <c r="R25" s="1559" t="s">
        <v>8</v>
      </c>
      <c r="S25" s="1560">
        <f>F25</f>
        <v>100</v>
      </c>
      <c r="T25" s="1559" t="s">
        <v>8</v>
      </c>
      <c r="U25" s="1560">
        <f>H25</f>
        <v>100</v>
      </c>
      <c r="V25" s="1559" t="s">
        <v>8</v>
      </c>
      <c r="W25" s="1560">
        <f>J25</f>
        <v>100</v>
      </c>
      <c r="X25" s="1553"/>
      <c r="Y25" s="3461"/>
      <c r="Z25" s="1561" t="str">
        <f>Q25</f>
        <v>区域土地利用方向</v>
      </c>
      <c r="AA25" s="1562">
        <f t="shared" si="3"/>
        <v>1</v>
      </c>
      <c r="AB25" s="1562">
        <f t="shared" si="4"/>
        <v>1</v>
      </c>
      <c r="AC25" s="1562">
        <f t="shared" si="5"/>
        <v>1</v>
      </c>
    </row>
    <row r="26" spans="1:29" ht="20.25">
      <c r="A26" s="515"/>
      <c r="B26" s="1007"/>
      <c r="C26" s="554" t="s">
        <v>3020</v>
      </c>
      <c r="D26" s="557"/>
      <c r="E26" s="554" t="s">
        <v>3020</v>
      </c>
      <c r="F26" s="555"/>
      <c r="G26" s="554" t="s">
        <v>3020</v>
      </c>
      <c r="H26" s="555"/>
      <c r="I26" s="554" t="s">
        <v>3020</v>
      </c>
      <c r="J26" s="555"/>
      <c r="K26" s="531"/>
      <c r="L26" s="2127"/>
      <c r="M26" s="2117"/>
      <c r="N26" s="2117"/>
      <c r="O26" s="2126"/>
      <c r="P26" s="3461"/>
      <c r="Q26" s="1558"/>
      <c r="R26" s="1559"/>
      <c r="S26" s="1560"/>
      <c r="T26" s="1559"/>
      <c r="U26" s="1560"/>
      <c r="V26" s="1559"/>
      <c r="W26" s="1560"/>
      <c r="X26" s="1553"/>
      <c r="Y26" s="3461"/>
      <c r="Z26" s="1561"/>
      <c r="AA26" s="1562"/>
      <c r="AB26" s="1562"/>
      <c r="AC26" s="1562"/>
    </row>
    <row r="27" spans="1:29" ht="27">
      <c r="A27" s="515"/>
      <c r="B27" s="578" t="s">
        <v>545</v>
      </c>
      <c r="C27" s="561" t="str">
        <f>估价对象房地状况!C20</f>
        <v>较好</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7"/>
      <c r="M27" s="2117"/>
      <c r="N27" s="2117"/>
      <c r="O27" s="2126"/>
      <c r="P27" s="3461"/>
      <c r="Q27" s="1558" t="str">
        <f t="shared" si="8"/>
        <v>自然及人文环境状况</v>
      </c>
      <c r="R27" s="1559" t="s">
        <v>8</v>
      </c>
      <c r="S27" s="1560">
        <f>F27</f>
        <v>100</v>
      </c>
      <c r="T27" s="1559" t="s">
        <v>8</v>
      </c>
      <c r="U27" s="1560">
        <f>H27</f>
        <v>100</v>
      </c>
      <c r="V27" s="1559" t="s">
        <v>8</v>
      </c>
      <c r="W27" s="1560">
        <f>J27</f>
        <v>100</v>
      </c>
      <c r="X27" s="1553"/>
      <c r="Y27" s="3461"/>
      <c r="Z27" s="1561" t="str">
        <f>Q27</f>
        <v>自然及人文环境状况</v>
      </c>
      <c r="AA27" s="1562">
        <f t="shared" si="3"/>
        <v>1</v>
      </c>
      <c r="AB27" s="1562">
        <f t="shared" si="4"/>
        <v>1</v>
      </c>
      <c r="AC27" s="1562">
        <f t="shared" si="5"/>
        <v>1</v>
      </c>
    </row>
    <row r="28" spans="1:29" ht="20.25">
      <c r="A28" s="515"/>
      <c r="B28" s="566"/>
      <c r="C28" s="554" t="s">
        <v>3020</v>
      </c>
      <c r="D28" s="557"/>
      <c r="E28" s="554" t="s">
        <v>3020</v>
      </c>
      <c r="F28" s="555"/>
      <c r="G28" s="554" t="s">
        <v>3020</v>
      </c>
      <c r="H28" s="555"/>
      <c r="I28" s="554" t="s">
        <v>3020</v>
      </c>
      <c r="J28" s="555"/>
      <c r="K28" s="531"/>
      <c r="L28" s="2127"/>
      <c r="M28" s="2117"/>
      <c r="N28" s="2117"/>
      <c r="O28" s="2126"/>
      <c r="P28" s="3461"/>
      <c r="Q28" s="1558"/>
      <c r="R28" s="1559"/>
      <c r="S28" s="1560"/>
      <c r="T28" s="1559"/>
      <c r="U28" s="1560"/>
      <c r="V28" s="1559"/>
      <c r="W28" s="1560"/>
      <c r="X28" s="1553"/>
      <c r="Y28" s="3461"/>
      <c r="Z28" s="1561"/>
      <c r="AA28" s="1562">
        <v>1</v>
      </c>
      <c r="AB28" s="1562">
        <v>1</v>
      </c>
      <c r="AC28" s="1562">
        <v>1</v>
      </c>
    </row>
    <row r="29" spans="1:29" s="1216" customFormat="1" ht="20.25">
      <c r="A29" s="577"/>
      <c r="B29" s="2555" t="s">
        <v>2545</v>
      </c>
      <c r="C29" s="573" t="str">
        <f>估价对象房地状况!C21</f>
        <v>一般</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20"/>
      <c r="M29" s="2117"/>
      <c r="N29" s="2117"/>
      <c r="O29" s="2122"/>
      <c r="P29" s="3461"/>
      <c r="Q29" s="1147" t="str">
        <f t="shared" si="8"/>
        <v>公共配套设施</v>
      </c>
      <c r="R29" s="1554" t="s">
        <v>8</v>
      </c>
      <c r="S29" s="1555">
        <f>F29</f>
        <v>100</v>
      </c>
      <c r="T29" s="1554" t="s">
        <v>8</v>
      </c>
      <c r="U29" s="1555">
        <f>H29</f>
        <v>100</v>
      </c>
      <c r="V29" s="1554" t="s">
        <v>8</v>
      </c>
      <c r="W29" s="1555">
        <f>J29</f>
        <v>100</v>
      </c>
      <c r="X29" s="1556"/>
      <c r="Y29" s="3461"/>
      <c r="Z29" s="1146" t="str">
        <f>Q29</f>
        <v>公共配套设施</v>
      </c>
      <c r="AA29" s="1562">
        <f>D29/F29</f>
        <v>1</v>
      </c>
      <c r="AB29" s="1562">
        <f>D29/H29</f>
        <v>1</v>
      </c>
      <c r="AC29" s="1562">
        <f>D29/J29</f>
        <v>1</v>
      </c>
    </row>
    <row r="30" spans="1:29" s="1216" customFormat="1" ht="20.25">
      <c r="A30" s="577"/>
      <c r="B30" s="566"/>
      <c r="C30" s="579" t="s">
        <v>3019</v>
      </c>
      <c r="D30" s="557"/>
      <c r="E30" s="579" t="s">
        <v>3019</v>
      </c>
      <c r="F30" s="555"/>
      <c r="G30" s="579" t="s">
        <v>3019</v>
      </c>
      <c r="H30" s="555"/>
      <c r="I30" s="579" t="s">
        <v>3019</v>
      </c>
      <c r="J30" s="555"/>
      <c r="K30" s="531"/>
      <c r="L30" s="2120"/>
      <c r="M30" s="2117"/>
      <c r="N30" s="2117"/>
      <c r="O30" s="2122"/>
      <c r="P30" s="3461"/>
      <c r="Q30" s="1147"/>
      <c r="R30" s="1554"/>
      <c r="S30" s="1555"/>
      <c r="T30" s="1554"/>
      <c r="U30" s="1555"/>
      <c r="V30" s="1554"/>
      <c r="W30" s="1555"/>
      <c r="X30" s="1556"/>
      <c r="Y30" s="3461"/>
      <c r="Z30" s="1146"/>
      <c r="AA30" s="1562">
        <v>1</v>
      </c>
      <c r="AB30" s="1562">
        <v>1</v>
      </c>
      <c r="AC30" s="1562">
        <v>1</v>
      </c>
    </row>
    <row r="31" spans="1:29" s="1216" customFormat="1" ht="20.25">
      <c r="A31" s="577"/>
      <c r="B31" s="2555" t="s">
        <v>2546</v>
      </c>
      <c r="C31" s="573" t="str">
        <f>估价对象房地状况!C22</f>
        <v>六通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20"/>
      <c r="M31" s="2117"/>
      <c r="N31" s="2117"/>
      <c r="O31" s="2122"/>
      <c r="P31" s="3461"/>
      <c r="Q31" s="2542" t="str">
        <f t="shared" ref="Q31" si="9">B31</f>
        <v>基础设施水平</v>
      </c>
      <c r="R31" s="1554" t="s">
        <v>8</v>
      </c>
      <c r="S31" s="1555">
        <f>F31</f>
        <v>100</v>
      </c>
      <c r="T31" s="1554" t="s">
        <v>8</v>
      </c>
      <c r="U31" s="1555">
        <f>H31</f>
        <v>100</v>
      </c>
      <c r="V31" s="1554" t="s">
        <v>8</v>
      </c>
      <c r="W31" s="1555">
        <f>J31</f>
        <v>100</v>
      </c>
      <c r="X31" s="1556"/>
      <c r="Y31" s="3461"/>
      <c r="Z31" s="2539" t="str">
        <f>Q31</f>
        <v>基础设施水平</v>
      </c>
      <c r="AA31" s="1562">
        <f>D31/F31</f>
        <v>1</v>
      </c>
      <c r="AB31" s="1562">
        <f>D31/H31</f>
        <v>1</v>
      </c>
      <c r="AC31" s="1562">
        <f>D31/J31</f>
        <v>1</v>
      </c>
    </row>
    <row r="32" spans="1:29" s="1216" customFormat="1" ht="21" thickBot="1">
      <c r="A32" s="577"/>
      <c r="B32" s="566"/>
      <c r="C32" s="579" t="s">
        <v>3023</v>
      </c>
      <c r="D32" s="557"/>
      <c r="E32" s="579" t="s">
        <v>3023</v>
      </c>
      <c r="F32" s="555"/>
      <c r="G32" s="579" t="s">
        <v>3023</v>
      </c>
      <c r="H32" s="555"/>
      <c r="I32" s="579" t="s">
        <v>3023</v>
      </c>
      <c r="J32" s="555"/>
      <c r="K32" s="531"/>
      <c r="L32" s="2120"/>
      <c r="M32" s="2117"/>
      <c r="N32" s="2117"/>
      <c r="O32" s="2122"/>
      <c r="P32" s="3461"/>
      <c r="Q32" s="2542"/>
      <c r="R32" s="1554"/>
      <c r="S32" s="1555"/>
      <c r="T32" s="1554"/>
      <c r="U32" s="1555"/>
      <c r="V32" s="1554"/>
      <c r="W32" s="1555"/>
      <c r="X32" s="1556"/>
      <c r="Y32" s="3461"/>
      <c r="Z32" s="2539"/>
      <c r="AA32" s="1562">
        <v>1</v>
      </c>
      <c r="AB32" s="1562">
        <v>1</v>
      </c>
      <c r="AC32" s="1562">
        <v>1</v>
      </c>
    </row>
    <row r="33" spans="1:29" ht="20.25" hidden="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7"/>
      <c r="M33" s="2117"/>
      <c r="N33" s="2117"/>
      <c r="O33" s="2126"/>
      <c r="P33" s="3461"/>
      <c r="Q33" s="1558" t="str">
        <f t="shared" si="8"/>
        <v>临街状况</v>
      </c>
      <c r="R33" s="1559" t="s">
        <v>8</v>
      </c>
      <c r="S33" s="1560">
        <f t="shared" ref="S33:S47" si="10">F33</f>
        <v>100</v>
      </c>
      <c r="T33" s="1559" t="s">
        <v>8</v>
      </c>
      <c r="U33" s="1560">
        <f t="shared" ref="U33:U47" si="11">H33</f>
        <v>100</v>
      </c>
      <c r="V33" s="1559" t="s">
        <v>8</v>
      </c>
      <c r="W33" s="1560">
        <f t="shared" ref="W33:W47" si="12">J33</f>
        <v>100</v>
      </c>
      <c r="X33" s="1553"/>
      <c r="Y33" s="3461"/>
      <c r="Z33" s="1561" t="str">
        <f t="shared" ref="Z33:Z47" si="13">Q33</f>
        <v>临街状况</v>
      </c>
      <c r="AA33" s="1562">
        <f t="shared" si="3"/>
        <v>1</v>
      </c>
      <c r="AB33" s="1562">
        <f t="shared" si="4"/>
        <v>1</v>
      </c>
      <c r="AC33" s="1562">
        <f t="shared" si="5"/>
        <v>1</v>
      </c>
    </row>
    <row r="34" spans="1:29" ht="27" hidden="1">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7"/>
      <c r="M34" s="2117"/>
      <c r="N34" s="2117"/>
      <c r="O34" s="2126"/>
      <c r="P34" s="3461"/>
      <c r="Q34" s="1558" t="str">
        <f t="shared" si="8"/>
        <v>毗邻道路的类型与等级</v>
      </c>
      <c r="R34" s="1559" t="s">
        <v>8</v>
      </c>
      <c r="S34" s="1560">
        <f t="shared" si="10"/>
        <v>100</v>
      </c>
      <c r="T34" s="1559" t="s">
        <v>8</v>
      </c>
      <c r="U34" s="1560">
        <f t="shared" si="11"/>
        <v>100</v>
      </c>
      <c r="V34" s="1559" t="s">
        <v>8</v>
      </c>
      <c r="W34" s="1560">
        <f t="shared" si="12"/>
        <v>100</v>
      </c>
      <c r="X34" s="1553"/>
      <c r="Y34" s="3461"/>
      <c r="Z34" s="1561" t="str">
        <f t="shared" si="13"/>
        <v>毗邻道路的类型与等级</v>
      </c>
      <c r="AA34" s="1562">
        <f t="shared" si="3"/>
        <v>1</v>
      </c>
      <c r="AB34" s="1562">
        <f t="shared" si="4"/>
        <v>1</v>
      </c>
      <c r="AC34" s="1562">
        <f t="shared" si="5"/>
        <v>1</v>
      </c>
    </row>
    <row r="35" spans="1:29" ht="20.25" hidden="1">
      <c r="A35" s="532"/>
      <c r="B35" s="566"/>
      <c r="C35" s="554"/>
      <c r="D35" s="557"/>
      <c r="E35" s="576"/>
      <c r="F35" s="555"/>
      <c r="G35" s="554"/>
      <c r="H35" s="555"/>
      <c r="I35" s="576"/>
      <c r="J35" s="555"/>
      <c r="K35" s="581"/>
      <c r="L35" s="2127"/>
      <c r="M35" s="2117"/>
      <c r="N35" s="2117"/>
      <c r="O35" s="2126"/>
      <c r="P35" s="3461"/>
      <c r="Q35" s="1558"/>
      <c r="R35" s="1559"/>
      <c r="S35" s="1560"/>
      <c r="T35" s="1559"/>
      <c r="U35" s="1560"/>
      <c r="V35" s="1559"/>
      <c r="W35" s="1560"/>
      <c r="X35" s="1553"/>
      <c r="Y35" s="3461"/>
      <c r="Z35" s="1561"/>
      <c r="AA35" s="1562">
        <v>1</v>
      </c>
      <c r="AB35" s="1562">
        <v>1</v>
      </c>
      <c r="AC35" s="1562">
        <v>1</v>
      </c>
    </row>
    <row r="36" spans="1:29" ht="21" hidden="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7"/>
      <c r="M36" s="2117"/>
      <c r="N36" s="2117"/>
      <c r="O36" s="2126"/>
      <c r="P36" s="3461"/>
      <c r="Q36" s="1558" t="str">
        <f t="shared" si="8"/>
        <v>土地级别</v>
      </c>
      <c r="R36" s="1559" t="s">
        <v>8</v>
      </c>
      <c r="S36" s="1560">
        <f t="shared" si="10"/>
        <v>100</v>
      </c>
      <c r="T36" s="1559" t="s">
        <v>8</v>
      </c>
      <c r="U36" s="1560">
        <f t="shared" si="11"/>
        <v>100</v>
      </c>
      <c r="V36" s="1559" t="s">
        <v>8</v>
      </c>
      <c r="W36" s="1560">
        <f t="shared" si="12"/>
        <v>100</v>
      </c>
      <c r="X36" s="1553"/>
      <c r="Y36" s="3461"/>
      <c r="Z36" s="1561" t="str">
        <f t="shared" si="13"/>
        <v>土地级别</v>
      </c>
      <c r="AA36" s="1562">
        <f t="shared" si="3"/>
        <v>1</v>
      </c>
      <c r="AB36" s="1562">
        <f t="shared" si="4"/>
        <v>1</v>
      </c>
      <c r="AC36" s="1562">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7"/>
      <c r="M37" s="2117"/>
      <c r="N37" s="2117"/>
      <c r="O37" s="2126"/>
      <c r="P37" s="3461"/>
      <c r="Q37" s="1558">
        <f t="shared" si="8"/>
        <v>111</v>
      </c>
      <c r="R37" s="1559" t="s">
        <v>8</v>
      </c>
      <c r="S37" s="1560">
        <f t="shared" si="10"/>
        <v>100</v>
      </c>
      <c r="T37" s="1559" t="s">
        <v>8</v>
      </c>
      <c r="U37" s="1560">
        <f t="shared" si="11"/>
        <v>100</v>
      </c>
      <c r="V37" s="1559" t="s">
        <v>8</v>
      </c>
      <c r="W37" s="1560">
        <f t="shared" si="12"/>
        <v>100</v>
      </c>
      <c r="X37" s="1553"/>
      <c r="Y37" s="3461"/>
      <c r="Z37" s="1561">
        <f t="shared" si="13"/>
        <v>111</v>
      </c>
      <c r="AA37" s="1562">
        <f t="shared" si="3"/>
        <v>1</v>
      </c>
      <c r="AB37" s="1562">
        <f t="shared" si="4"/>
        <v>1</v>
      </c>
      <c r="AC37" s="1562">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7"/>
      <c r="M38" s="2117"/>
      <c r="N38" s="2117"/>
      <c r="O38" s="2126"/>
      <c r="P38" s="3462" t="s">
        <v>550</v>
      </c>
      <c r="Q38" s="1558">
        <f t="shared" si="8"/>
        <v>111</v>
      </c>
      <c r="R38" s="1559" t="s">
        <v>8</v>
      </c>
      <c r="S38" s="1560">
        <f t="shared" si="10"/>
        <v>100</v>
      </c>
      <c r="T38" s="1559" t="s">
        <v>8</v>
      </c>
      <c r="U38" s="1560">
        <f t="shared" si="11"/>
        <v>100</v>
      </c>
      <c r="V38" s="1559" t="s">
        <v>8</v>
      </c>
      <c r="W38" s="1560">
        <f t="shared" si="12"/>
        <v>100</v>
      </c>
      <c r="X38" s="1553"/>
      <c r="Y38" s="3463" t="s">
        <v>550</v>
      </c>
      <c r="Z38" s="1561">
        <f t="shared" si="13"/>
        <v>111</v>
      </c>
      <c r="AA38" s="1562">
        <f t="shared" si="3"/>
        <v>1</v>
      </c>
      <c r="AB38" s="1562">
        <f t="shared" si="4"/>
        <v>1</v>
      </c>
      <c r="AC38" s="1562">
        <f t="shared" si="5"/>
        <v>1</v>
      </c>
    </row>
    <row r="39" spans="1:29" s="1335"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5"/>
      <c r="M39" s="2117"/>
      <c r="N39" s="2117"/>
      <c r="O39" s="2128"/>
      <c r="P39" s="3463"/>
      <c r="Q39" s="1558">
        <f t="shared" si="8"/>
        <v>111</v>
      </c>
      <c r="R39" s="1563" t="s">
        <v>8</v>
      </c>
      <c r="S39" s="1564">
        <f t="shared" si="10"/>
        <v>100</v>
      </c>
      <c r="T39" s="1563" t="s">
        <v>8</v>
      </c>
      <c r="U39" s="1564">
        <f t="shared" si="11"/>
        <v>100</v>
      </c>
      <c r="V39" s="1563" t="s">
        <v>8</v>
      </c>
      <c r="W39" s="1564">
        <f t="shared" si="12"/>
        <v>100</v>
      </c>
      <c r="X39" s="1565"/>
      <c r="Y39" s="3463"/>
      <c r="Z39" s="1566">
        <f t="shared" si="13"/>
        <v>111</v>
      </c>
      <c r="AA39" s="1562">
        <f t="shared" si="3"/>
        <v>1</v>
      </c>
      <c r="AB39" s="1562">
        <f t="shared" si="4"/>
        <v>1</v>
      </c>
      <c r="AC39" s="1562">
        <f t="shared" si="5"/>
        <v>1</v>
      </c>
    </row>
    <row r="40" spans="1:29" ht="20.25">
      <c r="A40" s="2862" t="s">
        <v>2752</v>
      </c>
      <c r="B40" s="595" t="s">
        <v>552</v>
      </c>
      <c r="C40" s="596">
        <f>'数据-基础表'!A3</f>
        <v>31784.92</v>
      </c>
      <c r="D40" s="597">
        <v>100</v>
      </c>
      <c r="E40" s="596">
        <f>土地案例!$J$8</f>
        <v>11227.4</v>
      </c>
      <c r="F40" s="597">
        <f>LOOKUP(E40,119:119,120:120)-LOOKUP(C40,119:119,120:120)+100</f>
        <v>98</v>
      </c>
      <c r="G40" s="596">
        <f>土地案例!$J$19</f>
        <v>38850</v>
      </c>
      <c r="H40" s="597">
        <f>LOOKUP(G40,119:119,120:120)-LOOKUP(C40,119:119,120:120)+100</f>
        <v>100</v>
      </c>
      <c r="I40" s="598">
        <f>土地案例!$J$21</f>
        <v>26421</v>
      </c>
      <c r="J40" s="597">
        <f>LOOKUP(I40,119:119,120:120)-LOOKUP(C40,119:119,120:120)+100</f>
        <v>99</v>
      </c>
      <c r="K40" s="581"/>
      <c r="L40" s="2127"/>
      <c r="M40" s="2117"/>
      <c r="N40" s="2117"/>
      <c r="O40" s="2126"/>
      <c r="P40" s="3463"/>
      <c r="Q40" s="1558" t="str">
        <f>B40</f>
        <v>宗地面积</v>
      </c>
      <c r="R40" s="1559" t="s">
        <v>8</v>
      </c>
      <c r="S40" s="1560">
        <f t="shared" si="10"/>
        <v>98</v>
      </c>
      <c r="T40" s="1559" t="s">
        <v>8</v>
      </c>
      <c r="U40" s="1560">
        <f t="shared" si="11"/>
        <v>100</v>
      </c>
      <c r="V40" s="1559" t="s">
        <v>8</v>
      </c>
      <c r="W40" s="1560">
        <f t="shared" si="12"/>
        <v>99</v>
      </c>
      <c r="X40" s="1553"/>
      <c r="Y40" s="3463"/>
      <c r="Z40" s="1561" t="str">
        <f t="shared" si="13"/>
        <v>宗地面积</v>
      </c>
      <c r="AA40" s="1562">
        <f t="shared" si="3"/>
        <v>1.0204081632653061</v>
      </c>
      <c r="AB40" s="1562">
        <f t="shared" si="4"/>
        <v>1</v>
      </c>
      <c r="AC40" s="1562">
        <f t="shared" si="5"/>
        <v>1.0101010101010102</v>
      </c>
    </row>
    <row r="41" spans="1:29" ht="20.25">
      <c r="A41" s="594"/>
      <c r="B41" s="527" t="s">
        <v>553</v>
      </c>
      <c r="C41" s="599" t="s">
        <v>3110</v>
      </c>
      <c r="D41" s="540">
        <v>100</v>
      </c>
      <c r="E41" s="599" t="s">
        <v>3110</v>
      </c>
      <c r="F41" s="540">
        <f>SUMIF(121:121,E41,122:122)-SUMIF(121:121,C41,122:122)+100</f>
        <v>100</v>
      </c>
      <c r="G41" s="599" t="s">
        <v>3110</v>
      </c>
      <c r="H41" s="540">
        <f>SUMIF(121:121,G41,122:122)-SUMIF(121:121,C41,122:122)+100</f>
        <v>100</v>
      </c>
      <c r="I41" s="599" t="s">
        <v>3110</v>
      </c>
      <c r="J41" s="540">
        <f>SUMIF(121:121,I41,122:122)-SUMIF(121:121,C41,122:122)+100</f>
        <v>100</v>
      </c>
      <c r="K41" s="584">
        <v>1</v>
      </c>
      <c r="L41" s="2127"/>
      <c r="M41" s="2117"/>
      <c r="N41" s="2117"/>
      <c r="O41" s="2126"/>
      <c r="P41" s="3463"/>
      <c r="Q41" s="1558" t="str">
        <f t="shared" ref="Q41:Q47" si="14">B41</f>
        <v>宗地形状</v>
      </c>
      <c r="R41" s="1559" t="s">
        <v>8</v>
      </c>
      <c r="S41" s="1560">
        <f t="shared" si="10"/>
        <v>100</v>
      </c>
      <c r="T41" s="1559" t="s">
        <v>8</v>
      </c>
      <c r="U41" s="1560">
        <f t="shared" si="11"/>
        <v>100</v>
      </c>
      <c r="V41" s="1559" t="s">
        <v>8</v>
      </c>
      <c r="W41" s="1560">
        <f t="shared" si="12"/>
        <v>100</v>
      </c>
      <c r="X41" s="1553"/>
      <c r="Y41" s="3463"/>
      <c r="Z41" s="1561" t="str">
        <f t="shared" si="13"/>
        <v>宗地形状</v>
      </c>
      <c r="AA41" s="1562">
        <f t="shared" si="3"/>
        <v>1</v>
      </c>
      <c r="AB41" s="1562">
        <f t="shared" si="4"/>
        <v>1</v>
      </c>
      <c r="AC41" s="1562">
        <f t="shared" si="5"/>
        <v>1</v>
      </c>
    </row>
    <row r="42" spans="1:29" ht="20.25">
      <c r="A42" s="594"/>
      <c r="B42" s="527" t="s">
        <v>554</v>
      </c>
      <c r="C42" s="599" t="s">
        <v>3020</v>
      </c>
      <c r="D42" s="540">
        <v>100</v>
      </c>
      <c r="E42" s="599" t="s">
        <v>3020</v>
      </c>
      <c r="F42" s="540">
        <f>SUMIF(123:123,E42,124:124)-SUMIF(123:123,C42,124:124)+100</f>
        <v>100</v>
      </c>
      <c r="G42" s="599" t="s">
        <v>3020</v>
      </c>
      <c r="H42" s="540">
        <f>SUMIF(123:123,G42,124:124)-SUMIF(123:123,C42,124:124)+100</f>
        <v>100</v>
      </c>
      <c r="I42" s="599" t="s">
        <v>3020</v>
      </c>
      <c r="J42" s="540">
        <f>SUMIF(123:123,I42,124:124)-SUMIF(123:123,C42,124:124)+100</f>
        <v>100</v>
      </c>
      <c r="K42" s="584">
        <v>1</v>
      </c>
      <c r="L42" s="2127"/>
      <c r="M42" s="2117"/>
      <c r="N42" s="2117"/>
      <c r="O42" s="2126"/>
      <c r="P42" s="3463"/>
      <c r="Q42" s="1558" t="str">
        <f t="shared" si="14"/>
        <v>临街宽度及深度</v>
      </c>
      <c r="R42" s="1559" t="s">
        <v>8</v>
      </c>
      <c r="S42" s="1560">
        <f t="shared" si="10"/>
        <v>100</v>
      </c>
      <c r="T42" s="1559" t="s">
        <v>8</v>
      </c>
      <c r="U42" s="1560">
        <f t="shared" si="11"/>
        <v>100</v>
      </c>
      <c r="V42" s="1559" t="s">
        <v>8</v>
      </c>
      <c r="W42" s="1560">
        <f t="shared" si="12"/>
        <v>100</v>
      </c>
      <c r="X42" s="1553"/>
      <c r="Y42" s="3463"/>
      <c r="Z42" s="1561" t="str">
        <f t="shared" si="13"/>
        <v>临街宽度及深度</v>
      </c>
      <c r="AA42" s="1562">
        <f t="shared" si="3"/>
        <v>1</v>
      </c>
      <c r="AB42" s="1562">
        <f t="shared" si="4"/>
        <v>1</v>
      </c>
      <c r="AC42" s="1562">
        <f t="shared" si="5"/>
        <v>1</v>
      </c>
    </row>
    <row r="43" spans="1:29" s="1216" customFormat="1" ht="20.25">
      <c r="A43" s="600"/>
      <c r="B43" s="1880" t="s">
        <v>2423</v>
      </c>
      <c r="C43" s="601" t="s">
        <v>3034</v>
      </c>
      <c r="D43" s="255">
        <v>100</v>
      </c>
      <c r="E43" s="601" t="s">
        <v>3034</v>
      </c>
      <c r="F43" s="540">
        <f>SUMIF(125:125,E43,126:126)-SUMIF(125:125,C43,126:126)+100</f>
        <v>100</v>
      </c>
      <c r="G43" s="601" t="s">
        <v>3034</v>
      </c>
      <c r="H43" s="540">
        <f>SUMIF(125:125,G43,126:126)-SUMIF(125:125,C43,126:126)+100</f>
        <v>100</v>
      </c>
      <c r="I43" s="601" t="s">
        <v>3034</v>
      </c>
      <c r="J43" s="540">
        <f>SUMIF(125:125,I43,126:126)-SUMIF(125:125,C43,126:126)+100</f>
        <v>100</v>
      </c>
      <c r="K43" s="584">
        <v>1</v>
      </c>
      <c r="L43" s="2120"/>
      <c r="M43" s="2117"/>
      <c r="N43" s="2117"/>
      <c r="O43" s="2122"/>
      <c r="P43" s="3463"/>
      <c r="Q43" s="1558" t="str">
        <f t="shared" si="14"/>
        <v>宗地开发程度</v>
      </c>
      <c r="R43" s="1554" t="s">
        <v>8</v>
      </c>
      <c r="S43" s="1555">
        <f t="shared" si="10"/>
        <v>100</v>
      </c>
      <c r="T43" s="1554" t="s">
        <v>8</v>
      </c>
      <c r="U43" s="1555">
        <f t="shared" si="11"/>
        <v>100</v>
      </c>
      <c r="V43" s="1554" t="s">
        <v>8</v>
      </c>
      <c r="W43" s="1555">
        <f t="shared" si="12"/>
        <v>100</v>
      </c>
      <c r="X43" s="1556"/>
      <c r="Y43" s="3463"/>
      <c r="Z43" s="1146" t="str">
        <f t="shared" si="13"/>
        <v>宗地开发程度</v>
      </c>
      <c r="AA43" s="1557">
        <f t="shared" si="3"/>
        <v>1</v>
      </c>
      <c r="AB43" s="1557">
        <f t="shared" si="4"/>
        <v>1</v>
      </c>
      <c r="AC43" s="1557">
        <f t="shared" si="5"/>
        <v>1</v>
      </c>
    </row>
    <row r="44" spans="1:29" ht="21" thickBot="1">
      <c r="A44" s="594"/>
      <c r="B44" s="527" t="s">
        <v>555</v>
      </c>
      <c r="C44" s="599" t="s">
        <v>3020</v>
      </c>
      <c r="D44" s="540">
        <v>100</v>
      </c>
      <c r="E44" s="599" t="s">
        <v>3020</v>
      </c>
      <c r="F44" s="540">
        <f>SUMIF(127:127,E44,128:128)-SUMIF(127:127,C44,128:128)+100</f>
        <v>100</v>
      </c>
      <c r="G44" s="599" t="s">
        <v>3020</v>
      </c>
      <c r="H44" s="540">
        <f>SUMIF(127:127,G44,128:128)-SUMIF(127:127,C44,128:128)+100</f>
        <v>100</v>
      </c>
      <c r="I44" s="599" t="s">
        <v>3020</v>
      </c>
      <c r="J44" s="540">
        <f>SUMIF(127:127,I44,128:128)-SUMIF(127:127,C44,128:128)+100</f>
        <v>100</v>
      </c>
      <c r="K44" s="584">
        <v>1</v>
      </c>
      <c r="L44" s="2127"/>
      <c r="M44" s="2117"/>
      <c r="N44" s="2117"/>
      <c r="O44" s="2126"/>
      <c r="P44" s="3463" t="s">
        <v>550</v>
      </c>
      <c r="Q44" s="1558" t="str">
        <f t="shared" si="14"/>
        <v>工程地质条件</v>
      </c>
      <c r="R44" s="1559" t="s">
        <v>8</v>
      </c>
      <c r="S44" s="1560">
        <f t="shared" si="10"/>
        <v>100</v>
      </c>
      <c r="T44" s="1559" t="s">
        <v>8</v>
      </c>
      <c r="U44" s="1560">
        <f t="shared" si="11"/>
        <v>100</v>
      </c>
      <c r="V44" s="1559" t="s">
        <v>8</v>
      </c>
      <c r="W44" s="1560">
        <f t="shared" si="12"/>
        <v>100</v>
      </c>
      <c r="X44" s="1553"/>
      <c r="Y44" s="3463" t="s">
        <v>550</v>
      </c>
      <c r="Z44" s="1561" t="str">
        <f t="shared" si="13"/>
        <v>工程地质条件</v>
      </c>
      <c r="AA44" s="1562">
        <f t="shared" si="3"/>
        <v>1</v>
      </c>
      <c r="AB44" s="1562">
        <f t="shared" si="4"/>
        <v>1</v>
      </c>
      <c r="AC44" s="1562">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7"/>
      <c r="M45" s="2117"/>
      <c r="N45" s="2117"/>
      <c r="O45" s="2126"/>
      <c r="P45" s="3463"/>
      <c r="Q45" s="1558">
        <f t="shared" si="14"/>
        <v>111</v>
      </c>
      <c r="R45" s="1559" t="s">
        <v>8</v>
      </c>
      <c r="S45" s="1560">
        <f t="shared" si="10"/>
        <v>100</v>
      </c>
      <c r="T45" s="1559" t="s">
        <v>8</v>
      </c>
      <c r="U45" s="1560">
        <f t="shared" si="11"/>
        <v>100</v>
      </c>
      <c r="V45" s="1559" t="s">
        <v>8</v>
      </c>
      <c r="W45" s="1560">
        <f t="shared" si="12"/>
        <v>100</v>
      </c>
      <c r="X45" s="1553"/>
      <c r="Y45" s="3463"/>
      <c r="Z45" s="1561">
        <f t="shared" si="13"/>
        <v>111</v>
      </c>
      <c r="AA45" s="1562">
        <f t="shared" si="3"/>
        <v>1</v>
      </c>
      <c r="AB45" s="1562">
        <f t="shared" si="4"/>
        <v>1</v>
      </c>
      <c r="AC45" s="1562">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7"/>
      <c r="M46" s="2117"/>
      <c r="N46" s="2117"/>
      <c r="O46" s="2126"/>
      <c r="P46" s="3463"/>
      <c r="Q46" s="1558">
        <f t="shared" si="14"/>
        <v>111</v>
      </c>
      <c r="R46" s="1559" t="s">
        <v>8</v>
      </c>
      <c r="S46" s="1560">
        <f t="shared" si="10"/>
        <v>100</v>
      </c>
      <c r="T46" s="1559" t="s">
        <v>8</v>
      </c>
      <c r="U46" s="1560">
        <f t="shared" si="11"/>
        <v>100</v>
      </c>
      <c r="V46" s="1559" t="s">
        <v>8</v>
      </c>
      <c r="W46" s="1560">
        <f t="shared" si="12"/>
        <v>100</v>
      </c>
      <c r="X46" s="1553"/>
      <c r="Y46" s="3463"/>
      <c r="Z46" s="1561">
        <f t="shared" si="13"/>
        <v>111</v>
      </c>
      <c r="AA46" s="1562">
        <f t="shared" si="3"/>
        <v>1</v>
      </c>
      <c r="AB46" s="1562">
        <f t="shared" si="4"/>
        <v>1</v>
      </c>
      <c r="AC46" s="1562">
        <f t="shared" si="5"/>
        <v>1</v>
      </c>
    </row>
    <row r="47" spans="1:29" s="1335"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5"/>
      <c r="M47" s="2117"/>
      <c r="N47" s="2117"/>
      <c r="O47" s="2128"/>
      <c r="P47" s="3463"/>
      <c r="Q47" s="1558">
        <f t="shared" si="14"/>
        <v>111</v>
      </c>
      <c r="R47" s="1563" t="s">
        <v>8</v>
      </c>
      <c r="S47" s="1564">
        <f t="shared" si="10"/>
        <v>100</v>
      </c>
      <c r="T47" s="1563" t="s">
        <v>8</v>
      </c>
      <c r="U47" s="1564">
        <f t="shared" si="11"/>
        <v>100</v>
      </c>
      <c r="V47" s="1563" t="s">
        <v>8</v>
      </c>
      <c r="W47" s="1564">
        <f t="shared" si="12"/>
        <v>100</v>
      </c>
      <c r="X47" s="1565"/>
      <c r="Y47" s="3463"/>
      <c r="Z47" s="1566">
        <f t="shared" si="13"/>
        <v>111</v>
      </c>
      <c r="AA47" s="1562">
        <f t="shared" si="3"/>
        <v>1</v>
      </c>
      <c r="AB47" s="1562">
        <f t="shared" si="4"/>
        <v>1</v>
      </c>
      <c r="AC47" s="1562">
        <f t="shared" si="5"/>
        <v>1</v>
      </c>
    </row>
    <row r="48" spans="1:29" ht="20.25">
      <c r="A48" s="607" t="s">
        <v>556</v>
      </c>
      <c r="B48" s="608" t="s">
        <v>2990</v>
      </c>
      <c r="C48" s="609" t="s">
        <v>1</v>
      </c>
      <c r="D48" s="610"/>
      <c r="E48" s="611">
        <f>土地案例!$AK$8</f>
        <v>931.02</v>
      </c>
      <c r="F48" s="612"/>
      <c r="G48" s="613">
        <f>土地案例!$AK$19</f>
        <v>1124.95</v>
      </c>
      <c r="H48" s="614"/>
      <c r="I48" s="611">
        <f>土地案例!$AK$21</f>
        <v>1173.97</v>
      </c>
      <c r="J48" s="614"/>
      <c r="K48" s="1336"/>
      <c r="L48" s="2129"/>
      <c r="M48" s="2117"/>
      <c r="N48" s="2117"/>
      <c r="O48" s="2130"/>
      <c r="P48" s="3424" t="str">
        <f>A48</f>
        <v>成交单价</v>
      </c>
      <c r="Q48" s="3424"/>
      <c r="R48" s="3425">
        <f>E48</f>
        <v>931.02</v>
      </c>
      <c r="S48" s="3425"/>
      <c r="T48" s="3425">
        <f>G48</f>
        <v>1124.95</v>
      </c>
      <c r="U48" s="3425"/>
      <c r="V48" s="3425">
        <f>I48</f>
        <v>1173.97</v>
      </c>
      <c r="W48" s="3425"/>
      <c r="X48" s="1545"/>
      <c r="Y48" s="1567"/>
      <c r="Z48" s="1545"/>
      <c r="AA48" s="1545"/>
      <c r="AB48" s="1545"/>
      <c r="AC48" s="1545"/>
    </row>
    <row r="49" spans="1:29" ht="21" thickBot="1">
      <c r="A49" s="615" t="s">
        <v>2690</v>
      </c>
      <c r="B49" s="616"/>
      <c r="C49" s="617">
        <f>R50</f>
        <v>1188</v>
      </c>
      <c r="D49" s="618"/>
      <c r="E49" s="617">
        <f>R49</f>
        <v>1118</v>
      </c>
      <c r="F49" s="619"/>
      <c r="G49" s="620">
        <f>T49</f>
        <v>1191</v>
      </c>
      <c r="H49" s="618"/>
      <c r="I49" s="617">
        <f>V49</f>
        <v>1255</v>
      </c>
      <c r="J49" s="618"/>
      <c r="K49" s="1337"/>
      <c r="L49" s="2129"/>
      <c r="M49" s="2117"/>
      <c r="N49" s="2117"/>
      <c r="O49" s="2130"/>
      <c r="P49" s="3424" t="str">
        <f>A49</f>
        <v>比较价格（元/平方米）</v>
      </c>
      <c r="Q49" s="3424"/>
      <c r="R49" s="3426">
        <f>ROUND(PRODUCT(R48,AA9:AA47),0)</f>
        <v>1118</v>
      </c>
      <c r="S49" s="3426"/>
      <c r="T49" s="3426">
        <f>ROUND(PRODUCT(T48,AB9:AB47),0)</f>
        <v>1191</v>
      </c>
      <c r="U49" s="3426"/>
      <c r="V49" s="3426">
        <f>ROUND(PRODUCT(V48,AC9:AC47),0)</f>
        <v>1255</v>
      </c>
      <c r="W49" s="3426"/>
      <c r="X49" s="1545"/>
      <c r="Y49" s="1545"/>
      <c r="Z49" s="1545"/>
      <c r="AA49" s="1545"/>
      <c r="AB49" s="1545"/>
      <c r="AC49" s="1545"/>
    </row>
    <row r="50" spans="1:29" ht="21" thickBot="1">
      <c r="A50" s="621" t="s">
        <v>2928</v>
      </c>
      <c r="B50" s="622"/>
      <c r="C50" s="623">
        <f>R50</f>
        <v>1188</v>
      </c>
      <c r="D50" s="623"/>
      <c r="E50" s="623"/>
      <c r="F50" s="623"/>
      <c r="G50" s="623"/>
      <c r="H50" s="623"/>
      <c r="I50" s="623"/>
      <c r="J50" s="623"/>
      <c r="K50" s="1338"/>
      <c r="L50" s="2129"/>
      <c r="M50" s="2117"/>
      <c r="N50" s="2117"/>
      <c r="O50" s="2130"/>
      <c r="P50" s="3421" t="str">
        <f>A50</f>
        <v>估价对象XX用房的比较价格（楼面单价，元/平方米）</v>
      </c>
      <c r="Q50" s="3422"/>
      <c r="R50" s="3423">
        <f>ROUND(AVERAGE(R49:V49),0)</f>
        <v>1188</v>
      </c>
      <c r="S50" s="3423"/>
      <c r="T50" s="3423"/>
      <c r="U50" s="3423"/>
      <c r="V50" s="3423"/>
      <c r="W50" s="3423"/>
      <c r="X50" s="1545"/>
      <c r="Y50" s="1545"/>
      <c r="Z50" s="1545"/>
      <c r="AA50" s="1545"/>
      <c r="AB50" s="1545"/>
      <c r="AC50" s="1545"/>
    </row>
    <row r="51" spans="1:29" ht="20.25">
      <c r="A51" s="2130"/>
      <c r="B51" s="2130"/>
      <c r="C51" s="2130"/>
      <c r="D51" s="2130"/>
      <c r="E51" s="2130"/>
      <c r="F51" s="2130"/>
      <c r="G51" s="2133"/>
      <c r="H51" s="2130"/>
      <c r="I51" s="2130"/>
      <c r="J51" s="2130"/>
      <c r="K51" s="2134"/>
      <c r="L51" s="2135"/>
      <c r="M51" s="2117"/>
      <c r="N51" s="2117"/>
      <c r="O51" s="2130"/>
      <c r="P51" s="1545"/>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5"/>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f>IF(E48&lt;E49,E49/E48-1,E48/E49-1)</f>
        <v>0.20083349444695076</v>
      </c>
      <c r="F53" s="627" t="str">
        <f>IF(OR(E53&gt;=0.3,E53&lt;=-0.3),"超过30%","")</f>
        <v/>
      </c>
      <c r="G53" s="626">
        <f>IF(G48&lt;G49,G49/G48-1,G48/G49-1)</f>
        <v>5.8713720609804732E-2</v>
      </c>
      <c r="H53" s="627" t="str">
        <f>IF(OR(G53&gt;=0.3,G53&lt;=-0.3),"超过30%","")</f>
        <v/>
      </c>
      <c r="I53" s="626">
        <f>IF(I48&lt;I49,I49/I48-1,I48/I49-1)</f>
        <v>6.9022206700341648E-2</v>
      </c>
      <c r="J53" s="627" t="str">
        <f>IF(OR(I53&gt;=0.3,I53&lt;=-0.3),"超过30%","")</f>
        <v/>
      </c>
      <c r="K53" s="2134"/>
      <c r="L53" s="2135"/>
      <c r="M53" s="2117"/>
      <c r="N53" s="2117"/>
      <c r="O53" s="2130"/>
      <c r="P53" s="1545"/>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f>IF(E49&lt;G49,G49/E49-1,E49/G49-1)</f>
        <v>6.5295169946332665E-2</v>
      </c>
      <c r="F54" s="627" t="str">
        <f>IF(OR(E54&gt;=0.2,E54&lt;=-0.2),"超过20%","")</f>
        <v/>
      </c>
      <c r="G54" s="626">
        <f>IF(G49&lt;I49,I49/G49-1,G49/I49-1)</f>
        <v>5.3736356003358576E-2</v>
      </c>
      <c r="H54" s="627" t="str">
        <f>IF(OR(G54&gt;=0.2,G54&lt;=-0.2),"超过20%","")</f>
        <v/>
      </c>
      <c r="I54" s="626">
        <f>IF(I49&lt;E49,E49/I49-1,I49/E49-1)</f>
        <v>0.12254025044722727</v>
      </c>
      <c r="J54" s="627" t="str">
        <f>IF(OR(I54&gt;=0.2,I54&lt;=-0.2),"超过20%","")</f>
        <v/>
      </c>
      <c r="K54" s="2134"/>
      <c r="L54" s="2135"/>
      <c r="M54" s="2117"/>
      <c r="N54" s="2117"/>
      <c r="O54" s="2130"/>
      <c r="P54" s="1545"/>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f>IF(E48&lt;G48,G48/E48-1,E48/G48-1)</f>
        <v>0.20829842538291343</v>
      </c>
      <c r="F55" s="627" t="str">
        <f>IF(OR(E55&gt;=0.3,E55&lt;=-0.3),"超过30%","")</f>
        <v/>
      </c>
      <c r="G55" s="626">
        <f>IF(G48&lt;I48,I48/G48-1,G48/I48-1)</f>
        <v>4.3575270012000455E-2</v>
      </c>
      <c r="H55" s="627" t="str">
        <f>IF(OR(G55&gt;=0.3,G55&lt;=-0.3),"超过30%","")</f>
        <v/>
      </c>
      <c r="I55" s="626">
        <f>IF(I48&lt;E48,E48/I48-1,I48/E48-1)</f>
        <v>0.26095035552404888</v>
      </c>
      <c r="J55" s="627" t="str">
        <f>IF(OR(I55&gt;=0.3,I55&lt;=-0.3),"超过30%","")</f>
        <v/>
      </c>
      <c r="K55" s="2137"/>
      <c r="L55" s="2138"/>
      <c r="M55" s="2117"/>
      <c r="N55" s="2117"/>
      <c r="O55" s="2131"/>
      <c r="P55" s="1543"/>
      <c r="Q55" s="2131"/>
      <c r="R55" s="2131"/>
      <c r="S55" s="2131"/>
      <c r="T55" s="2131"/>
      <c r="U55" s="2131"/>
      <c r="V55" s="2131"/>
      <c r="W55" s="2131"/>
      <c r="X55" s="2131"/>
      <c r="Y55" s="2131"/>
      <c r="Z55" s="2131"/>
      <c r="AA55" s="2131"/>
      <c r="AB55" s="2131"/>
      <c r="AC55" s="2131"/>
    </row>
    <row r="56" spans="1:29" s="1341" customFormat="1" ht="21" thickBot="1">
      <c r="A56" s="2131"/>
      <c r="B56" s="2132"/>
      <c r="C56" s="2136"/>
      <c r="D56" s="2131"/>
      <c r="E56" s="2131"/>
      <c r="F56" s="2131"/>
      <c r="G56" s="2131"/>
      <c r="H56" s="2131"/>
      <c r="I56" s="2131"/>
      <c r="J56" s="2131"/>
      <c r="K56" s="2137"/>
      <c r="L56" s="2138"/>
      <c r="M56" s="2117"/>
      <c r="N56" s="2117"/>
      <c r="O56" s="2131"/>
      <c r="P56" s="1543"/>
      <c r="Q56" s="2131"/>
      <c r="R56" s="2131"/>
      <c r="S56" s="2131"/>
      <c r="T56" s="2131"/>
      <c r="U56" s="2131"/>
      <c r="V56" s="2131"/>
      <c r="W56" s="2131"/>
      <c r="X56" s="2131"/>
      <c r="Y56" s="2131"/>
      <c r="Z56" s="2131"/>
      <c r="AA56" s="2131"/>
      <c r="AB56" s="2131"/>
      <c r="AC56" s="2131"/>
    </row>
    <row r="57" spans="1:29" ht="26.25" customHeight="1">
      <c r="A57" s="629" t="s">
        <v>560</v>
      </c>
      <c r="B57" s="630" t="s">
        <v>561</v>
      </c>
      <c r="C57" s="1546" t="s">
        <v>1724</v>
      </c>
      <c r="D57" s="2212" t="s">
        <v>2293</v>
      </c>
      <c r="E57" s="631" t="s">
        <v>562</v>
      </c>
      <c r="F57" s="632" t="s">
        <v>563</v>
      </c>
      <c r="G57" s="3452" t="s">
        <v>2281</v>
      </c>
      <c r="H57" s="3453"/>
      <c r="I57" s="1541" t="s">
        <v>1722</v>
      </c>
      <c r="J57" s="1541" t="str">
        <f>项目基本情况!F41</f>
        <v>海南省海口市</v>
      </c>
      <c r="K57" s="2139" t="s">
        <v>1723</v>
      </c>
      <c r="L57" s="2135"/>
      <c r="M57" s="2130"/>
      <c r="N57" s="2130"/>
      <c r="O57" s="2130"/>
      <c r="P57" s="2130"/>
      <c r="Q57" s="2130"/>
      <c r="R57" s="2130"/>
      <c r="S57" s="2130"/>
      <c r="T57" s="2130"/>
      <c r="U57" s="2130"/>
      <c r="V57" s="2130"/>
      <c r="W57" s="2130"/>
      <c r="X57" s="2130"/>
      <c r="Y57" s="2130"/>
      <c r="Z57" s="2130"/>
      <c r="AA57" s="2130"/>
      <c r="AB57" s="2130"/>
      <c r="AC57" s="2130"/>
    </row>
    <row r="58" spans="1:29" s="1342" customFormat="1" ht="12.75">
      <c r="A58" s="633" t="s">
        <v>564</v>
      </c>
      <c r="B58" s="634">
        <f>C50</f>
        <v>1188</v>
      </c>
      <c r="C58" s="635">
        <v>1</v>
      </c>
      <c r="D58" s="2213">
        <v>1</v>
      </c>
      <c r="E58" s="635">
        <f>'数据-汇总表'!E8+'数据-汇总表'!E9</f>
        <v>78857.320000000007</v>
      </c>
      <c r="F58" s="636">
        <f t="shared" ref="F58:F67" si="15">ROUND(B58*E58/10000,0)</f>
        <v>9368</v>
      </c>
      <c r="G58" s="3454"/>
      <c r="H58" s="3455"/>
      <c r="I58" s="1542">
        <v>1</v>
      </c>
      <c r="J58" s="1542">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565</v>
      </c>
      <c r="B59" s="638">
        <f>ROUND($C$50*C59*D59,0)</f>
        <v>0</v>
      </c>
      <c r="C59" s="378">
        <f t="shared" ref="C59:C67" si="16">IF($C$57="北京市系数",I59,J59)</f>
        <v>0</v>
      </c>
      <c r="D59" s="2214">
        <v>0.25</v>
      </c>
      <c r="E59" s="639">
        <v>0</v>
      </c>
      <c r="F59" s="636">
        <f t="shared" si="15"/>
        <v>0</v>
      </c>
      <c r="G59" s="3456" t="s">
        <v>2282</v>
      </c>
      <c r="H59" s="1933">
        <f>项目基本情况!B43</f>
        <v>0</v>
      </c>
      <c r="I59" s="1542">
        <f>SUMIF(修正!$A$45:$A$56,H59,修正!B45:B56)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566</v>
      </c>
      <c r="B60" s="638">
        <f t="shared" ref="B60:B67" si="17">ROUND($C$50*C60*D60,0)</f>
        <v>0</v>
      </c>
      <c r="C60" s="378">
        <f t="shared" si="16"/>
        <v>0</v>
      </c>
      <c r="D60" s="2214">
        <v>0.25</v>
      </c>
      <c r="E60" s="639">
        <v>0</v>
      </c>
      <c r="F60" s="636">
        <f t="shared" si="15"/>
        <v>0</v>
      </c>
      <c r="G60" s="3456"/>
      <c r="H60" s="1933">
        <f>项目基本情况!B43</f>
        <v>0</v>
      </c>
      <c r="I60" s="1542">
        <f>SUMIF(修正!$A$45:$A$56,H60,修正!C45:C56)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567</v>
      </c>
      <c r="B61" s="638">
        <f t="shared" si="17"/>
        <v>0</v>
      </c>
      <c r="C61" s="378">
        <f t="shared" si="16"/>
        <v>0</v>
      </c>
      <c r="D61" s="2214">
        <v>0.25</v>
      </c>
      <c r="E61" s="639">
        <v>0</v>
      </c>
      <c r="F61" s="636">
        <f t="shared" si="15"/>
        <v>0</v>
      </c>
      <c r="G61" s="3456"/>
      <c r="H61" s="1933">
        <f>项目基本情况!B43</f>
        <v>0</v>
      </c>
      <c r="I61" s="1542">
        <f>SUMIF(修正!$A$45:$A$56,H61,修正!D45:D56)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2.75">
      <c r="A62" s="637" t="s">
        <v>568</v>
      </c>
      <c r="B62" s="638">
        <f t="shared" si="17"/>
        <v>0</v>
      </c>
      <c r="C62" s="378">
        <f t="shared" si="16"/>
        <v>0</v>
      </c>
      <c r="D62" s="2214">
        <v>0.25</v>
      </c>
      <c r="E62" s="639">
        <v>0</v>
      </c>
      <c r="F62" s="636">
        <f t="shared" si="15"/>
        <v>0</v>
      </c>
      <c r="G62" s="3456"/>
      <c r="H62" s="1933">
        <f>项目基本情况!B43</f>
        <v>0</v>
      </c>
      <c r="I62" s="1542">
        <f>SUMIF(修正!$A$45:$A$56,H62,修正!E45:E56)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2.75">
      <c r="A63" s="2316" t="s">
        <v>2328</v>
      </c>
      <c r="B63" s="638">
        <f t="shared" si="17"/>
        <v>0</v>
      </c>
      <c r="C63" s="378">
        <f t="shared" si="16"/>
        <v>0</v>
      </c>
      <c r="D63" s="2214">
        <v>0.25</v>
      </c>
      <c r="E63" s="641">
        <f>'数据-汇总表'!E11</f>
        <v>0</v>
      </c>
      <c r="F63" s="636">
        <f t="shared" si="15"/>
        <v>0</v>
      </c>
      <c r="G63" s="1930" t="s">
        <v>2283</v>
      </c>
      <c r="H63" s="1933">
        <f>项目基本情况!C43</f>
        <v>0</v>
      </c>
      <c r="I63" s="1542">
        <f>SUMIF(修正!$A$45:$A$56,H63,修正!F45:F56)</f>
        <v>0</v>
      </c>
      <c r="J63" s="1544"/>
      <c r="K63" s="2140"/>
      <c r="L63" s="2140"/>
      <c r="M63" s="2140"/>
      <c r="N63" s="2140"/>
      <c r="O63" s="2140"/>
      <c r="P63" s="2140"/>
      <c r="Q63" s="2140"/>
      <c r="R63" s="2140"/>
      <c r="S63" s="2140"/>
      <c r="T63" s="2140"/>
      <c r="U63" s="2140"/>
      <c r="V63" s="2140"/>
      <c r="W63" s="2140"/>
      <c r="X63" s="2140"/>
      <c r="Y63" s="2140"/>
      <c r="Z63" s="2140"/>
      <c r="AA63" s="2140"/>
      <c r="AB63" s="2140"/>
      <c r="AC63" s="2140"/>
    </row>
    <row r="64" spans="1:29" s="1342" customFormat="1" ht="12.75">
      <c r="A64" s="637" t="s">
        <v>569</v>
      </c>
      <c r="B64" s="638">
        <f t="shared" si="17"/>
        <v>0</v>
      </c>
      <c r="C64" s="378">
        <f t="shared" si="16"/>
        <v>0</v>
      </c>
      <c r="D64" s="2214">
        <v>0.25</v>
      </c>
      <c r="E64" s="641">
        <f>'数据-汇总表'!E12</f>
        <v>0</v>
      </c>
      <c r="F64" s="636">
        <f t="shared" si="15"/>
        <v>0</v>
      </c>
      <c r="G64" s="1931" t="s">
        <v>1677</v>
      </c>
      <c r="H64" s="1929">
        <f>IF(G64="商业",项目基本情况!B43,IF(G64="办公",项目基本情况!C43,IF(G64="住宅",项目基本情况!D43,项目基本情况!E43)))</f>
        <v>0</v>
      </c>
      <c r="I64" s="1542">
        <f>SUMIF(修正!$A$45:$A$56,H64,修正!G45:G56)</f>
        <v>0</v>
      </c>
      <c r="J64" s="1544"/>
      <c r="K64" s="2140"/>
      <c r="L64" s="2140"/>
      <c r="M64" s="2140"/>
      <c r="N64" s="2140"/>
      <c r="O64" s="2140"/>
      <c r="P64" s="2140"/>
      <c r="Q64" s="2140"/>
      <c r="R64" s="2140"/>
      <c r="S64" s="2140"/>
      <c r="T64" s="2140"/>
      <c r="U64" s="2140"/>
      <c r="V64" s="2140"/>
      <c r="W64" s="2140"/>
      <c r="X64" s="2140"/>
      <c r="Y64" s="2140"/>
      <c r="Z64" s="2140"/>
      <c r="AA64" s="2140"/>
      <c r="AB64" s="2140"/>
      <c r="AC64" s="2140"/>
    </row>
    <row r="65" spans="1:29" s="1342" customFormat="1" ht="12.75">
      <c r="A65" s="637" t="s">
        <v>570</v>
      </c>
      <c r="B65" s="638">
        <f t="shared" si="17"/>
        <v>0</v>
      </c>
      <c r="C65" s="378">
        <f t="shared" si="16"/>
        <v>0</v>
      </c>
      <c r="D65" s="2214">
        <v>0.25</v>
      </c>
      <c r="E65" s="641">
        <f>'数据-汇总表'!E13</f>
        <v>0</v>
      </c>
      <c r="F65" s="636">
        <f t="shared" si="15"/>
        <v>0</v>
      </c>
      <c r="G65" s="1931" t="s">
        <v>923</v>
      </c>
      <c r="H65" s="1929">
        <f>IF(G65="商业",项目基本情况!B43,IF(G65="办公",项目基本情况!C43,IF(G65="住宅",项目基本情况!D43,项目基本情况!E43)))</f>
        <v>0</v>
      </c>
      <c r="I65" s="1542">
        <f>SUMIF(修正!$A$45:$A$56,H65,修正!H45:H56)</f>
        <v>0</v>
      </c>
      <c r="J65" s="1544"/>
      <c r="K65" s="2140"/>
      <c r="L65" s="2140"/>
      <c r="M65" s="2140"/>
      <c r="N65" s="2140"/>
      <c r="O65" s="2140"/>
      <c r="P65" s="2140"/>
      <c r="Q65" s="2140"/>
      <c r="R65" s="2140"/>
      <c r="S65" s="2140"/>
      <c r="T65" s="2140"/>
      <c r="U65" s="2140"/>
      <c r="V65" s="2140"/>
      <c r="W65" s="2140"/>
      <c r="X65" s="2140"/>
      <c r="Y65" s="2140"/>
      <c r="Z65" s="2140"/>
      <c r="AA65" s="2140"/>
      <c r="AB65" s="2140"/>
      <c r="AC65" s="2140"/>
    </row>
    <row r="66" spans="1:29" s="1342" customFormat="1" ht="12.75">
      <c r="A66" s="637" t="s">
        <v>571</v>
      </c>
      <c r="B66" s="638">
        <f t="shared" si="17"/>
        <v>0</v>
      </c>
      <c r="C66" s="378">
        <f t="shared" si="16"/>
        <v>0</v>
      </c>
      <c r="D66" s="2214">
        <v>0.25</v>
      </c>
      <c r="E66" s="641">
        <f>'数据-汇总表'!E14</f>
        <v>0</v>
      </c>
      <c r="F66" s="636">
        <f t="shared" si="15"/>
        <v>0</v>
      </c>
      <c r="G66" s="1930" t="s">
        <v>2282</v>
      </c>
      <c r="H66" s="1933">
        <f>项目基本情况!B43</f>
        <v>0</v>
      </c>
      <c r="I66" s="1542">
        <f>SUMIF(修正!$A$45:$A$56,H66,修正!H45:H56)</f>
        <v>0</v>
      </c>
      <c r="J66" s="1544"/>
      <c r="K66" s="2140"/>
      <c r="L66" s="2140"/>
      <c r="M66" s="2140"/>
      <c r="N66" s="2140"/>
      <c r="O66" s="2140"/>
      <c r="P66" s="2140"/>
      <c r="Q66" s="2140"/>
      <c r="R66" s="2140"/>
      <c r="S66" s="2140"/>
      <c r="T66" s="2140"/>
      <c r="U66" s="2140"/>
      <c r="V66" s="2140"/>
      <c r="W66" s="2140"/>
      <c r="X66" s="2140"/>
      <c r="Y66" s="2140"/>
      <c r="Z66" s="2140"/>
      <c r="AA66" s="2140"/>
      <c r="AB66" s="2140"/>
      <c r="AC66" s="2140"/>
    </row>
    <row r="67" spans="1:29" s="1342" customFormat="1" ht="13.5" thickBot="1">
      <c r="A67" s="637" t="s">
        <v>572</v>
      </c>
      <c r="B67" s="638">
        <f t="shared" si="17"/>
        <v>0</v>
      </c>
      <c r="C67" s="378">
        <f t="shared" si="16"/>
        <v>0</v>
      </c>
      <c r="D67" s="2214">
        <v>0.25</v>
      </c>
      <c r="E67" s="641">
        <f>'数据-汇总表'!E15</f>
        <v>0</v>
      </c>
      <c r="F67" s="636">
        <f t="shared" si="15"/>
        <v>0</v>
      </c>
      <c r="G67" s="1932" t="s">
        <v>2283</v>
      </c>
      <c r="H67" s="1934">
        <f>项目基本情况!C43</f>
        <v>0</v>
      </c>
      <c r="I67" s="1542">
        <f>SUMIF(修正!$A$45:$A$56,H67,修正!H45:H56)</f>
        <v>0</v>
      </c>
      <c r="J67" s="1544"/>
      <c r="K67" s="2140"/>
      <c r="L67" s="2140"/>
      <c r="M67" s="2140"/>
      <c r="N67" s="2140"/>
      <c r="O67" s="2140"/>
      <c r="P67" s="2140"/>
      <c r="Q67" s="2140"/>
      <c r="R67" s="2140"/>
      <c r="S67" s="2140"/>
      <c r="T67" s="2140"/>
      <c r="U67" s="2140"/>
      <c r="V67" s="2140"/>
      <c r="W67" s="2140"/>
      <c r="X67" s="2140"/>
      <c r="Y67" s="2140"/>
      <c r="Z67" s="2140"/>
      <c r="AA67" s="2140"/>
      <c r="AB67" s="2140"/>
      <c r="AC67" s="2140"/>
    </row>
    <row r="68" spans="1:29" s="1342" customFormat="1" ht="13.5" thickBot="1">
      <c r="A68" s="642" t="s">
        <v>573</v>
      </c>
      <c r="B68" s="643" t="s">
        <v>17</v>
      </c>
      <c r="C68" s="643" t="s">
        <v>18</v>
      </c>
      <c r="D68" s="643" t="s">
        <v>2294</v>
      </c>
      <c r="E68" s="643">
        <f>IF(B48="楼面地价",SUM(E58:E67),'数据-汇总表'!D3)</f>
        <v>78857.320000000007</v>
      </c>
      <c r="F68" s="644">
        <f>IF(B48="楼面地价",SUM(F58:F67),ROUND(C50*E68/10000,0))</f>
        <v>9368</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2020-2-1</v>
      </c>
      <c r="D70" s="2754">
        <f>EDATE(C70,-3)</f>
        <v>43770</v>
      </c>
      <c r="E70" s="2754">
        <f t="shared" ref="E70:N70" si="18">EDATE(D70,-3)</f>
        <v>43678</v>
      </c>
      <c r="F70" s="2754">
        <f t="shared" si="18"/>
        <v>43586</v>
      </c>
      <c r="G70" s="2754">
        <f t="shared" si="18"/>
        <v>43497</v>
      </c>
      <c r="H70" s="2754">
        <f t="shared" si="18"/>
        <v>43405</v>
      </c>
      <c r="I70" s="2754">
        <f t="shared" si="18"/>
        <v>43313</v>
      </c>
      <c r="J70" s="2754">
        <f t="shared" si="18"/>
        <v>43221</v>
      </c>
      <c r="K70" s="2754">
        <f t="shared" si="18"/>
        <v>43132</v>
      </c>
      <c r="L70" s="2754">
        <f t="shared" si="18"/>
        <v>43040</v>
      </c>
      <c r="M70" s="2754">
        <f t="shared" si="18"/>
        <v>42948</v>
      </c>
      <c r="N70" s="2754">
        <f t="shared" si="18"/>
        <v>42856</v>
      </c>
      <c r="O70" s="2130"/>
      <c r="P70" s="2130"/>
      <c r="Q70" s="2130"/>
      <c r="R70" s="2130"/>
      <c r="S70" s="2130"/>
      <c r="T70" s="2130"/>
      <c r="U70" s="2130"/>
      <c r="V70" s="2130"/>
      <c r="W70" s="2130"/>
      <c r="X70" s="2130"/>
      <c r="Y70" s="2130"/>
      <c r="Z70" s="2130"/>
      <c r="AA70" s="2130"/>
      <c r="AB70" s="2130"/>
      <c r="AC70" s="2130"/>
    </row>
    <row r="71" spans="1:29" ht="21.75" thickBot="1">
      <c r="A71" s="1570" t="s">
        <v>574</v>
      </c>
      <c r="B71" s="1545"/>
      <c r="C71" s="1569"/>
      <c r="D71" s="1569"/>
      <c r="E71" s="1569"/>
      <c r="F71" s="1571"/>
      <c r="G71" s="1571"/>
      <c r="H71" s="1569"/>
      <c r="I71" s="1569"/>
      <c r="J71" s="1569"/>
      <c r="K71" s="1572"/>
      <c r="L71" s="1568"/>
      <c r="M71" s="1569"/>
      <c r="N71" s="1569"/>
      <c r="O71" s="2142"/>
      <c r="P71" s="2142"/>
      <c r="Q71" s="2143"/>
      <c r="R71" s="2130"/>
      <c r="S71" s="2130"/>
      <c r="T71" s="2130"/>
      <c r="U71" s="2130"/>
      <c r="V71" s="2130"/>
      <c r="W71" s="2130"/>
      <c r="X71" s="2130"/>
      <c r="Y71" s="2130"/>
      <c r="Z71" s="2130"/>
      <c r="AA71" s="2130"/>
      <c r="AB71" s="2130"/>
      <c r="AC71" s="2130"/>
    </row>
    <row r="72" spans="1:29" s="1343" customFormat="1" ht="15">
      <c r="A72" s="2532" t="s">
        <v>2529</v>
      </c>
      <c r="B72" s="2533"/>
      <c r="C72" s="2750" t="str">
        <f>YEAR(C70)&amp;"-"&amp;ROUNDUP(MONTH(C70)/3,0)</f>
        <v>2020-1</v>
      </c>
      <c r="D72" s="2756" t="str">
        <f>YEAR(D70)&amp;"-"&amp;ROUNDUP(MONTH(D70)/3,0)</f>
        <v>2019-4</v>
      </c>
      <c r="E72" s="2756" t="str">
        <f t="shared" ref="E72:N72" si="19">YEAR(E70)&amp;"-"&amp;ROUNDUP(MONTH(E70)/3,0)</f>
        <v>2019-3</v>
      </c>
      <c r="F72" s="2756" t="str">
        <f t="shared" si="19"/>
        <v>2019-2</v>
      </c>
      <c r="G72" s="2756" t="str">
        <f t="shared" si="19"/>
        <v>2019-1</v>
      </c>
      <c r="H72" s="2756" t="str">
        <f t="shared" si="19"/>
        <v>2018-4</v>
      </c>
      <c r="I72" s="2756" t="str">
        <f t="shared" si="19"/>
        <v>2018-3</v>
      </c>
      <c r="J72" s="2756" t="str">
        <f t="shared" si="19"/>
        <v>2018-2</v>
      </c>
      <c r="K72" s="2756" t="str">
        <f t="shared" si="19"/>
        <v>2018-1</v>
      </c>
      <c r="L72" s="2756" t="str">
        <f t="shared" si="19"/>
        <v>2017-4</v>
      </c>
      <c r="M72" s="2756" t="str">
        <f t="shared" si="19"/>
        <v>2017-3</v>
      </c>
      <c r="N72" s="2756" t="str">
        <f t="shared" si="19"/>
        <v>2017-2</v>
      </c>
      <c r="O72" s="2144"/>
      <c r="P72" s="2145"/>
      <c r="Q72" s="2146"/>
      <c r="R72" s="2146"/>
      <c r="S72" s="2146"/>
      <c r="T72" s="2146"/>
      <c r="U72" s="2146"/>
      <c r="V72" s="2146"/>
      <c r="W72" s="2146"/>
      <c r="X72" s="2146"/>
      <c r="Y72" s="2146"/>
      <c r="Z72" s="2146"/>
      <c r="AA72" s="2146"/>
      <c r="AB72" s="2146"/>
      <c r="AC72" s="2146"/>
    </row>
    <row r="73" spans="1:29" s="1216" customFormat="1" ht="27" customHeight="1">
      <c r="A73" s="2761" t="s">
        <v>2644</v>
      </c>
      <c r="B73" s="479" t="str">
        <f>"北京市平均增长率"&amp;TEXT(SUMIF(基准地价!N21:N25,A73,基准地价!P21:P25),"0.00%")</f>
        <v>北京市平均增长率0.00%</v>
      </c>
      <c r="C73" s="894">
        <v>100</v>
      </c>
      <c r="D73" s="730">
        <f>C73-0.5</f>
        <v>99.5</v>
      </c>
      <c r="E73" s="730">
        <f t="shared" ref="E73:H73" si="20">D73-0.5</f>
        <v>99</v>
      </c>
      <c r="F73" s="730">
        <f t="shared" si="20"/>
        <v>98.5</v>
      </c>
      <c r="G73" s="730">
        <f t="shared" si="20"/>
        <v>98</v>
      </c>
      <c r="H73" s="730">
        <f t="shared" si="20"/>
        <v>97.5</v>
      </c>
      <c r="I73" s="730"/>
      <c r="J73" s="730"/>
      <c r="K73" s="730"/>
      <c r="L73" s="730"/>
      <c r="M73" s="2748"/>
      <c r="N73" s="2749"/>
      <c r="O73" s="2147"/>
      <c r="P73" s="2143"/>
      <c r="Q73" s="1978"/>
      <c r="R73" s="1978"/>
      <c r="S73" s="1978"/>
      <c r="T73" s="1978"/>
      <c r="U73" s="1978"/>
      <c r="V73" s="1978"/>
      <c r="W73" s="1978"/>
      <c r="X73" s="1978"/>
      <c r="Y73" s="1978"/>
      <c r="Z73" s="1978"/>
      <c r="AA73" s="1978"/>
      <c r="AB73" s="1978"/>
      <c r="AC73" s="1978"/>
    </row>
    <row r="74" spans="1:29" s="1216" customFormat="1" ht="15" customHeight="1" thickBot="1">
      <c r="A74" s="2752" t="s">
        <v>2643</v>
      </c>
      <c r="B74" s="2760"/>
      <c r="C74" s="2746"/>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6" customFormat="1" ht="15">
      <c r="A75" s="659" t="s">
        <v>531</v>
      </c>
      <c r="B75" s="648"/>
      <c r="C75" s="660" t="s">
        <v>576</v>
      </c>
      <c r="D75" s="661"/>
      <c r="E75" s="661"/>
      <c r="F75" s="661"/>
      <c r="G75" s="661"/>
      <c r="H75" s="661"/>
      <c r="I75" s="661"/>
      <c r="J75" s="661"/>
      <c r="K75" s="661"/>
      <c r="L75" s="662"/>
      <c r="M75" s="663"/>
      <c r="N75" s="2147"/>
      <c r="O75" s="2147"/>
      <c r="P75" s="2148"/>
      <c r="Q75" s="2143"/>
      <c r="R75" s="1978"/>
      <c r="S75" s="1978"/>
      <c r="T75" s="1978"/>
      <c r="U75" s="1978"/>
      <c r="V75" s="1978"/>
      <c r="W75" s="1978"/>
      <c r="X75" s="1978"/>
      <c r="Y75" s="1978"/>
      <c r="Z75" s="1978"/>
      <c r="AA75" s="1978"/>
      <c r="AB75" s="1978"/>
      <c r="AC75" s="1978"/>
    </row>
    <row r="76" spans="1:29" s="1216" customFormat="1" ht="15.75" thickBot="1">
      <c r="A76" s="659"/>
      <c r="B76" s="648"/>
      <c r="C76" s="649">
        <v>100</v>
      </c>
      <c r="D76" s="650"/>
      <c r="E76" s="650"/>
      <c r="F76" s="650"/>
      <c r="G76" s="650"/>
      <c r="H76" s="650"/>
      <c r="I76" s="650"/>
      <c r="J76" s="650"/>
      <c r="K76" s="650"/>
      <c r="L76" s="650"/>
      <c r="M76" s="652"/>
      <c r="N76" s="2147"/>
      <c r="O76" s="2147"/>
      <c r="P76" s="2143"/>
      <c r="Q76" s="2143"/>
      <c r="R76" s="1978"/>
      <c r="S76" s="1978"/>
      <c r="T76" s="1978"/>
      <c r="U76" s="1978"/>
      <c r="V76" s="1978"/>
      <c r="W76" s="1978"/>
      <c r="X76" s="1978"/>
      <c r="Y76" s="1978"/>
      <c r="Z76" s="1978"/>
      <c r="AA76" s="1978"/>
      <c r="AB76" s="1978"/>
      <c r="AC76" s="1978"/>
    </row>
    <row r="77" spans="1:29">
      <c r="A77" s="664" t="s">
        <v>577</v>
      </c>
      <c r="B77" s="665" t="s">
        <v>534</v>
      </c>
      <c r="C77" s="3180" t="s">
        <v>3349</v>
      </c>
      <c r="D77" s="3180" t="s">
        <v>3350</v>
      </c>
      <c r="E77" s="3180" t="s">
        <v>3353</v>
      </c>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1">
        <v>100</v>
      </c>
      <c r="D78" s="671">
        <v>95</v>
      </c>
      <c r="E78" s="671">
        <v>85</v>
      </c>
      <c r="F78" s="671"/>
      <c r="G78" s="671"/>
      <c r="H78" s="671"/>
      <c r="I78" s="671"/>
      <c r="J78" s="671"/>
      <c r="K78" s="671"/>
      <c r="L78" s="671"/>
      <c r="M78" s="672"/>
      <c r="N78" s="2151"/>
      <c r="O78" s="2151"/>
      <c r="P78" s="2150"/>
      <c r="Q78" s="2143"/>
      <c r="R78" s="2130"/>
      <c r="S78" s="2130"/>
      <c r="T78" s="2130"/>
      <c r="U78" s="2130"/>
      <c r="V78" s="2130"/>
      <c r="W78" s="2130"/>
      <c r="X78" s="2130"/>
      <c r="Y78" s="2130"/>
      <c r="Z78" s="2130"/>
      <c r="AA78" s="2130"/>
      <c r="AB78" s="2130"/>
      <c r="AC78" s="2130"/>
    </row>
    <row r="79" spans="1:29" ht="27.75" thickTop="1">
      <c r="A79" s="669"/>
      <c r="B79" s="673" t="s">
        <v>537</v>
      </c>
      <c r="C79" s="674"/>
      <c r="D79" s="674"/>
      <c r="E79" s="674"/>
      <c r="F79" s="674"/>
      <c r="G79" s="674"/>
      <c r="H79" s="674"/>
      <c r="I79" s="674"/>
      <c r="J79" s="674"/>
      <c r="K79" s="675"/>
      <c r="L79" s="676"/>
      <c r="M79" s="677"/>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c r="D80" s="679"/>
      <c r="E80" s="679"/>
      <c r="F80" s="679"/>
      <c r="G80" s="679"/>
      <c r="H80" s="679"/>
      <c r="I80" s="679"/>
      <c r="J80" s="679"/>
      <c r="K80" s="679"/>
      <c r="L80" s="679"/>
      <c r="M80" s="680"/>
      <c r="N80" s="2151"/>
      <c r="O80" s="2151"/>
      <c r="P80" s="2150"/>
      <c r="Q80" s="2143"/>
      <c r="R80" s="2130"/>
      <c r="S80" s="2130"/>
      <c r="T80" s="2130"/>
      <c r="U80" s="2130"/>
      <c r="V80" s="2130"/>
      <c r="W80" s="2130"/>
      <c r="X80" s="2130"/>
      <c r="Y80" s="2130"/>
      <c r="Z80" s="2130"/>
      <c r="AA80" s="2130"/>
      <c r="AB80" s="2130"/>
      <c r="AC80" s="2130"/>
    </row>
    <row r="81" spans="1:29" ht="15.75" thickTop="1">
      <c r="A81" s="669"/>
      <c r="B81" s="681" t="s">
        <v>538</v>
      </c>
      <c r="C81" s="682" t="str">
        <f>C82&amp;"（含）"&amp;"-"&amp;D82</f>
        <v>0（含）-0.5</v>
      </c>
      <c r="D81" s="682" t="str">
        <f t="shared" ref="D81:L81" si="21">D82&amp;"（含）"&amp;"-"&amp;E82</f>
        <v>0.5（含）-1</v>
      </c>
      <c r="E81" s="682" t="str">
        <f t="shared" si="21"/>
        <v>1（含）-1.5</v>
      </c>
      <c r="F81" s="682" t="str">
        <f t="shared" si="21"/>
        <v>1.5（含）-2</v>
      </c>
      <c r="G81" s="682" t="str">
        <f t="shared" si="21"/>
        <v>2（含）-2.5</v>
      </c>
      <c r="H81" s="682" t="str">
        <f t="shared" si="21"/>
        <v>2.5（含）-3</v>
      </c>
      <c r="I81" s="682" t="str">
        <f t="shared" si="21"/>
        <v>3（含）-3.5</v>
      </c>
      <c r="J81" s="682" t="str">
        <f t="shared" si="21"/>
        <v>3.5（含）-</v>
      </c>
      <c r="K81" s="682" t="str">
        <f t="shared" si="21"/>
        <v>（含）-</v>
      </c>
      <c r="L81" s="682" t="str">
        <f t="shared" si="21"/>
        <v>（含）-</v>
      </c>
      <c r="M81" s="555"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9"/>
      <c r="B82" s="683"/>
      <c r="C82" s="541">
        <v>0</v>
      </c>
      <c r="D82" s="541">
        <v>0.5</v>
      </c>
      <c r="E82" s="541">
        <v>1</v>
      </c>
      <c r="F82" s="541">
        <v>1.5</v>
      </c>
      <c r="G82" s="541">
        <v>2</v>
      </c>
      <c r="H82" s="541">
        <v>2.5</v>
      </c>
      <c r="I82" s="541">
        <v>3</v>
      </c>
      <c r="J82" s="541">
        <v>3.5</v>
      </c>
      <c r="K82" s="684"/>
      <c r="L82" s="685"/>
      <c r="M82" s="686"/>
      <c r="N82" s="2149"/>
      <c r="O82" s="2149"/>
      <c r="P82" s="2150"/>
      <c r="Q82" s="2143"/>
      <c r="R82" s="2130"/>
      <c r="S82" s="2130"/>
      <c r="T82" s="2130"/>
      <c r="U82" s="2130"/>
      <c r="V82" s="2130"/>
      <c r="W82" s="2130"/>
      <c r="X82" s="2130"/>
      <c r="Y82" s="2130"/>
      <c r="Z82" s="2130"/>
      <c r="AA82" s="2130"/>
      <c r="AB82" s="2130"/>
      <c r="AC82" s="2130"/>
    </row>
    <row r="83" spans="1:29" ht="15.75" thickBot="1">
      <c r="A83" s="669"/>
      <c r="B83" s="670"/>
      <c r="C83" s="679">
        <v>100</v>
      </c>
      <c r="D83" s="679">
        <f>IF($B$48="单位面积地价",C83+$K13,C83-$K13)</f>
        <v>99</v>
      </c>
      <c r="E83" s="679">
        <f t="shared" ref="E83:M83" si="22">IF($B$48="单位面积地价",D83+$K13,D83-$K13)</f>
        <v>98</v>
      </c>
      <c r="F83" s="679">
        <f t="shared" si="22"/>
        <v>97</v>
      </c>
      <c r="G83" s="679">
        <f t="shared" si="22"/>
        <v>96</v>
      </c>
      <c r="H83" s="679">
        <f t="shared" si="22"/>
        <v>95</v>
      </c>
      <c r="I83" s="679">
        <f t="shared" si="22"/>
        <v>94</v>
      </c>
      <c r="J83" s="679">
        <f t="shared" si="22"/>
        <v>93</v>
      </c>
      <c r="K83" s="679">
        <f t="shared" si="22"/>
        <v>92</v>
      </c>
      <c r="L83" s="679">
        <f t="shared" si="22"/>
        <v>91</v>
      </c>
      <c r="M83" s="679">
        <f t="shared" si="22"/>
        <v>90</v>
      </c>
      <c r="N83" s="2151"/>
      <c r="O83" s="2151"/>
      <c r="P83" s="2150"/>
      <c r="Q83" s="2143"/>
      <c r="R83" s="2130"/>
      <c r="S83" s="2130"/>
      <c r="T83" s="2130"/>
      <c r="U83" s="2130"/>
      <c r="V83" s="2130"/>
      <c r="W83" s="2130"/>
      <c r="X83" s="2130"/>
      <c r="Y83" s="2130"/>
      <c r="Z83" s="2130"/>
      <c r="AA83" s="2130"/>
      <c r="AB83" s="2130"/>
      <c r="AC83" s="2130"/>
    </row>
    <row r="84" spans="1:29" s="1335" customFormat="1" ht="15.75" thickTop="1">
      <c r="A84" s="687"/>
      <c r="B84" s="673" t="str">
        <f>B14</f>
        <v>配建</v>
      </c>
      <c r="C84" s="688"/>
      <c r="D84" s="1372"/>
      <c r="E84" s="1373"/>
      <c r="F84" s="688"/>
      <c r="G84" s="688"/>
      <c r="H84" s="689"/>
      <c r="I84" s="689"/>
      <c r="J84" s="689"/>
      <c r="K84" s="689"/>
      <c r="L84" s="690"/>
      <c r="M84" s="6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1"/>
      <c r="O85" s="2151"/>
      <c r="P85" s="2153"/>
      <c r="Q85" s="2154"/>
      <c r="R85" s="2155"/>
      <c r="S85" s="2155"/>
      <c r="T85" s="2155"/>
      <c r="U85" s="2155"/>
      <c r="V85" s="2155"/>
      <c r="W85" s="2155"/>
      <c r="X85" s="2155"/>
      <c r="Y85" s="2155"/>
      <c r="Z85" s="2155"/>
      <c r="AA85" s="2155"/>
      <c r="AB85" s="2155"/>
      <c r="AC85" s="2155"/>
    </row>
    <row r="86" spans="1:29" s="1335" customFormat="1" ht="15.75" thickTop="1">
      <c r="A86" s="687"/>
      <c r="B86" s="673">
        <f>B15</f>
        <v>111</v>
      </c>
      <c r="C86" s="688"/>
      <c r="D86" s="688"/>
      <c r="E86" s="688"/>
      <c r="F86" s="688"/>
      <c r="G86" s="688"/>
      <c r="H86" s="689"/>
      <c r="I86" s="689"/>
      <c r="J86" s="689"/>
      <c r="K86" s="689"/>
      <c r="L86" s="690"/>
      <c r="M86" s="691"/>
      <c r="N86" s="2152"/>
      <c r="O86" s="2152"/>
      <c r="P86" s="2156"/>
      <c r="Q86" s="2157"/>
      <c r="R86" s="2155"/>
      <c r="S86" s="2155"/>
      <c r="T86" s="2155"/>
      <c r="U86" s="2155"/>
      <c r="V86" s="2155"/>
      <c r="W86" s="2155"/>
      <c r="X86" s="2155"/>
      <c r="Y86" s="2155"/>
      <c r="Z86" s="2155"/>
      <c r="AA86" s="2155"/>
      <c r="AB86" s="2155"/>
      <c r="AC86" s="2155"/>
    </row>
    <row r="87" spans="1:29" s="1335" customFormat="1" ht="15.75" thickBot="1">
      <c r="A87" s="687"/>
      <c r="B87" s="678"/>
      <c r="C87" s="692"/>
      <c r="D87" s="692"/>
      <c r="E87" s="692"/>
      <c r="F87" s="692"/>
      <c r="G87" s="692"/>
      <c r="H87" s="693"/>
      <c r="I87" s="693"/>
      <c r="J87" s="693"/>
      <c r="K87" s="693"/>
      <c r="L87" s="693"/>
      <c r="M87" s="694"/>
      <c r="N87" s="2152"/>
      <c r="O87" s="2152"/>
      <c r="P87" s="2153"/>
      <c r="Q87" s="2154"/>
      <c r="R87" s="2155"/>
      <c r="S87" s="2155"/>
      <c r="T87" s="2155"/>
      <c r="U87" s="2155"/>
      <c r="V87" s="2155"/>
      <c r="W87" s="2155"/>
      <c r="X87" s="2155"/>
      <c r="Y87" s="2155"/>
      <c r="Z87" s="2155"/>
      <c r="AA87" s="2155"/>
      <c r="AB87" s="2155"/>
      <c r="AC87" s="2155"/>
    </row>
    <row r="88" spans="1:29" s="1335" customFormat="1" ht="15.75" thickTop="1">
      <c r="A88" s="687"/>
      <c r="B88" s="681">
        <f>B16</f>
        <v>111</v>
      </c>
      <c r="C88" s="661"/>
      <c r="D88" s="661"/>
      <c r="E88" s="661"/>
      <c r="F88" s="661"/>
      <c r="G88" s="661"/>
      <c r="H88" s="695"/>
      <c r="I88" s="695"/>
      <c r="J88" s="695"/>
      <c r="K88" s="695"/>
      <c r="L88" s="696"/>
      <c r="M88" s="697"/>
      <c r="N88" s="2152"/>
      <c r="O88" s="2152"/>
      <c r="P88" s="2158"/>
      <c r="Q88" s="2154"/>
      <c r="R88" s="2155"/>
      <c r="S88" s="2155"/>
      <c r="T88" s="2155"/>
      <c r="U88" s="2155"/>
      <c r="V88" s="2155"/>
      <c r="W88" s="2155"/>
      <c r="X88" s="2155"/>
      <c r="Y88" s="2155"/>
      <c r="Z88" s="2155"/>
      <c r="AA88" s="2155"/>
      <c r="AB88" s="2155"/>
      <c r="AC88" s="2155"/>
    </row>
    <row r="89" spans="1:29" s="1335" customFormat="1" ht="15.75" thickBot="1">
      <c r="A89" s="698"/>
      <c r="B89" s="699"/>
      <c r="C89" s="700"/>
      <c r="D89" s="700"/>
      <c r="E89" s="700"/>
      <c r="F89" s="700"/>
      <c r="G89" s="700"/>
      <c r="H89" s="701"/>
      <c r="I89" s="701"/>
      <c r="J89" s="701"/>
      <c r="K89" s="701"/>
      <c r="L89" s="701"/>
      <c r="M89" s="702"/>
      <c r="N89" s="2152"/>
      <c r="O89" s="2152"/>
      <c r="P89" s="2153"/>
      <c r="Q89" s="2154"/>
      <c r="R89" s="2155"/>
      <c r="S89" s="2155"/>
      <c r="T89" s="2155"/>
      <c r="U89" s="2155"/>
      <c r="V89" s="2155"/>
      <c r="W89" s="2155"/>
      <c r="X89" s="2155"/>
      <c r="Y89" s="2155"/>
      <c r="Z89" s="2155"/>
      <c r="AA89" s="2155"/>
      <c r="AB89" s="2155"/>
      <c r="AC89" s="2155"/>
    </row>
    <row r="90" spans="1:29">
      <c r="A90" s="664" t="s">
        <v>539</v>
      </c>
      <c r="B90" s="665" t="s">
        <v>578</v>
      </c>
      <c r="C90" s="703" t="s">
        <v>579</v>
      </c>
      <c r="D90" s="703" t="s">
        <v>580</v>
      </c>
      <c r="E90" s="703" t="s">
        <v>581</v>
      </c>
      <c r="F90" s="703" t="s">
        <v>582</v>
      </c>
      <c r="G90" s="703" t="s">
        <v>583</v>
      </c>
      <c r="H90" s="704"/>
      <c r="I90" s="704"/>
      <c r="J90" s="704"/>
      <c r="K90" s="705"/>
      <c r="L90" s="706"/>
      <c r="M90" s="707"/>
      <c r="N90" s="2149"/>
      <c r="O90" s="2149"/>
      <c r="P90" s="2159"/>
      <c r="Q90" s="2143"/>
      <c r="R90" s="2130"/>
      <c r="S90" s="2130"/>
      <c r="T90" s="2130"/>
      <c r="U90" s="2130"/>
      <c r="V90" s="2130"/>
      <c r="W90" s="2130"/>
      <c r="X90" s="2130"/>
      <c r="Y90" s="2130"/>
      <c r="Z90" s="2130"/>
      <c r="AA90" s="2130"/>
      <c r="AB90" s="2130"/>
      <c r="AC90" s="2130"/>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1"/>
      <c r="O91" s="2151"/>
      <c r="P91" s="2150"/>
      <c r="Q91" s="2143"/>
      <c r="R91" s="2130"/>
      <c r="S91" s="2130"/>
      <c r="T91" s="2130"/>
      <c r="U91" s="2130"/>
      <c r="V91" s="2130"/>
      <c r="W91" s="2130"/>
      <c r="X91" s="2130"/>
      <c r="Y91" s="2130"/>
      <c r="Z91" s="2130"/>
      <c r="AA91" s="2130"/>
      <c r="AB91" s="2130"/>
      <c r="AC91" s="2130"/>
    </row>
    <row r="92" spans="1:29" ht="15.75" thickTop="1">
      <c r="A92" s="669"/>
      <c r="B92" s="673" t="s">
        <v>584</v>
      </c>
      <c r="C92" s="708" t="s">
        <v>579</v>
      </c>
      <c r="D92" s="708" t="s">
        <v>580</v>
      </c>
      <c r="E92" s="708" t="s">
        <v>581</v>
      </c>
      <c r="F92" s="708" t="s">
        <v>582</v>
      </c>
      <c r="G92" s="708" t="s">
        <v>583</v>
      </c>
      <c r="H92" s="674"/>
      <c r="I92" s="674"/>
      <c r="J92" s="674"/>
      <c r="K92" s="675"/>
      <c r="L92" s="676"/>
      <c r="M92" s="677"/>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9">
        <v>100</v>
      </c>
      <c r="D93" s="679">
        <f>C93-$K19</f>
        <v>98</v>
      </c>
      <c r="E93" s="679">
        <f>D93-$K19</f>
        <v>96</v>
      </c>
      <c r="F93" s="679">
        <f>E93-$K19</f>
        <v>94</v>
      </c>
      <c r="G93" s="679">
        <f>F93-$K19</f>
        <v>92</v>
      </c>
      <c r="H93" s="679"/>
      <c r="I93" s="679"/>
      <c r="J93" s="679"/>
      <c r="K93" s="679"/>
      <c r="L93" s="679"/>
      <c r="M93" s="680"/>
      <c r="N93" s="2151"/>
      <c r="O93" s="2151"/>
      <c r="P93" s="2150"/>
      <c r="Q93" s="2143"/>
      <c r="R93" s="2130"/>
      <c r="S93" s="2130"/>
      <c r="T93" s="2130"/>
      <c r="U93" s="2130"/>
      <c r="V93" s="2130"/>
      <c r="W93" s="2130"/>
      <c r="X93" s="2130"/>
      <c r="Y93" s="2130"/>
      <c r="Z93" s="2130"/>
      <c r="AA93" s="2130"/>
      <c r="AB93" s="2130"/>
      <c r="AC93" s="2130"/>
    </row>
    <row r="94" spans="1:29" ht="15.75" thickTop="1">
      <c r="A94" s="669"/>
      <c r="B94" s="673" t="s">
        <v>585</v>
      </c>
      <c r="C94" s="708" t="s">
        <v>579</v>
      </c>
      <c r="D94" s="708" t="s">
        <v>580</v>
      </c>
      <c r="E94" s="708" t="s">
        <v>581</v>
      </c>
      <c r="F94" s="708" t="s">
        <v>582</v>
      </c>
      <c r="G94" s="708" t="s">
        <v>583</v>
      </c>
      <c r="H94" s="674"/>
      <c r="I94" s="674"/>
      <c r="J94" s="674"/>
      <c r="K94" s="675"/>
      <c r="L94" s="676"/>
      <c r="M94" s="677"/>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79">
        <v>100</v>
      </c>
      <c r="D95" s="679">
        <f>C95-$K21</f>
        <v>98</v>
      </c>
      <c r="E95" s="679">
        <f>D95-$K21</f>
        <v>96</v>
      </c>
      <c r="F95" s="679">
        <f>E95-$K21</f>
        <v>94</v>
      </c>
      <c r="G95" s="679">
        <f>F95-$K21</f>
        <v>92</v>
      </c>
      <c r="H95" s="679"/>
      <c r="I95" s="679"/>
      <c r="J95" s="679"/>
      <c r="K95" s="679"/>
      <c r="L95" s="679"/>
      <c r="M95" s="680"/>
      <c r="N95" s="2151"/>
      <c r="O95" s="2151"/>
      <c r="P95" s="2150"/>
      <c r="Q95" s="2143"/>
      <c r="R95" s="2130"/>
      <c r="S95" s="2130"/>
      <c r="T95" s="2130"/>
      <c r="U95" s="2130"/>
      <c r="V95" s="2130"/>
      <c r="W95" s="2130"/>
      <c r="X95" s="2130"/>
      <c r="Y95" s="2130"/>
      <c r="Z95" s="2130"/>
      <c r="AA95" s="2130"/>
      <c r="AB95" s="2130"/>
      <c r="AC95" s="2130"/>
    </row>
    <row r="96" spans="1:29" ht="15.75" thickTop="1">
      <c r="A96" s="669"/>
      <c r="B96" s="673" t="s">
        <v>586</v>
      </c>
      <c r="C96" s="708" t="s">
        <v>579</v>
      </c>
      <c r="D96" s="708" t="s">
        <v>580</v>
      </c>
      <c r="E96" s="708" t="s">
        <v>581</v>
      </c>
      <c r="F96" s="708" t="s">
        <v>582</v>
      </c>
      <c r="G96" s="708" t="s">
        <v>583</v>
      </c>
      <c r="H96" s="674"/>
      <c r="I96" s="674"/>
      <c r="J96" s="674"/>
      <c r="K96" s="675"/>
      <c r="L96" s="676"/>
      <c r="M96" s="677"/>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79">
        <v>100</v>
      </c>
      <c r="D97" s="679">
        <f>C97-$K23</f>
        <v>98</v>
      </c>
      <c r="E97" s="679">
        <f>D97-$K23</f>
        <v>96</v>
      </c>
      <c r="F97" s="679">
        <f>E97-$K23</f>
        <v>94</v>
      </c>
      <c r="G97" s="679">
        <f>F97-$K23</f>
        <v>92</v>
      </c>
      <c r="H97" s="679"/>
      <c r="I97" s="679"/>
      <c r="J97" s="679"/>
      <c r="K97" s="679"/>
      <c r="L97" s="679"/>
      <c r="M97" s="680"/>
      <c r="N97" s="2151"/>
      <c r="O97" s="2151"/>
      <c r="P97" s="2150"/>
      <c r="Q97" s="2143"/>
      <c r="R97" s="2130"/>
      <c r="S97" s="2130"/>
      <c r="T97" s="2130"/>
      <c r="U97" s="2130"/>
      <c r="V97" s="2130"/>
      <c r="W97" s="2130"/>
      <c r="X97" s="2130"/>
      <c r="Y97" s="2130"/>
      <c r="Z97" s="2130"/>
      <c r="AA97" s="2130"/>
      <c r="AB97" s="2130"/>
      <c r="AC97" s="2130"/>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7"/>
      <c r="O98" s="2147"/>
      <c r="P98" s="2150"/>
      <c r="Q98" s="2143"/>
      <c r="R98" s="1978"/>
      <c r="S98" s="1978"/>
      <c r="T98" s="1978"/>
      <c r="U98" s="1978"/>
      <c r="V98" s="1978"/>
      <c r="W98" s="1978"/>
      <c r="X98" s="1978"/>
      <c r="Y98" s="1978"/>
      <c r="Z98" s="1978"/>
      <c r="AA98" s="1978"/>
      <c r="AB98" s="1978"/>
      <c r="AC98" s="1978"/>
    </row>
    <row r="99" spans="1:29" s="1216" customFormat="1" ht="15.75" thickBot="1">
      <c r="A99" s="709"/>
      <c r="B99" s="678"/>
      <c r="C99" s="712">
        <v>100</v>
      </c>
      <c r="D99" s="679">
        <f>C99-$K25</f>
        <v>99</v>
      </c>
      <c r="E99" s="679">
        <f>D99-$K25</f>
        <v>98</v>
      </c>
      <c r="F99" s="679">
        <f>E99-$K25</f>
        <v>97</v>
      </c>
      <c r="G99" s="679">
        <f>F99-$K25</f>
        <v>96</v>
      </c>
      <c r="H99" s="679"/>
      <c r="I99" s="679"/>
      <c r="J99" s="679"/>
      <c r="K99" s="679"/>
      <c r="L99" s="679"/>
      <c r="M99" s="680"/>
      <c r="N99" s="2151"/>
      <c r="O99" s="2151"/>
      <c r="P99" s="2150"/>
      <c r="Q99" s="2143"/>
      <c r="R99" s="1978"/>
      <c r="S99" s="1978"/>
      <c r="T99" s="1978"/>
      <c r="U99" s="1978"/>
      <c r="V99" s="1978"/>
      <c r="W99" s="1978"/>
      <c r="X99" s="1978"/>
      <c r="Y99" s="1978"/>
      <c r="Z99" s="1978"/>
      <c r="AA99" s="1978"/>
      <c r="AB99" s="1978"/>
      <c r="AC99" s="1978"/>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7"/>
      <c r="O100" s="2147"/>
      <c r="P100" s="2150"/>
      <c r="Q100" s="2143"/>
      <c r="R100" s="1978"/>
      <c r="S100" s="1978"/>
      <c r="T100" s="1978"/>
      <c r="U100" s="1978"/>
      <c r="V100" s="1978"/>
      <c r="W100" s="1978"/>
      <c r="X100" s="1978"/>
      <c r="Y100" s="1978"/>
      <c r="Z100" s="1978"/>
      <c r="AA100" s="1978"/>
      <c r="AB100" s="1978"/>
      <c r="AC100" s="1978"/>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1"/>
      <c r="O101" s="2151"/>
      <c r="P101" s="2150"/>
      <c r="Q101" s="2143"/>
      <c r="R101" s="1978"/>
      <c r="S101" s="1978"/>
      <c r="T101" s="1978"/>
      <c r="U101" s="1978"/>
      <c r="V101" s="1978"/>
      <c r="W101" s="1978"/>
      <c r="X101" s="1978"/>
      <c r="Y101" s="1978"/>
      <c r="Z101" s="1978"/>
      <c r="AA101" s="1978"/>
      <c r="AB101" s="1978"/>
      <c r="AC101" s="1978"/>
    </row>
    <row r="102" spans="1:29" s="1335" customFormat="1" ht="15.75" thickTop="1">
      <c r="A102" s="687"/>
      <c r="B102" s="1881" t="s">
        <v>2545</v>
      </c>
      <c r="C102" s="703" t="s">
        <v>579</v>
      </c>
      <c r="D102" s="703" t="s">
        <v>580</v>
      </c>
      <c r="E102" s="703" t="s">
        <v>581</v>
      </c>
      <c r="F102" s="703" t="s">
        <v>582</v>
      </c>
      <c r="G102" s="703" t="s">
        <v>583</v>
      </c>
      <c r="H102" s="713"/>
      <c r="I102" s="713"/>
      <c r="J102" s="713"/>
      <c r="K102" s="713"/>
      <c r="L102" s="714"/>
      <c r="M102" s="715"/>
      <c r="N102" s="2152"/>
      <c r="O102" s="2152"/>
      <c r="P102" s="2153"/>
      <c r="Q102" s="2154"/>
      <c r="R102" s="2155"/>
      <c r="S102" s="2155"/>
      <c r="T102" s="2155"/>
      <c r="U102" s="2155"/>
      <c r="V102" s="2155"/>
      <c r="W102" s="2155"/>
      <c r="X102" s="2155"/>
      <c r="Y102" s="2155"/>
      <c r="Z102" s="2155"/>
      <c r="AA102" s="2155"/>
      <c r="AB102" s="2155"/>
      <c r="AC102" s="2155"/>
    </row>
    <row r="103" spans="1:29" s="1335"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Top="1">
      <c r="A104" s="687"/>
      <c r="B104" s="2561" t="s">
        <v>2547</v>
      </c>
      <c r="C104" s="2562" t="s">
        <v>2548</v>
      </c>
      <c r="D104" s="2562" t="s">
        <v>2549</v>
      </c>
      <c r="E104" s="2562" t="s">
        <v>2550</v>
      </c>
      <c r="F104" s="2562" t="s">
        <v>2551</v>
      </c>
      <c r="G104" s="2562" t="s">
        <v>2552</v>
      </c>
      <c r="H104" s="713"/>
      <c r="I104" s="713"/>
      <c r="J104" s="713"/>
      <c r="K104" s="713"/>
      <c r="L104" s="713"/>
      <c r="M104" s="715"/>
      <c r="N104" s="2152"/>
      <c r="O104" s="2152"/>
      <c r="P104" s="2153"/>
      <c r="Q104" s="2154"/>
      <c r="R104" s="2155"/>
      <c r="S104" s="2155"/>
      <c r="T104" s="2155"/>
      <c r="U104" s="2155"/>
      <c r="V104" s="2155"/>
      <c r="W104" s="2155"/>
      <c r="X104" s="2155"/>
      <c r="Y104" s="2155"/>
      <c r="Z104" s="2155"/>
      <c r="AA104" s="2155"/>
      <c r="AB104" s="2155"/>
      <c r="AC104" s="2155"/>
    </row>
    <row r="105" spans="1:29" s="1335" customFormat="1" ht="15.75" thickBot="1">
      <c r="A105" s="687"/>
      <c r="B105" s="681"/>
      <c r="C105" s="679">
        <v>100</v>
      </c>
      <c r="D105" s="679">
        <f>C105-$K31</f>
        <v>99</v>
      </c>
      <c r="E105" s="679">
        <f>D105-$K31</f>
        <v>98</v>
      </c>
      <c r="F105" s="679">
        <f>E105-$K31</f>
        <v>97</v>
      </c>
      <c r="G105" s="679">
        <f>F105-$K31</f>
        <v>96</v>
      </c>
      <c r="H105" s="683"/>
      <c r="I105" s="683"/>
      <c r="J105" s="683"/>
      <c r="K105" s="683"/>
      <c r="L105" s="683"/>
      <c r="M105" s="2554"/>
      <c r="N105" s="2152"/>
      <c r="O105" s="2152"/>
      <c r="P105" s="2153"/>
      <c r="Q105" s="2154"/>
      <c r="R105" s="2155"/>
      <c r="S105" s="2155"/>
      <c r="T105" s="2155"/>
      <c r="U105" s="2155"/>
      <c r="V105" s="2155"/>
      <c r="W105" s="2155"/>
      <c r="X105" s="2155"/>
      <c r="Y105" s="2155"/>
      <c r="Z105" s="2155"/>
      <c r="AA105" s="2155"/>
      <c r="AB105" s="2155"/>
      <c r="AC105" s="2155"/>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9"/>
      <c r="O106" s="2149"/>
      <c r="P106" s="2150"/>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9"/>
      <c r="B108" s="673" t="s">
        <v>548</v>
      </c>
      <c r="C108" s="688"/>
      <c r="D108" s="688"/>
      <c r="E108" s="688"/>
      <c r="F108" s="688"/>
      <c r="G108" s="688"/>
      <c r="H108" s="718"/>
      <c r="I108" s="718"/>
      <c r="J108" s="718"/>
      <c r="K108" s="719"/>
      <c r="L108" s="720"/>
      <c r="M108" s="721"/>
      <c r="N108" s="2149"/>
      <c r="O108" s="2149"/>
      <c r="P108" s="2150"/>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C109-$K34</f>
        <v>100</v>
      </c>
      <c r="E109" s="679">
        <f t="shared" ref="E109:M109" si="24">D109-$K34</f>
        <v>100</v>
      </c>
      <c r="F109" s="679">
        <f t="shared" si="24"/>
        <v>100</v>
      </c>
      <c r="G109" s="679">
        <f t="shared" si="24"/>
        <v>100</v>
      </c>
      <c r="H109" s="679">
        <f t="shared" si="24"/>
        <v>100</v>
      </c>
      <c r="I109" s="679">
        <f t="shared" si="24"/>
        <v>100</v>
      </c>
      <c r="J109" s="679">
        <f t="shared" si="24"/>
        <v>100</v>
      </c>
      <c r="K109" s="679">
        <f t="shared" si="24"/>
        <v>100</v>
      </c>
      <c r="L109" s="679">
        <f t="shared" si="24"/>
        <v>100</v>
      </c>
      <c r="M109" s="679">
        <f t="shared" si="24"/>
        <v>100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9"/>
      <c r="B110" s="673" t="s">
        <v>549</v>
      </c>
      <c r="C110" s="718"/>
      <c r="D110" s="718"/>
      <c r="E110" s="718"/>
      <c r="F110" s="718"/>
      <c r="G110" s="718"/>
      <c r="H110" s="718"/>
      <c r="I110" s="718"/>
      <c r="J110" s="718"/>
      <c r="K110" s="719"/>
      <c r="L110" s="720"/>
      <c r="M110" s="72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9"/>
      <c r="B112" s="681">
        <f>B37</f>
        <v>111</v>
      </c>
      <c r="C112" s="688"/>
      <c r="D112" s="688"/>
      <c r="E112" s="688"/>
      <c r="F112" s="688"/>
      <c r="G112" s="722"/>
      <c r="H112" s="722"/>
      <c r="I112" s="722"/>
      <c r="J112" s="722"/>
      <c r="K112" s="723"/>
      <c r="L112" s="724"/>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99"/>
      <c r="C113" s="692"/>
      <c r="D113" s="692"/>
      <c r="E113" s="692"/>
      <c r="F113" s="692"/>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ht="15" thickTop="1">
      <c r="A114" s="587"/>
      <c r="B114" s="673">
        <f>B38</f>
        <v>111</v>
      </c>
      <c r="C114" s="661"/>
      <c r="D114" s="661"/>
      <c r="E114" s="661"/>
      <c r="F114" s="661"/>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700"/>
      <c r="D115" s="700"/>
      <c r="E115" s="700"/>
      <c r="F115" s="700"/>
      <c r="G115" s="671"/>
      <c r="H115" s="671"/>
      <c r="I115" s="671"/>
      <c r="J115" s="671"/>
      <c r="K115" s="671"/>
      <c r="L115" s="671"/>
      <c r="M115" s="672"/>
      <c r="N115" s="2151"/>
      <c r="O115" s="2151"/>
      <c r="P115" s="2150"/>
      <c r="Q115" s="2143"/>
      <c r="R115" s="2130"/>
      <c r="S115" s="2130"/>
      <c r="T115" s="2130"/>
      <c r="U115" s="2130"/>
      <c r="V115" s="2130"/>
      <c r="W115" s="2130"/>
      <c r="X115" s="2130"/>
      <c r="Y115" s="2130"/>
      <c r="Z115" s="2130"/>
      <c r="AA115" s="2130"/>
      <c r="AB115" s="2130"/>
      <c r="AC115" s="2130"/>
    </row>
    <row r="116" spans="1:29" s="1335" customFormat="1" ht="15" thickTop="1">
      <c r="A116" s="728"/>
      <c r="B116" s="729">
        <f>B39</f>
        <v>111</v>
      </c>
      <c r="C116" s="730"/>
      <c r="D116" s="730"/>
      <c r="E116" s="730"/>
      <c r="F116" s="730"/>
      <c r="G116" s="730"/>
      <c r="H116" s="730"/>
      <c r="I116" s="730"/>
      <c r="J116" s="731"/>
      <c r="K116" s="731"/>
      <c r="L116" s="732"/>
      <c r="M116" s="733"/>
      <c r="N116" s="2152"/>
      <c r="O116" s="2152"/>
      <c r="P116" s="2153"/>
      <c r="Q116" s="2154"/>
      <c r="R116" s="2155"/>
      <c r="S116" s="2155"/>
      <c r="T116" s="2155"/>
      <c r="U116" s="2155"/>
      <c r="V116" s="2155"/>
      <c r="W116" s="2155"/>
      <c r="X116" s="2155"/>
      <c r="Y116" s="2155"/>
      <c r="Z116" s="2155"/>
      <c r="AA116" s="2155"/>
      <c r="AB116" s="2155"/>
      <c r="AC116" s="2155"/>
    </row>
    <row r="117" spans="1:29" s="1335" customFormat="1" ht="15.75" thickBot="1">
      <c r="A117" s="687"/>
      <c r="B117" s="681"/>
      <c r="C117" s="650"/>
      <c r="D117" s="592"/>
      <c r="E117" s="592"/>
      <c r="F117" s="592"/>
      <c r="G117" s="592"/>
      <c r="H117" s="592"/>
      <c r="I117" s="592"/>
      <c r="J117" s="592"/>
      <c r="K117" s="592"/>
      <c r="L117" s="592"/>
      <c r="M117" s="734"/>
      <c r="N117" s="2151"/>
      <c r="O117" s="2151"/>
      <c r="P117" s="2153"/>
      <c r="Q117" s="2154"/>
      <c r="R117" s="2155"/>
      <c r="S117" s="2155"/>
      <c r="T117" s="2155"/>
      <c r="U117" s="2155"/>
      <c r="V117" s="2155"/>
      <c r="W117" s="2155"/>
      <c r="X117" s="2155"/>
      <c r="Y117" s="2155"/>
      <c r="Z117" s="2155"/>
      <c r="AA117" s="2155"/>
      <c r="AB117" s="2155"/>
      <c r="AC117" s="2155"/>
    </row>
    <row r="118" spans="1:29" ht="28.5">
      <c r="A118" s="664" t="s">
        <v>551</v>
      </c>
      <c r="B118" s="665" t="s">
        <v>593</v>
      </c>
      <c r="C118" s="704" t="str">
        <f t="shared" ref="C118:L118" si="26">C119&amp;"(含)"&amp;"-"&amp;D119</f>
        <v>0(含)-10000</v>
      </c>
      <c r="D118" s="704" t="str">
        <f t="shared" si="26"/>
        <v>10000(含)-20000</v>
      </c>
      <c r="E118" s="704" t="str">
        <f t="shared" si="26"/>
        <v>20000(含)-30000</v>
      </c>
      <c r="F118" s="704" t="str">
        <f t="shared" si="26"/>
        <v>30000(含)-40000</v>
      </c>
      <c r="G118" s="704" t="str">
        <f t="shared" si="26"/>
        <v>40000(含)-50000</v>
      </c>
      <c r="H118" s="704" t="str">
        <f t="shared" si="26"/>
        <v>50000(含)-60000</v>
      </c>
      <c r="I118" s="704" t="str">
        <f t="shared" si="26"/>
        <v>60000(含)-</v>
      </c>
      <c r="J118" s="3040" t="str">
        <f t="shared" si="26"/>
        <v>(含)-</v>
      </c>
      <c r="K118" s="3040" t="str">
        <f t="shared" si="26"/>
        <v>(含)-</v>
      </c>
      <c r="L118" s="3041" t="str">
        <f t="shared" si="26"/>
        <v>(含)-</v>
      </c>
      <c r="M118" s="3042"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9"/>
      <c r="B119" s="681"/>
      <c r="C119" s="730">
        <v>0</v>
      </c>
      <c r="D119" s="730">
        <f>C119+10000</f>
        <v>10000</v>
      </c>
      <c r="E119" s="730">
        <f t="shared" ref="E119:I119" si="27">D119+10000</f>
        <v>20000</v>
      </c>
      <c r="F119" s="730">
        <f t="shared" si="27"/>
        <v>30000</v>
      </c>
      <c r="G119" s="730">
        <f t="shared" si="27"/>
        <v>40000</v>
      </c>
      <c r="H119" s="730">
        <f t="shared" si="27"/>
        <v>50000</v>
      </c>
      <c r="I119" s="730">
        <f t="shared" si="27"/>
        <v>60000</v>
      </c>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5.75" thickBot="1">
      <c r="A120" s="669"/>
      <c r="B120" s="678"/>
      <c r="C120" s="700">
        <v>100</v>
      </c>
      <c r="D120" s="726">
        <f>C120+1</f>
        <v>101</v>
      </c>
      <c r="E120" s="726">
        <f t="shared" ref="E120:I120" si="28">D120+1</f>
        <v>102</v>
      </c>
      <c r="F120" s="726">
        <f t="shared" si="28"/>
        <v>103</v>
      </c>
      <c r="G120" s="726">
        <f t="shared" si="28"/>
        <v>104</v>
      </c>
      <c r="H120" s="726">
        <f t="shared" si="28"/>
        <v>105</v>
      </c>
      <c r="I120" s="726">
        <f t="shared" si="28"/>
        <v>106</v>
      </c>
      <c r="J120" s="726"/>
      <c r="K120" s="726"/>
      <c r="L120" s="726"/>
      <c r="M120" s="727"/>
      <c r="N120" s="2151"/>
      <c r="O120" s="2151"/>
      <c r="P120" s="2150"/>
      <c r="Q120" s="2143"/>
      <c r="R120" s="2130"/>
      <c r="S120" s="2130"/>
      <c r="T120" s="2130"/>
      <c r="U120" s="2130"/>
      <c r="V120" s="2130"/>
      <c r="W120" s="2130"/>
      <c r="X120" s="2130"/>
      <c r="Y120" s="2130"/>
      <c r="Z120" s="2130"/>
      <c r="AA120" s="2130"/>
      <c r="AB120" s="2130"/>
      <c r="AC120" s="2130"/>
    </row>
    <row r="121" spans="1:29" ht="15" thickTop="1">
      <c r="A121" s="735"/>
      <c r="B121" s="673" t="s">
        <v>594</v>
      </c>
      <c r="C121" s="3182" t="s">
        <v>3109</v>
      </c>
      <c r="D121" s="3182" t="s">
        <v>3111</v>
      </c>
      <c r="E121" s="3182" t="s">
        <v>3112</v>
      </c>
      <c r="F121" s="3182" t="s">
        <v>3113</v>
      </c>
      <c r="G121" s="718"/>
      <c r="H121" s="718"/>
      <c r="I121" s="718"/>
      <c r="J121" s="718"/>
      <c r="K121" s="719"/>
      <c r="L121" s="720"/>
      <c r="M121" s="721"/>
      <c r="N121" s="2149"/>
      <c r="O121" s="2149"/>
      <c r="P121" s="2150"/>
      <c r="Q121" s="2143"/>
      <c r="R121" s="2130"/>
      <c r="S121" s="2130"/>
      <c r="T121" s="2130"/>
      <c r="U121" s="2130"/>
      <c r="V121" s="2130"/>
      <c r="W121" s="2130"/>
      <c r="X121" s="2130"/>
      <c r="Y121" s="2130"/>
      <c r="Z121" s="2130"/>
      <c r="AA121" s="2130"/>
      <c r="AB121" s="2130"/>
      <c r="AC121" s="2130"/>
    </row>
    <row r="122" spans="1:29" ht="15.75" thickBot="1">
      <c r="A122" s="669"/>
      <c r="B122" s="678"/>
      <c r="C122" s="679">
        <v>100</v>
      </c>
      <c r="D122" s="679">
        <f t="shared" ref="D122:M122" si="29">C122-$K41</f>
        <v>99</v>
      </c>
      <c r="E122" s="679">
        <f t="shared" si="29"/>
        <v>98</v>
      </c>
      <c r="F122" s="679">
        <f t="shared" si="29"/>
        <v>97</v>
      </c>
      <c r="G122" s="679">
        <f t="shared" si="29"/>
        <v>96</v>
      </c>
      <c r="H122" s="679">
        <f t="shared" si="29"/>
        <v>95</v>
      </c>
      <c r="I122" s="679">
        <f t="shared" si="29"/>
        <v>94</v>
      </c>
      <c r="J122" s="679">
        <f t="shared" si="29"/>
        <v>93</v>
      </c>
      <c r="K122" s="679">
        <f t="shared" si="29"/>
        <v>92</v>
      </c>
      <c r="L122" s="679">
        <f t="shared" si="29"/>
        <v>91</v>
      </c>
      <c r="M122" s="680">
        <f t="shared" si="29"/>
        <v>90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5"/>
      <c r="B123" s="673" t="s">
        <v>595</v>
      </c>
      <c r="C123" s="3181" t="s">
        <v>3114</v>
      </c>
      <c r="D123" s="3181" t="s">
        <v>3115</v>
      </c>
      <c r="E123" s="3182" t="s">
        <v>3116</v>
      </c>
      <c r="F123" s="3182" t="s">
        <v>3117</v>
      </c>
      <c r="G123" s="3182" t="s">
        <v>3118</v>
      </c>
      <c r="H123" s="718"/>
      <c r="I123" s="718"/>
      <c r="J123" s="718"/>
      <c r="K123" s="719"/>
      <c r="L123" s="720"/>
      <c r="M123" s="721"/>
      <c r="N123" s="2149"/>
      <c r="O123" s="2149"/>
      <c r="P123" s="2150"/>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30">C124-$K42</f>
        <v>99</v>
      </c>
      <c r="E124" s="679">
        <f t="shared" si="30"/>
        <v>98</v>
      </c>
      <c r="F124" s="679">
        <f t="shared" si="30"/>
        <v>97</v>
      </c>
      <c r="G124" s="679">
        <f t="shared" si="30"/>
        <v>96</v>
      </c>
      <c r="H124" s="679">
        <f t="shared" si="30"/>
        <v>95</v>
      </c>
      <c r="I124" s="679">
        <f t="shared" si="30"/>
        <v>94</v>
      </c>
      <c r="J124" s="679">
        <f t="shared" si="30"/>
        <v>93</v>
      </c>
      <c r="K124" s="679">
        <f t="shared" si="30"/>
        <v>92</v>
      </c>
      <c r="L124" s="679">
        <f t="shared" si="30"/>
        <v>91</v>
      </c>
      <c r="M124" s="680">
        <f t="shared" si="30"/>
        <v>90</v>
      </c>
      <c r="N124" s="2151"/>
      <c r="O124" s="2151"/>
      <c r="P124" s="2150"/>
      <c r="Q124" s="2143"/>
      <c r="R124" s="2130"/>
      <c r="S124" s="2130"/>
      <c r="T124" s="2130"/>
      <c r="U124" s="2130"/>
      <c r="V124" s="2130"/>
      <c r="W124" s="2130"/>
      <c r="X124" s="2130"/>
      <c r="Y124" s="2130"/>
      <c r="Z124" s="2130"/>
      <c r="AA124" s="2130"/>
      <c r="AB124" s="2130"/>
      <c r="AC124" s="2130"/>
    </row>
    <row r="125" spans="1:29" s="1335" customFormat="1" ht="15" thickTop="1">
      <c r="A125" s="728"/>
      <c r="B125" s="1881" t="s">
        <v>2424</v>
      </c>
      <c r="C125" s="1372" t="s">
        <v>3106</v>
      </c>
      <c r="D125" s="1372" t="s">
        <v>3107</v>
      </c>
      <c r="E125" s="1372" t="s">
        <v>3108</v>
      </c>
      <c r="F125" s="1372"/>
      <c r="G125" s="1372"/>
      <c r="H125" s="718"/>
      <c r="I125" s="718"/>
      <c r="J125" s="718"/>
      <c r="K125" s="719"/>
      <c r="L125" s="720"/>
      <c r="M125" s="721"/>
      <c r="N125" s="2152"/>
      <c r="O125" s="2152"/>
      <c r="P125" s="2153"/>
      <c r="Q125" s="2154"/>
      <c r="R125" s="2155"/>
      <c r="S125" s="2155"/>
      <c r="T125" s="2155"/>
      <c r="U125" s="2155"/>
      <c r="V125" s="2155"/>
      <c r="W125" s="2155"/>
      <c r="X125" s="2155"/>
      <c r="Y125" s="2155"/>
      <c r="Z125" s="2155"/>
      <c r="AA125" s="2155"/>
      <c r="AB125" s="2155"/>
      <c r="AC125" s="2155"/>
    </row>
    <row r="126" spans="1:29" s="1335" customFormat="1" ht="15.75" thickBot="1">
      <c r="A126" s="687"/>
      <c r="B126" s="678"/>
      <c r="C126" s="679">
        <v>100</v>
      </c>
      <c r="D126" s="679">
        <f>C126-$K43</f>
        <v>99</v>
      </c>
      <c r="E126" s="679">
        <f t="shared" ref="E126:M126" si="31">D126-$K43</f>
        <v>98</v>
      </c>
      <c r="F126" s="679">
        <f t="shared" si="31"/>
        <v>97</v>
      </c>
      <c r="G126" s="679">
        <f t="shared" si="31"/>
        <v>96</v>
      </c>
      <c r="H126" s="679">
        <f t="shared" si="31"/>
        <v>95</v>
      </c>
      <c r="I126" s="679">
        <f t="shared" si="31"/>
        <v>94</v>
      </c>
      <c r="J126" s="679">
        <f t="shared" si="31"/>
        <v>93</v>
      </c>
      <c r="K126" s="679">
        <f t="shared" si="31"/>
        <v>92</v>
      </c>
      <c r="L126" s="679">
        <f t="shared" si="31"/>
        <v>91</v>
      </c>
      <c r="M126" s="680">
        <f t="shared" si="31"/>
        <v>90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5"/>
      <c r="B127" s="673" t="s">
        <v>596</v>
      </c>
      <c r="C127" s="3181" t="s">
        <v>3114</v>
      </c>
      <c r="D127" s="3181" t="s">
        <v>3115</v>
      </c>
      <c r="E127" s="3182" t="s">
        <v>3116</v>
      </c>
      <c r="F127" s="3182" t="s">
        <v>3117</v>
      </c>
      <c r="G127" s="3182" t="s">
        <v>3118</v>
      </c>
      <c r="H127" s="718"/>
      <c r="I127" s="718"/>
      <c r="J127" s="718"/>
      <c r="K127" s="719"/>
      <c r="L127" s="720"/>
      <c r="M127" s="721"/>
      <c r="N127" s="2149"/>
      <c r="O127" s="2149"/>
      <c r="P127" s="2150"/>
      <c r="Q127" s="2143"/>
      <c r="R127" s="2130"/>
      <c r="S127" s="2130"/>
      <c r="T127" s="2130"/>
      <c r="U127" s="2130"/>
      <c r="V127" s="2130"/>
      <c r="W127" s="2130"/>
      <c r="X127" s="2130"/>
      <c r="Y127" s="2130"/>
      <c r="Z127" s="2130"/>
      <c r="AA127" s="2130"/>
      <c r="AB127" s="2130"/>
      <c r="AC127" s="2130"/>
    </row>
    <row r="128" spans="1:29" ht="15.75" thickBot="1">
      <c r="A128" s="669"/>
      <c r="B128" s="678"/>
      <c r="C128" s="679">
        <v>100</v>
      </c>
      <c r="D128" s="679">
        <f t="shared" ref="D128:M128" si="32">C128-$K44</f>
        <v>99</v>
      </c>
      <c r="E128" s="679">
        <f t="shared" si="32"/>
        <v>98</v>
      </c>
      <c r="F128" s="679">
        <f t="shared" si="32"/>
        <v>97</v>
      </c>
      <c r="G128" s="679">
        <f t="shared" si="32"/>
        <v>96</v>
      </c>
      <c r="H128" s="679">
        <f t="shared" si="32"/>
        <v>95</v>
      </c>
      <c r="I128" s="679">
        <f t="shared" si="32"/>
        <v>94</v>
      </c>
      <c r="J128" s="679">
        <f t="shared" si="32"/>
        <v>93</v>
      </c>
      <c r="K128" s="679">
        <f t="shared" si="32"/>
        <v>92</v>
      </c>
      <c r="L128" s="679">
        <f t="shared" si="32"/>
        <v>91</v>
      </c>
      <c r="M128" s="680">
        <f t="shared" si="32"/>
        <v>90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5"/>
      <c r="B129" s="673">
        <f>B45</f>
        <v>111</v>
      </c>
      <c r="C129" s="688"/>
      <c r="D129" s="688"/>
      <c r="E129" s="688"/>
      <c r="F129" s="688"/>
      <c r="G129" s="688"/>
      <c r="H129" s="718"/>
      <c r="I129" s="718"/>
      <c r="J129" s="718"/>
      <c r="K129" s="719"/>
      <c r="L129" s="720"/>
      <c r="M129" s="721"/>
      <c r="N129" s="2149"/>
      <c r="O129" s="2149"/>
      <c r="P129" s="2150"/>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50"/>
      <c r="Q130" s="2143"/>
      <c r="R130" s="2130"/>
      <c r="S130" s="2130"/>
      <c r="T130" s="2130"/>
      <c r="U130" s="2130"/>
      <c r="V130" s="2130"/>
      <c r="W130" s="2130"/>
      <c r="X130" s="2130"/>
      <c r="Y130" s="2130"/>
      <c r="Z130" s="2130"/>
      <c r="AA130" s="2130"/>
      <c r="AB130" s="2130"/>
      <c r="AC130" s="2130"/>
    </row>
    <row r="131" spans="1:29" ht="15" thickTop="1">
      <c r="A131" s="735"/>
      <c r="B131" s="673">
        <f>B46</f>
        <v>111</v>
      </c>
      <c r="C131" s="661"/>
      <c r="D131" s="661"/>
      <c r="E131" s="661"/>
      <c r="F131" s="661"/>
      <c r="G131" s="718"/>
      <c r="H131" s="718"/>
      <c r="I131" s="718"/>
      <c r="J131" s="718"/>
      <c r="K131" s="719"/>
      <c r="L131" s="720"/>
      <c r="M131" s="721"/>
      <c r="N131" s="2149"/>
      <c r="O131" s="2149"/>
      <c r="P131" s="2150"/>
      <c r="Q131" s="2143"/>
      <c r="R131" s="2130"/>
      <c r="S131" s="2130"/>
      <c r="T131" s="2130"/>
      <c r="U131" s="2130"/>
      <c r="V131" s="2130"/>
      <c r="W131" s="2130"/>
      <c r="X131" s="2130"/>
      <c r="Y131" s="2130"/>
      <c r="Z131" s="2130"/>
      <c r="AA131" s="2130"/>
      <c r="AB131" s="2130"/>
      <c r="AC131" s="2130"/>
    </row>
    <row r="132" spans="1:29" ht="15.75" thickBot="1">
      <c r="A132" s="669"/>
      <c r="B132" s="678"/>
      <c r="C132" s="700"/>
      <c r="D132" s="700"/>
      <c r="E132" s="700"/>
      <c r="F132" s="700"/>
      <c r="G132" s="671"/>
      <c r="H132" s="671"/>
      <c r="I132" s="671"/>
      <c r="J132" s="671"/>
      <c r="K132" s="671"/>
      <c r="L132" s="671"/>
      <c r="M132" s="672"/>
      <c r="N132" s="2151"/>
      <c r="O132" s="2151"/>
      <c r="P132" s="2150"/>
      <c r="Q132" s="2143"/>
      <c r="R132" s="2130"/>
      <c r="S132" s="2130"/>
      <c r="T132" s="2130"/>
      <c r="U132" s="2130"/>
      <c r="V132" s="2130"/>
      <c r="W132" s="2130"/>
      <c r="X132" s="2130"/>
      <c r="Y132" s="2130"/>
      <c r="Z132" s="2130"/>
      <c r="AA132" s="2130"/>
      <c r="AB132" s="2130"/>
      <c r="AC132" s="2130"/>
    </row>
    <row r="133" spans="1:29" s="1335" customFormat="1" ht="15" thickTop="1">
      <c r="A133" s="728"/>
      <c r="B133" s="673">
        <f>B47</f>
        <v>111</v>
      </c>
      <c r="C133" s="661"/>
      <c r="D133" s="661"/>
      <c r="E133" s="661"/>
      <c r="F133" s="661"/>
      <c r="G133" s="689"/>
      <c r="H133" s="689"/>
      <c r="I133" s="689"/>
      <c r="J133" s="689"/>
      <c r="K133" s="689"/>
      <c r="L133" s="690"/>
      <c r="M133" s="691"/>
      <c r="N133" s="2152"/>
      <c r="O133" s="2152"/>
      <c r="P133" s="2153"/>
      <c r="Q133" s="2154"/>
      <c r="R133" s="2155"/>
      <c r="S133" s="2155"/>
      <c r="T133" s="2155"/>
      <c r="U133" s="2155"/>
      <c r="V133" s="2155"/>
      <c r="W133" s="2155"/>
      <c r="X133" s="2155"/>
      <c r="Y133" s="2155"/>
      <c r="Z133" s="2155"/>
      <c r="AA133" s="2155"/>
      <c r="AB133" s="2155"/>
      <c r="AC133" s="2155"/>
    </row>
    <row r="134" spans="1:29" s="1335" customFormat="1" ht="15.75" thickBot="1">
      <c r="A134" s="698"/>
      <c r="B134" s="736"/>
      <c r="C134" s="700"/>
      <c r="D134" s="700"/>
      <c r="E134" s="700"/>
      <c r="F134" s="700"/>
      <c r="G134" s="726"/>
      <c r="H134" s="726"/>
      <c r="I134" s="726"/>
      <c r="J134" s="726"/>
      <c r="K134" s="726"/>
      <c r="L134" s="726"/>
      <c r="M134" s="727"/>
      <c r="N134" s="2152"/>
      <c r="O134" s="2152"/>
      <c r="P134" s="2153"/>
      <c r="Q134" s="2154"/>
      <c r="R134" s="2155"/>
      <c r="S134" s="2155"/>
      <c r="T134" s="2155"/>
      <c r="U134" s="2155"/>
      <c r="V134" s="2155"/>
      <c r="W134" s="2155"/>
      <c r="X134" s="2155"/>
      <c r="Y134" s="2155"/>
      <c r="Z134" s="2155"/>
      <c r="AA134" s="2155"/>
      <c r="AB134" s="2155"/>
      <c r="AC134" s="2155"/>
    </row>
    <row r="135" spans="1:29" s="1573"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3"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3"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3"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3"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3"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3"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3"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3"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3"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3"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3"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3"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3"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3"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3"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3"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3"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3"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3"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3"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3"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3"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3"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3"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3"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3"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3"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3"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3"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3"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3"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3"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3"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3"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3"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3"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3"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3"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3"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3"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3"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3"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3"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3"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3"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3"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3"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3"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3"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3"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3"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3"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3"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3"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3"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3"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3"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3"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3"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3"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3"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3"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3"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3"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3"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3"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3"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3"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3"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3"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3"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3"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3"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3"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3"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3"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3"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3"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3"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3"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3"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3"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3"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3"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3"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3"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3"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3"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3"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3"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3"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3"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3"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3"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3"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3"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3"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3"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3"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3"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3"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3"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3"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3"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3"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3"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3"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3"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3"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3"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3"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3"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3"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3"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3"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3"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3"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3"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3"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3"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C126" sqref="C126:F131"/>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467</v>
      </c>
      <c r="B2" s="508" t="e">
        <f>F63</f>
        <v>#DIV/0!</v>
      </c>
      <c r="C2" s="2113"/>
      <c r="D2" s="2113"/>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c r="A3" s="1376" t="s">
        <v>1685</v>
      </c>
      <c r="B3" s="510" t="e">
        <f>ROUND(B2*10000/'数据-汇总表'!E3,0)</f>
        <v>#DIV/0!</v>
      </c>
      <c r="C3" s="2046"/>
      <c r="D3" s="2046"/>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428"/>
      <c r="AC3" s="428"/>
    </row>
    <row r="4" spans="1:29" s="1332" customFormat="1" ht="28.5" customHeight="1">
      <c r="A4" s="511" t="s">
        <v>520</v>
      </c>
      <c r="B4" s="427" t="e">
        <f>IF(B43="单位面积地价",C45,ROUND(B2*10000/'数据-汇总表'!D3,0))</f>
        <v>#DIV/0!</v>
      </c>
      <c r="C4" s="2046"/>
      <c r="D4" s="2046"/>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29" s="1332" customFormat="1" ht="28.5" customHeight="1" thickBot="1">
      <c r="A5" s="429"/>
      <c r="B5" s="430" t="e">
        <f>ROUND(B2/('数据-汇总表'!D3/666.67),0)</f>
        <v>#DIV/0!</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2"/>
      <c r="AC5" s="428"/>
    </row>
    <row r="6" spans="1:29" ht="15">
      <c r="A6" s="512" t="s">
        <v>521</v>
      </c>
      <c r="B6" s="513"/>
      <c r="C6" s="3430" t="s">
        <v>522</v>
      </c>
      <c r="D6" s="3431"/>
      <c r="E6" s="3466" t="s">
        <v>523</v>
      </c>
      <c r="F6" s="3467"/>
      <c r="G6" s="3430" t="s">
        <v>524</v>
      </c>
      <c r="H6" s="3431"/>
      <c r="I6" s="3430" t="s">
        <v>525</v>
      </c>
      <c r="J6" s="3431"/>
      <c r="K6" s="514" t="s">
        <v>526</v>
      </c>
      <c r="L6" s="2118"/>
      <c r="M6" s="2119"/>
      <c r="N6" s="2119"/>
      <c r="O6" s="2119"/>
      <c r="P6" s="3432" t="s">
        <v>527</v>
      </c>
      <c r="Q6" s="3433"/>
      <c r="R6" s="3438" t="s">
        <v>523</v>
      </c>
      <c r="S6" s="3439"/>
      <c r="T6" s="3438" t="s">
        <v>524</v>
      </c>
      <c r="U6" s="3439"/>
      <c r="V6" s="3425" t="s">
        <v>525</v>
      </c>
      <c r="W6" s="3425"/>
      <c r="X6" s="1553"/>
      <c r="Y6" s="3438" t="s">
        <v>527</v>
      </c>
      <c r="Z6" s="3439"/>
      <c r="AA6" s="3427" t="s">
        <v>523</v>
      </c>
      <c r="AB6" s="3428" t="s">
        <v>524</v>
      </c>
      <c r="AC6" s="3427" t="s">
        <v>525</v>
      </c>
    </row>
    <row r="7" spans="1:29" ht="15">
      <c r="A7" s="515"/>
      <c r="B7" s="516"/>
      <c r="C7" s="3446" t="s">
        <v>2922</v>
      </c>
      <c r="D7" s="3447"/>
      <c r="E7" s="3468" t="s">
        <v>2923</v>
      </c>
      <c r="F7" s="3469"/>
      <c r="G7" s="3446" t="s">
        <v>2924</v>
      </c>
      <c r="H7" s="3447"/>
      <c r="I7" s="3446" t="s">
        <v>2925</v>
      </c>
      <c r="J7" s="3447"/>
      <c r="K7" s="514"/>
      <c r="L7" s="2118"/>
      <c r="M7" s="2119"/>
      <c r="N7" s="2119"/>
      <c r="O7" s="2119"/>
      <c r="P7" s="3434"/>
      <c r="Q7" s="3435"/>
      <c r="R7" s="3440"/>
      <c r="S7" s="3441"/>
      <c r="T7" s="3440"/>
      <c r="U7" s="3441"/>
      <c r="V7" s="3425"/>
      <c r="W7" s="3425"/>
      <c r="X7" s="1553"/>
      <c r="Y7" s="3440"/>
      <c r="Z7" s="3441"/>
      <c r="AA7" s="3428"/>
      <c r="AB7" s="3428"/>
      <c r="AC7" s="3428"/>
    </row>
    <row r="8" spans="1:29" ht="15.75" thickBot="1">
      <c r="A8" s="517"/>
      <c r="B8" s="518"/>
      <c r="C8" s="3444" t="s">
        <v>2926</v>
      </c>
      <c r="D8" s="3445"/>
      <c r="E8" s="3464" t="s">
        <v>2926</v>
      </c>
      <c r="F8" s="3465"/>
      <c r="G8" s="3444" t="s">
        <v>2926</v>
      </c>
      <c r="H8" s="3445"/>
      <c r="I8" s="3444" t="s">
        <v>2926</v>
      </c>
      <c r="J8" s="3445"/>
      <c r="K8" s="514" t="s">
        <v>528</v>
      </c>
      <c r="L8" s="2118"/>
      <c r="M8" s="2119"/>
      <c r="N8" s="2119"/>
      <c r="O8" s="2119"/>
      <c r="P8" s="3436"/>
      <c r="Q8" s="3437"/>
      <c r="R8" s="3440"/>
      <c r="S8" s="3441"/>
      <c r="T8" s="3442"/>
      <c r="U8" s="3443"/>
      <c r="V8" s="3425"/>
      <c r="W8" s="3425"/>
      <c r="X8" s="1553"/>
      <c r="Y8" s="3442"/>
      <c r="Z8" s="3443"/>
      <c r="AA8" s="3429"/>
      <c r="AB8" s="3429"/>
      <c r="AC8" s="3429"/>
    </row>
    <row r="9" spans="1:29" s="1216" customFormat="1" ht="15.75" thickBot="1">
      <c r="A9" s="2867"/>
      <c r="B9" s="2874" t="s">
        <v>529</v>
      </c>
      <c r="C9" s="519">
        <f>'数据-取费表'!B2</f>
        <v>43868</v>
      </c>
      <c r="D9" s="520">
        <v>100</v>
      </c>
      <c r="E9" s="521"/>
      <c r="F9" s="522">
        <f>SUMIF(67:67,YEAR(E9)&amp;"-"&amp;INT((MONTH(E9)+2)/3),68:68)</f>
        <v>0</v>
      </c>
      <c r="G9" s="523"/>
      <c r="H9" s="520">
        <f>SUMIF(67:67,YEAR(G9)&amp;"-"&amp;INT((MONTH(G9)+2)/3),68:68)</f>
        <v>0</v>
      </c>
      <c r="I9" s="523"/>
      <c r="J9" s="520">
        <f>SUMIF(67:67,YEAR(I9)&amp;"-"&amp;INT((MONTH(I9)+2)/3),68:68)</f>
        <v>0</v>
      </c>
      <c r="K9" s="524"/>
      <c r="L9" s="2120"/>
      <c r="M9" s="2121"/>
      <c r="N9" s="2121"/>
      <c r="O9" s="2121"/>
      <c r="P9" s="3457" t="s">
        <v>530</v>
      </c>
      <c r="Q9" s="3459"/>
      <c r="R9" s="1554" t="s">
        <v>8</v>
      </c>
      <c r="S9" s="1555">
        <f t="shared" ref="S9:S17" si="0">F9</f>
        <v>0</v>
      </c>
      <c r="T9" s="1554" t="s">
        <v>8</v>
      </c>
      <c r="U9" s="1555">
        <f t="shared" ref="U9:U17" si="1">H9</f>
        <v>0</v>
      </c>
      <c r="V9" s="1554" t="s">
        <v>8</v>
      </c>
      <c r="W9" s="1555">
        <f t="shared" ref="W9:W17" si="2">J9</f>
        <v>0</v>
      </c>
      <c r="X9" s="1556"/>
      <c r="Y9" s="3457" t="s">
        <v>530</v>
      </c>
      <c r="Z9" s="3458"/>
      <c r="AA9" s="1557" t="e">
        <f>D9/F9</f>
        <v>#DIV/0!</v>
      </c>
      <c r="AB9" s="1557" t="e">
        <f>D9/H9</f>
        <v>#DIV/0!</v>
      </c>
      <c r="AC9" s="1557" t="e">
        <f>D9/J9</f>
        <v>#DIV/0!</v>
      </c>
    </row>
    <row r="10" spans="1:29" s="1216" customFormat="1" ht="15.75" thickBot="1">
      <c r="A10" s="2868"/>
      <c r="B10" s="287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0"/>
      <c r="M10" s="2121"/>
      <c r="N10" s="2121"/>
      <c r="O10" s="2121"/>
      <c r="P10" s="3457" t="s">
        <v>533</v>
      </c>
      <c r="Q10" s="3458"/>
      <c r="R10" s="1554" t="s">
        <v>8</v>
      </c>
      <c r="S10" s="1555">
        <f t="shared" si="0"/>
        <v>0</v>
      </c>
      <c r="T10" s="1554" t="s">
        <v>8</v>
      </c>
      <c r="U10" s="1555">
        <f t="shared" si="1"/>
        <v>0</v>
      </c>
      <c r="V10" s="1554" t="s">
        <v>8</v>
      </c>
      <c r="W10" s="1555">
        <f t="shared" si="2"/>
        <v>0</v>
      </c>
      <c r="X10" s="1556"/>
      <c r="Y10" s="3457" t="s">
        <v>533</v>
      </c>
      <c r="Z10" s="3458"/>
      <c r="AA10" s="1557" t="e">
        <f t="shared" ref="AA10:AA42" si="3">D10/F10</f>
        <v>#DIV/0!</v>
      </c>
      <c r="AB10" s="1557" t="e">
        <f t="shared" ref="AB10:AB42" si="4">D10/H10</f>
        <v>#DIV/0!</v>
      </c>
      <c r="AC10" s="1557" t="e">
        <f t="shared" ref="AC10:AC42" si="5">D10/J10</f>
        <v>#DIV/0!</v>
      </c>
    </row>
    <row r="11" spans="1:29" s="1216" customFormat="1" ht="15">
      <c r="A11" s="2869"/>
      <c r="B11" s="2876" t="s">
        <v>2753</v>
      </c>
      <c r="C11" s="526"/>
      <c r="D11" s="254">
        <v>100</v>
      </c>
      <c r="E11" s="526"/>
      <c r="F11" s="254">
        <f>SUMIF(72:72,E11,73:73)-SUMIF(72:72,C11,73:73)+100</f>
        <v>100</v>
      </c>
      <c r="G11" s="526"/>
      <c r="H11" s="254">
        <f>SUMIF(72:72,G11,73:73)-SUMIF(72:72,C11,73:73)+100</f>
        <v>100</v>
      </c>
      <c r="I11" s="526"/>
      <c r="J11" s="254">
        <f>SUMIF(72:72,I11,73:73)-SUMIF(72:72,C11,73:73)+100</f>
        <v>100</v>
      </c>
      <c r="K11" s="524"/>
      <c r="L11" s="2120"/>
      <c r="M11" s="2121"/>
      <c r="N11" s="2121"/>
      <c r="O11" s="2122"/>
      <c r="P11" s="3424" t="s">
        <v>535</v>
      </c>
      <c r="Q11" s="1147" t="str">
        <f t="shared" ref="Q11:Q17" si="6">B11</f>
        <v>用途</v>
      </c>
      <c r="R11" s="1554" t="s">
        <v>8</v>
      </c>
      <c r="S11" s="1555">
        <f t="shared" si="0"/>
        <v>100</v>
      </c>
      <c r="T11" s="1554" t="s">
        <v>8</v>
      </c>
      <c r="U11" s="1555">
        <f t="shared" si="1"/>
        <v>100</v>
      </c>
      <c r="V11" s="1554" t="s">
        <v>8</v>
      </c>
      <c r="W11" s="1555">
        <f t="shared" si="2"/>
        <v>100</v>
      </c>
      <c r="X11" s="1556"/>
      <c r="Y11" s="3370" t="s">
        <v>536</v>
      </c>
      <c r="Z11" s="1146" t="str">
        <f t="shared" ref="Z11:Z17" si="7">Q11</f>
        <v>用途</v>
      </c>
      <c r="AA11" s="1557">
        <f t="shared" si="3"/>
        <v>1</v>
      </c>
      <c r="AB11" s="1557">
        <f t="shared" si="4"/>
        <v>1</v>
      </c>
      <c r="AC11" s="1557">
        <f t="shared" si="5"/>
        <v>1</v>
      </c>
    </row>
    <row r="12" spans="1:29" s="1334" customFormat="1" ht="27">
      <c r="A12" s="2870"/>
      <c r="B12" s="2875" t="s">
        <v>2754</v>
      </c>
      <c r="C12" s="528"/>
      <c r="D12" s="255">
        <v>100</v>
      </c>
      <c r="E12" s="528"/>
      <c r="F12" s="255">
        <f>ROUND(100/'数据-取费表'!G16,0)</f>
        <v>101</v>
      </c>
      <c r="G12" s="528"/>
      <c r="H12" s="255">
        <f>ROUND(100/'数据-取费表'!G16,0)</f>
        <v>101</v>
      </c>
      <c r="I12" s="528"/>
      <c r="J12" s="255">
        <f>ROUND(100/'数据-取费表'!G16,0)</f>
        <v>101</v>
      </c>
      <c r="K12" s="531"/>
      <c r="L12" s="2123"/>
      <c r="M12" s="2163"/>
      <c r="N12" s="2163"/>
      <c r="O12" s="2124"/>
      <c r="P12" s="3424"/>
      <c r="Q12" s="1147" t="str">
        <f t="shared" si="6"/>
        <v>土地使用年限（年）</v>
      </c>
      <c r="R12" s="1554" t="s">
        <v>8</v>
      </c>
      <c r="S12" s="1555">
        <f t="shared" si="0"/>
        <v>101</v>
      </c>
      <c r="T12" s="1554" t="s">
        <v>8</v>
      </c>
      <c r="U12" s="1555">
        <f t="shared" si="1"/>
        <v>101</v>
      </c>
      <c r="V12" s="1554" t="s">
        <v>8</v>
      </c>
      <c r="W12" s="1555">
        <f t="shared" si="2"/>
        <v>101</v>
      </c>
      <c r="X12" s="1556"/>
      <c r="Y12" s="3370"/>
      <c r="Z12" s="1146" t="str">
        <f t="shared" si="7"/>
        <v>土地使用年限（年）</v>
      </c>
      <c r="AA12" s="1557">
        <f t="shared" si="3"/>
        <v>0.99009900990099009</v>
      </c>
      <c r="AB12" s="1557">
        <f t="shared" si="4"/>
        <v>0.99009900990099009</v>
      </c>
      <c r="AC12" s="1557">
        <f t="shared" si="5"/>
        <v>0.99009900990099009</v>
      </c>
    </row>
    <row r="13" spans="1:29" ht="15">
      <c r="A13" s="2871"/>
      <c r="B13" s="2875" t="s">
        <v>2755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5"/>
      <c r="M13" s="2119"/>
      <c r="N13" s="2119"/>
      <c r="O13" s="2126"/>
      <c r="P13" s="3424"/>
      <c r="Q13" s="1147" t="str">
        <f t="shared" si="6"/>
        <v>容积率</v>
      </c>
      <c r="R13" s="1554" t="s">
        <v>8</v>
      </c>
      <c r="S13" s="1555" t="e">
        <f t="shared" si="0"/>
        <v>#N/A</v>
      </c>
      <c r="T13" s="1554" t="s">
        <v>8</v>
      </c>
      <c r="U13" s="1555" t="e">
        <f t="shared" si="1"/>
        <v>#N/A</v>
      </c>
      <c r="V13" s="1554" t="s">
        <v>8</v>
      </c>
      <c r="W13" s="1555" t="e">
        <f t="shared" si="2"/>
        <v>#N/A</v>
      </c>
      <c r="X13" s="1556"/>
      <c r="Y13" s="3370"/>
      <c r="Z13" s="1146" t="str">
        <f t="shared" si="7"/>
        <v>容积率</v>
      </c>
      <c r="AA13" s="1557" t="e">
        <f t="shared" si="3"/>
        <v>#N/A</v>
      </c>
      <c r="AB13" s="1557" t="e">
        <f t="shared" si="4"/>
        <v>#N/A</v>
      </c>
      <c r="AC13" s="1557" t="e">
        <f t="shared" si="5"/>
        <v>#N/A</v>
      </c>
    </row>
    <row r="14" spans="1:29" s="1216" customFormat="1" ht="15">
      <c r="A14" s="2872"/>
      <c r="B14" s="2878">
        <v>111</v>
      </c>
      <c r="C14" s="528"/>
      <c r="D14" s="538">
        <v>100</v>
      </c>
      <c r="E14" s="541"/>
      <c r="F14" s="255">
        <f>SUMIF(79:79,E14,80:80)-SUMIF(79:79,C14,80:80)+100</f>
        <v>100</v>
      </c>
      <c r="G14" s="542"/>
      <c r="H14" s="255">
        <f>SUMIF(79:79,G14,80:80)-SUMIF(79:79,C14,80:80)+100</f>
        <v>100</v>
      </c>
      <c r="I14" s="541"/>
      <c r="J14" s="255">
        <f>SUMIF(79:79,I14,80:80)-SUMIF(79:79,C14,80:80)+100</f>
        <v>100</v>
      </c>
      <c r="K14" s="531"/>
      <c r="L14" s="2120"/>
      <c r="M14" s="2121"/>
      <c r="N14" s="2121"/>
      <c r="O14" s="2122"/>
      <c r="P14" s="3424"/>
      <c r="Q14" s="1147">
        <f t="shared" si="6"/>
        <v>111</v>
      </c>
      <c r="R14" s="1554" t="s">
        <v>8</v>
      </c>
      <c r="S14" s="1555">
        <f t="shared" si="0"/>
        <v>100</v>
      </c>
      <c r="T14" s="1554" t="s">
        <v>8</v>
      </c>
      <c r="U14" s="1555">
        <f t="shared" si="1"/>
        <v>100</v>
      </c>
      <c r="V14" s="1554" t="s">
        <v>8</v>
      </c>
      <c r="W14" s="1555">
        <f t="shared" si="2"/>
        <v>100</v>
      </c>
      <c r="X14" s="1556"/>
      <c r="Y14" s="3370"/>
      <c r="Z14" s="1146">
        <f t="shared" si="7"/>
        <v>111</v>
      </c>
      <c r="AA14" s="1557">
        <f>D14/F14</f>
        <v>1</v>
      </c>
      <c r="AB14" s="1557">
        <f>D14/H14</f>
        <v>1</v>
      </c>
      <c r="AC14" s="1557">
        <f>D14/J14</f>
        <v>1</v>
      </c>
    </row>
    <row r="15" spans="1:29" ht="15">
      <c r="A15" s="2872"/>
      <c r="B15" s="2878">
        <v>111</v>
      </c>
      <c r="C15" s="539"/>
      <c r="D15" s="540">
        <v>100</v>
      </c>
      <c r="E15" s="541"/>
      <c r="F15" s="255">
        <f>SUMIF(81:81,E15,82:82)-SUMIF(81:81,C15,82:82)+100</f>
        <v>100</v>
      </c>
      <c r="G15" s="542"/>
      <c r="H15" s="540">
        <f>SUMIF(81:81,G15,82:82)-SUMIF(81:81,C15,82:82)+100</f>
        <v>100</v>
      </c>
      <c r="I15" s="541"/>
      <c r="J15" s="540">
        <f>SUMIF(81:81,I15,82:82)-SUMIF(81:81,C15,82:82)+100</f>
        <v>100</v>
      </c>
      <c r="K15" s="531"/>
      <c r="L15" s="2127"/>
      <c r="M15" s="2119"/>
      <c r="N15" s="2119"/>
      <c r="O15" s="2126"/>
      <c r="P15" s="3424"/>
      <c r="Q15" s="1147">
        <f t="shared" si="6"/>
        <v>111</v>
      </c>
      <c r="R15" s="1554" t="s">
        <v>8</v>
      </c>
      <c r="S15" s="1555">
        <f t="shared" si="0"/>
        <v>100</v>
      </c>
      <c r="T15" s="1554" t="s">
        <v>8</v>
      </c>
      <c r="U15" s="1555">
        <f t="shared" si="1"/>
        <v>100</v>
      </c>
      <c r="V15" s="1554" t="s">
        <v>8</v>
      </c>
      <c r="W15" s="1555">
        <f t="shared" si="2"/>
        <v>100</v>
      </c>
      <c r="X15" s="1556"/>
      <c r="Y15" s="3370"/>
      <c r="Z15" s="1146">
        <f t="shared" si="7"/>
        <v>111</v>
      </c>
      <c r="AA15" s="1557">
        <f t="shared" si="3"/>
        <v>1</v>
      </c>
      <c r="AB15" s="1557">
        <f t="shared" si="4"/>
        <v>1</v>
      </c>
      <c r="AC15" s="1557">
        <f t="shared" si="5"/>
        <v>1</v>
      </c>
    </row>
    <row r="16" spans="1:29" ht="15.75" thickBot="1">
      <c r="A16" s="2873"/>
      <c r="B16" s="2879">
        <v>111</v>
      </c>
      <c r="C16" s="545"/>
      <c r="D16" s="546">
        <v>100</v>
      </c>
      <c r="E16" s="541"/>
      <c r="F16" s="546">
        <f>SUMIF(83:83,E16,84:84)-SUMIF(83:83,C16,84:84)+100</f>
        <v>100</v>
      </c>
      <c r="G16" s="542"/>
      <c r="H16" s="546">
        <f>SUMIF(83:83,G16,84:84)-SUMIF(83:83,C16,84:84)+100</f>
        <v>100</v>
      </c>
      <c r="I16" s="541"/>
      <c r="J16" s="546">
        <f>SUMIF(83:83,I16,84:84)-SUMIF(83:83,C16,84:84)+100</f>
        <v>100</v>
      </c>
      <c r="K16" s="531"/>
      <c r="L16" s="2127"/>
      <c r="M16" s="2119"/>
      <c r="N16" s="2119"/>
      <c r="O16" s="2126"/>
      <c r="P16" s="3424"/>
      <c r="Q16" s="1147">
        <f t="shared" si="6"/>
        <v>111</v>
      </c>
      <c r="R16" s="1554" t="s">
        <v>8</v>
      </c>
      <c r="S16" s="1555">
        <f t="shared" si="0"/>
        <v>100</v>
      </c>
      <c r="T16" s="1554" t="s">
        <v>8</v>
      </c>
      <c r="U16" s="1555">
        <f t="shared" si="1"/>
        <v>100</v>
      </c>
      <c r="V16" s="1554" t="s">
        <v>8</v>
      </c>
      <c r="W16" s="1555">
        <f t="shared" si="2"/>
        <v>100</v>
      </c>
      <c r="X16" s="1556"/>
      <c r="Y16" s="3370"/>
      <c r="Z16" s="1146">
        <f t="shared" si="7"/>
        <v>111</v>
      </c>
      <c r="AA16" s="1557">
        <f t="shared" si="3"/>
        <v>1</v>
      </c>
      <c r="AB16" s="1557">
        <f t="shared" si="4"/>
        <v>1</v>
      </c>
      <c r="AC16" s="1557">
        <f t="shared" si="5"/>
        <v>1</v>
      </c>
    </row>
    <row r="17" spans="1:29" ht="57">
      <c r="A17" s="2865" t="s">
        <v>2751</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7"/>
      <c r="M17" s="2119"/>
      <c r="N17" s="2119"/>
      <c r="O17" s="2126"/>
      <c r="P17" s="3460" t="s">
        <v>540</v>
      </c>
      <c r="Q17" s="1558" t="str">
        <f t="shared" si="6"/>
        <v>产业集聚程度</v>
      </c>
      <c r="R17" s="1559" t="s">
        <v>8</v>
      </c>
      <c r="S17" s="1560">
        <f t="shared" si="0"/>
        <v>100</v>
      </c>
      <c r="T17" s="1559" t="s">
        <v>8</v>
      </c>
      <c r="U17" s="1560">
        <f t="shared" si="1"/>
        <v>100</v>
      </c>
      <c r="V17" s="1559" t="s">
        <v>8</v>
      </c>
      <c r="W17" s="1560">
        <f t="shared" si="2"/>
        <v>100</v>
      </c>
      <c r="X17" s="1553"/>
      <c r="Y17" s="3460" t="s">
        <v>540</v>
      </c>
      <c r="Z17" s="1561" t="str">
        <f t="shared" si="7"/>
        <v>产业集聚程度</v>
      </c>
      <c r="AA17" s="1562">
        <f t="shared" si="3"/>
        <v>1</v>
      </c>
      <c r="AB17" s="1562">
        <f t="shared" si="4"/>
        <v>1</v>
      </c>
      <c r="AC17" s="1562">
        <f t="shared" si="5"/>
        <v>1</v>
      </c>
    </row>
    <row r="18" spans="1:29" ht="15">
      <c r="A18" s="532"/>
      <c r="B18" s="869"/>
      <c r="C18" s="576"/>
      <c r="D18" s="555"/>
      <c r="E18" s="554"/>
      <c r="F18" s="555"/>
      <c r="G18" s="554"/>
      <c r="H18" s="559"/>
      <c r="I18" s="554"/>
      <c r="J18" s="555"/>
      <c r="K18" s="531"/>
      <c r="L18" s="2127"/>
      <c r="M18" s="2119"/>
      <c r="N18" s="2119"/>
      <c r="O18" s="2126"/>
      <c r="P18" s="3461"/>
      <c r="Q18" s="1558"/>
      <c r="R18" s="1559"/>
      <c r="S18" s="1560"/>
      <c r="T18" s="1559"/>
      <c r="U18" s="1560"/>
      <c r="V18" s="1559"/>
      <c r="W18" s="1560"/>
      <c r="X18" s="1553"/>
      <c r="Y18" s="3461"/>
      <c r="Z18" s="1561"/>
      <c r="AA18" s="1562">
        <v>1</v>
      </c>
      <c r="AB18" s="1562">
        <v>1</v>
      </c>
      <c r="AC18" s="1562">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7"/>
      <c r="M19" s="2119"/>
      <c r="N19" s="2119"/>
      <c r="O19" s="2126"/>
      <c r="P19" s="3461"/>
      <c r="Q19" s="1558" t="str">
        <f>B19</f>
        <v>交通便捷度</v>
      </c>
      <c r="R19" s="1559" t="s">
        <v>8</v>
      </c>
      <c r="S19" s="1560">
        <f>F19</f>
        <v>100</v>
      </c>
      <c r="T19" s="1559" t="s">
        <v>8</v>
      </c>
      <c r="U19" s="1560">
        <f>H19</f>
        <v>100</v>
      </c>
      <c r="V19" s="1559" t="s">
        <v>8</v>
      </c>
      <c r="W19" s="1560">
        <f>J19</f>
        <v>100</v>
      </c>
      <c r="X19" s="1553"/>
      <c r="Y19" s="3461"/>
      <c r="Z19" s="1561" t="str">
        <f>Q19</f>
        <v>交通便捷度</v>
      </c>
      <c r="AA19" s="1562">
        <f t="shared" si="3"/>
        <v>1</v>
      </c>
      <c r="AB19" s="1562">
        <f t="shared" si="4"/>
        <v>1</v>
      </c>
      <c r="AC19" s="1562">
        <f t="shared" si="5"/>
        <v>1</v>
      </c>
    </row>
    <row r="20" spans="1:29" ht="15">
      <c r="A20" s="532"/>
      <c r="B20" s="922"/>
      <c r="C20" s="576"/>
      <c r="D20" s="555"/>
      <c r="E20" s="556"/>
      <c r="F20" s="555"/>
      <c r="G20" s="556"/>
      <c r="H20" s="555"/>
      <c r="I20" s="558"/>
      <c r="J20" s="555"/>
      <c r="K20" s="531"/>
      <c r="L20" s="2127"/>
      <c r="M20" s="2119"/>
      <c r="N20" s="2119"/>
      <c r="O20" s="2126"/>
      <c r="P20" s="3461"/>
      <c r="Q20" s="1558"/>
      <c r="R20" s="1559"/>
      <c r="S20" s="1560"/>
      <c r="T20" s="1559"/>
      <c r="U20" s="1560"/>
      <c r="V20" s="1559"/>
      <c r="W20" s="1560"/>
      <c r="X20" s="1553"/>
      <c r="Y20" s="3461"/>
      <c r="Z20" s="1561"/>
      <c r="AA20" s="1562">
        <v>1</v>
      </c>
      <c r="AB20" s="1562">
        <v>1</v>
      </c>
      <c r="AC20" s="1562">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7"/>
      <c r="M21" s="2119"/>
      <c r="N21" s="2119"/>
      <c r="O21" s="2126"/>
      <c r="P21" s="3461"/>
      <c r="Q21" s="1558" t="str">
        <f t="shared" ref="Q21:Q35" si="8">B21</f>
        <v>区域土地利用方向</v>
      </c>
      <c r="R21" s="1559" t="s">
        <v>8</v>
      </c>
      <c r="S21" s="1560">
        <f>F21</f>
        <v>100</v>
      </c>
      <c r="T21" s="1559" t="s">
        <v>8</v>
      </c>
      <c r="U21" s="1560">
        <f>H21</f>
        <v>100</v>
      </c>
      <c r="V21" s="1559" t="s">
        <v>8</v>
      </c>
      <c r="W21" s="1560">
        <f>J21</f>
        <v>100</v>
      </c>
      <c r="X21" s="1553"/>
      <c r="Y21" s="3461"/>
      <c r="Z21" s="1561" t="str">
        <f>Q21</f>
        <v>区域土地利用方向</v>
      </c>
      <c r="AA21" s="1562">
        <f t="shared" si="3"/>
        <v>1</v>
      </c>
      <c r="AB21" s="1562">
        <f t="shared" si="4"/>
        <v>1</v>
      </c>
      <c r="AC21" s="1562">
        <f t="shared" si="5"/>
        <v>1</v>
      </c>
    </row>
    <row r="22" spans="1:29" ht="15">
      <c r="A22" s="515"/>
      <c r="B22" s="595"/>
      <c r="C22" s="576"/>
      <c r="D22" s="555"/>
      <c r="E22" s="556"/>
      <c r="F22" s="557"/>
      <c r="G22" s="558"/>
      <c r="H22" s="557"/>
      <c r="I22" s="558"/>
      <c r="J22" s="557"/>
      <c r="K22" s="1344"/>
      <c r="L22" s="2127"/>
      <c r="M22" s="2119"/>
      <c r="N22" s="2119"/>
      <c r="O22" s="2126"/>
      <c r="P22" s="3461"/>
      <c r="Q22" s="1558"/>
      <c r="R22" s="1559"/>
      <c r="S22" s="1560"/>
      <c r="T22" s="1559"/>
      <c r="U22" s="1560"/>
      <c r="V22" s="1559"/>
      <c r="W22" s="1560"/>
      <c r="X22" s="1553"/>
      <c r="Y22" s="3461"/>
      <c r="Z22" s="1561"/>
      <c r="AA22" s="1562"/>
      <c r="AB22" s="1562"/>
      <c r="AC22" s="1562"/>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7"/>
      <c r="M23" s="2119"/>
      <c r="N23" s="2119"/>
      <c r="O23" s="2126"/>
      <c r="P23" s="3461"/>
      <c r="Q23" s="1558" t="str">
        <f t="shared" si="8"/>
        <v>环境状况</v>
      </c>
      <c r="R23" s="1559" t="s">
        <v>8</v>
      </c>
      <c r="S23" s="1560">
        <f>F23</f>
        <v>100</v>
      </c>
      <c r="T23" s="1559" t="s">
        <v>8</v>
      </c>
      <c r="U23" s="1560">
        <f>H23</f>
        <v>100</v>
      </c>
      <c r="V23" s="1559" t="s">
        <v>8</v>
      </c>
      <c r="W23" s="1560">
        <f>J23</f>
        <v>100</v>
      </c>
      <c r="X23" s="1553"/>
      <c r="Y23" s="3461"/>
      <c r="Z23" s="1561" t="str">
        <f>Q23</f>
        <v>环境状况</v>
      </c>
      <c r="AA23" s="1562">
        <f t="shared" si="3"/>
        <v>1</v>
      </c>
      <c r="AB23" s="1562">
        <f t="shared" si="4"/>
        <v>1</v>
      </c>
      <c r="AC23" s="1562">
        <f t="shared" si="5"/>
        <v>1</v>
      </c>
    </row>
    <row r="24" spans="1:29" ht="15">
      <c r="A24" s="515"/>
      <c r="B24" s="595"/>
      <c r="C24" s="576"/>
      <c r="D24" s="555"/>
      <c r="E24" s="554"/>
      <c r="F24" s="555"/>
      <c r="G24" s="554"/>
      <c r="H24" s="555"/>
      <c r="I24" s="576"/>
      <c r="J24" s="555"/>
      <c r="K24" s="531"/>
      <c r="L24" s="2127"/>
      <c r="M24" s="2119"/>
      <c r="N24" s="2119"/>
      <c r="O24" s="2126"/>
      <c r="P24" s="3461"/>
      <c r="Q24" s="1558"/>
      <c r="R24" s="1559"/>
      <c r="S24" s="1560"/>
      <c r="T24" s="1559"/>
      <c r="U24" s="1560"/>
      <c r="V24" s="1559"/>
      <c r="W24" s="1560"/>
      <c r="X24" s="1553"/>
      <c r="Y24" s="3461"/>
      <c r="Z24" s="1561"/>
      <c r="AA24" s="1562">
        <v>1</v>
      </c>
      <c r="AB24" s="1562">
        <v>1</v>
      </c>
      <c r="AC24" s="1562">
        <v>1</v>
      </c>
    </row>
    <row r="25" spans="1:29" s="1216" customFormat="1" ht="42.75">
      <c r="A25" s="577"/>
      <c r="B25" s="2557" t="s">
        <v>2545</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0"/>
      <c r="M25" s="2121"/>
      <c r="N25" s="2121"/>
      <c r="O25" s="2122"/>
      <c r="P25" s="3461"/>
      <c r="Q25" s="1147" t="str">
        <f t="shared" si="8"/>
        <v>公共配套设施</v>
      </c>
      <c r="R25" s="1554" t="s">
        <v>8</v>
      </c>
      <c r="S25" s="1555">
        <f>F25</f>
        <v>100</v>
      </c>
      <c r="T25" s="1554" t="s">
        <v>8</v>
      </c>
      <c r="U25" s="1555">
        <f>H25</f>
        <v>100</v>
      </c>
      <c r="V25" s="1554" t="s">
        <v>8</v>
      </c>
      <c r="W25" s="1555">
        <f>J25</f>
        <v>100</v>
      </c>
      <c r="X25" s="1556"/>
      <c r="Y25" s="3461"/>
      <c r="Z25" s="1146" t="str">
        <f>Q25</f>
        <v>公共配套设施</v>
      </c>
      <c r="AA25" s="1562">
        <f>D25/F25</f>
        <v>1</v>
      </c>
      <c r="AB25" s="1562">
        <f>D25/H25</f>
        <v>1</v>
      </c>
      <c r="AC25" s="1562">
        <f>D25/J25</f>
        <v>1</v>
      </c>
    </row>
    <row r="26" spans="1:29" s="1216" customFormat="1" ht="15">
      <c r="A26" s="577"/>
      <c r="B26" s="595"/>
      <c r="C26" s="2556"/>
      <c r="D26" s="555"/>
      <c r="E26" s="554"/>
      <c r="F26" s="555"/>
      <c r="G26" s="554"/>
      <c r="H26" s="555"/>
      <c r="I26" s="576"/>
      <c r="J26" s="555"/>
      <c r="K26" s="531"/>
      <c r="L26" s="2120"/>
      <c r="M26" s="2121"/>
      <c r="N26" s="2121"/>
      <c r="O26" s="2122"/>
      <c r="P26" s="3461"/>
      <c r="Q26" s="1147"/>
      <c r="R26" s="1554"/>
      <c r="S26" s="1555"/>
      <c r="T26" s="1554"/>
      <c r="U26" s="1555"/>
      <c r="V26" s="1554"/>
      <c r="W26" s="1555"/>
      <c r="X26" s="1556"/>
      <c r="Y26" s="3461"/>
      <c r="Z26" s="1146"/>
      <c r="AA26" s="1557">
        <v>1</v>
      </c>
      <c r="AB26" s="1557">
        <v>1</v>
      </c>
      <c r="AC26" s="1557">
        <v>1</v>
      </c>
    </row>
    <row r="27" spans="1:29" s="1216" customFormat="1" ht="28.5">
      <c r="A27" s="577"/>
      <c r="B27" s="2557" t="s">
        <v>2546</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0"/>
      <c r="M27" s="2121"/>
      <c r="N27" s="2121"/>
      <c r="O27" s="2122"/>
      <c r="P27" s="3461"/>
      <c r="Q27" s="2542" t="str">
        <f t="shared" ref="Q27" si="9">B27</f>
        <v>基础设施水平</v>
      </c>
      <c r="R27" s="1554" t="s">
        <v>8</v>
      </c>
      <c r="S27" s="1555">
        <f>F27</f>
        <v>100</v>
      </c>
      <c r="T27" s="1554" t="s">
        <v>8</v>
      </c>
      <c r="U27" s="1555">
        <f>H27</f>
        <v>100</v>
      </c>
      <c r="V27" s="1554" t="s">
        <v>8</v>
      </c>
      <c r="W27" s="1555">
        <f>J27</f>
        <v>100</v>
      </c>
      <c r="X27" s="1556"/>
      <c r="Y27" s="3461"/>
      <c r="Z27" s="2539" t="str">
        <f>Q27</f>
        <v>基础设施水平</v>
      </c>
      <c r="AA27" s="1562">
        <f>D27/F27</f>
        <v>1</v>
      </c>
      <c r="AB27" s="1562">
        <f>D27/H27</f>
        <v>1</v>
      </c>
      <c r="AC27" s="1562">
        <f>D27/J27</f>
        <v>1</v>
      </c>
    </row>
    <row r="28" spans="1:29" s="1216" customFormat="1" ht="15">
      <c r="A28" s="577"/>
      <c r="B28" s="595"/>
      <c r="C28" s="2556"/>
      <c r="D28" s="555"/>
      <c r="E28" s="579"/>
      <c r="F28" s="555"/>
      <c r="G28" s="579"/>
      <c r="H28" s="555"/>
      <c r="I28" s="579"/>
      <c r="J28" s="555"/>
      <c r="K28" s="531"/>
      <c r="L28" s="2120"/>
      <c r="M28" s="2121"/>
      <c r="N28" s="2121"/>
      <c r="O28" s="2122"/>
      <c r="P28" s="3461"/>
      <c r="Q28" s="2542"/>
      <c r="R28" s="1554"/>
      <c r="S28" s="1555"/>
      <c r="T28" s="1554"/>
      <c r="U28" s="1555"/>
      <c r="V28" s="1554"/>
      <c r="W28" s="1555"/>
      <c r="X28" s="1556"/>
      <c r="Y28" s="3461"/>
      <c r="Z28" s="2539"/>
      <c r="AA28" s="1557">
        <v>1</v>
      </c>
      <c r="AB28" s="1557">
        <v>1</v>
      </c>
      <c r="AC28" s="1557">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7"/>
      <c r="M29" s="2119"/>
      <c r="N29" s="2119"/>
      <c r="O29" s="2126"/>
      <c r="P29" s="3461"/>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461"/>
      <c r="Z29" s="1561" t="str">
        <f t="shared" ref="Z29:Z42" si="13">Q29</f>
        <v>临街状况</v>
      </c>
      <c r="AA29" s="1562">
        <f t="shared" si="3"/>
        <v>1</v>
      </c>
      <c r="AB29" s="1562">
        <f t="shared" si="4"/>
        <v>1</v>
      </c>
      <c r="AC29" s="1562">
        <f t="shared" si="5"/>
        <v>1</v>
      </c>
    </row>
    <row r="30" spans="1:29" ht="27">
      <c r="A30" s="532"/>
      <c r="B30" s="922" t="s">
        <v>548</v>
      </c>
      <c r="C30" s="255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7"/>
      <c r="M30" s="2119"/>
      <c r="N30" s="2119"/>
      <c r="O30" s="2126"/>
      <c r="P30" s="3461"/>
      <c r="Q30" s="1558" t="str">
        <f t="shared" si="8"/>
        <v>毗邻道路的类型与等级</v>
      </c>
      <c r="R30" s="1559" t="s">
        <v>8</v>
      </c>
      <c r="S30" s="1560">
        <f t="shared" si="10"/>
        <v>100</v>
      </c>
      <c r="T30" s="1559" t="s">
        <v>8</v>
      </c>
      <c r="U30" s="1560">
        <f t="shared" si="11"/>
        <v>100</v>
      </c>
      <c r="V30" s="1559" t="s">
        <v>8</v>
      </c>
      <c r="W30" s="1560">
        <f t="shared" si="12"/>
        <v>100</v>
      </c>
      <c r="X30" s="1553"/>
      <c r="Y30" s="3461"/>
      <c r="Z30" s="1561" t="str">
        <f t="shared" si="13"/>
        <v>毗邻道路的类型与等级</v>
      </c>
      <c r="AA30" s="1562">
        <f t="shared" si="3"/>
        <v>1</v>
      </c>
      <c r="AB30" s="1562">
        <f t="shared" si="4"/>
        <v>1</v>
      </c>
      <c r="AC30" s="1562">
        <f t="shared" si="5"/>
        <v>1</v>
      </c>
    </row>
    <row r="31" spans="1:29" ht="15">
      <c r="A31" s="532"/>
      <c r="B31" s="595"/>
      <c r="C31" s="576"/>
      <c r="D31" s="555"/>
      <c r="E31" s="576"/>
      <c r="F31" s="555"/>
      <c r="G31" s="576"/>
      <c r="H31" s="555"/>
      <c r="I31" s="576"/>
      <c r="J31" s="555"/>
      <c r="K31" s="581"/>
      <c r="L31" s="2127"/>
      <c r="M31" s="2119"/>
      <c r="N31" s="2119"/>
      <c r="O31" s="2126"/>
      <c r="P31" s="3461"/>
      <c r="Q31" s="1558"/>
      <c r="R31" s="1559"/>
      <c r="S31" s="1560"/>
      <c r="T31" s="1559"/>
      <c r="U31" s="1560"/>
      <c r="V31" s="1559"/>
      <c r="W31" s="1560"/>
      <c r="X31" s="1553"/>
      <c r="Y31" s="3461"/>
      <c r="Z31" s="1561"/>
      <c r="AA31" s="1562">
        <v>1</v>
      </c>
      <c r="AB31" s="1562">
        <v>1</v>
      </c>
      <c r="AC31" s="1562">
        <v>1</v>
      </c>
    </row>
    <row r="32" spans="1:29" ht="15">
      <c r="A32" s="532"/>
      <c r="B32" s="527" t="s">
        <v>549</v>
      </c>
      <c r="C32" s="256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7"/>
      <c r="M32" s="2119"/>
      <c r="N32" s="2119"/>
      <c r="O32" s="2126"/>
      <c r="P32" s="3461"/>
      <c r="Q32" s="1558" t="str">
        <f t="shared" si="8"/>
        <v>土地级别</v>
      </c>
      <c r="R32" s="1559" t="s">
        <v>8</v>
      </c>
      <c r="S32" s="1560">
        <f t="shared" si="10"/>
        <v>100</v>
      </c>
      <c r="T32" s="1559" t="s">
        <v>8</v>
      </c>
      <c r="U32" s="1560">
        <f t="shared" si="11"/>
        <v>100</v>
      </c>
      <c r="V32" s="1559" t="s">
        <v>8</v>
      </c>
      <c r="W32" s="1560">
        <f t="shared" si="12"/>
        <v>100</v>
      </c>
      <c r="X32" s="1553"/>
      <c r="Y32" s="3461"/>
      <c r="Z32" s="1561" t="str">
        <f t="shared" si="13"/>
        <v>土地级别</v>
      </c>
      <c r="AA32" s="1562">
        <f t="shared" si="3"/>
        <v>1</v>
      </c>
      <c r="AB32" s="1562">
        <f t="shared" si="4"/>
        <v>1</v>
      </c>
      <c r="AC32" s="156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7"/>
      <c r="M33" s="2119"/>
      <c r="N33" s="2119"/>
      <c r="O33" s="2126"/>
      <c r="P33" s="3461"/>
      <c r="Q33" s="1558">
        <f t="shared" si="8"/>
        <v>111</v>
      </c>
      <c r="R33" s="1559" t="s">
        <v>8</v>
      </c>
      <c r="S33" s="1560">
        <f t="shared" si="10"/>
        <v>100</v>
      </c>
      <c r="T33" s="1559" t="s">
        <v>8</v>
      </c>
      <c r="U33" s="1560">
        <f t="shared" si="11"/>
        <v>100</v>
      </c>
      <c r="V33" s="1559" t="s">
        <v>8</v>
      </c>
      <c r="W33" s="1560">
        <f t="shared" si="12"/>
        <v>100</v>
      </c>
      <c r="X33" s="1553"/>
      <c r="Y33" s="3461"/>
      <c r="Z33" s="1561">
        <f t="shared" si="13"/>
        <v>111</v>
      </c>
      <c r="AA33" s="1562">
        <f t="shared" si="3"/>
        <v>1</v>
      </c>
      <c r="AB33" s="1562">
        <f t="shared" si="4"/>
        <v>1</v>
      </c>
      <c r="AC33" s="156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7"/>
      <c r="M34" s="2119"/>
      <c r="N34" s="2119"/>
      <c r="O34" s="2126"/>
      <c r="P34" s="3462" t="s">
        <v>550</v>
      </c>
      <c r="Q34" s="1558">
        <f t="shared" si="8"/>
        <v>111</v>
      </c>
      <c r="R34" s="1559" t="s">
        <v>8</v>
      </c>
      <c r="S34" s="1560">
        <f t="shared" si="10"/>
        <v>100</v>
      </c>
      <c r="T34" s="1559" t="s">
        <v>8</v>
      </c>
      <c r="U34" s="1560">
        <f t="shared" si="11"/>
        <v>100</v>
      </c>
      <c r="V34" s="1559" t="s">
        <v>8</v>
      </c>
      <c r="W34" s="1560">
        <f t="shared" si="12"/>
        <v>100</v>
      </c>
      <c r="X34" s="1553"/>
      <c r="Y34" s="3463" t="s">
        <v>550</v>
      </c>
      <c r="Z34" s="1561">
        <f t="shared" si="13"/>
        <v>111</v>
      </c>
      <c r="AA34" s="1562">
        <f t="shared" si="3"/>
        <v>1</v>
      </c>
      <c r="AB34" s="1562">
        <f t="shared" si="4"/>
        <v>1</v>
      </c>
      <c r="AC34" s="1562">
        <f t="shared" si="5"/>
        <v>1</v>
      </c>
    </row>
    <row r="35" spans="1:29" s="1335" customFormat="1" ht="15.75" thickBot="1">
      <c r="A35" s="589"/>
      <c r="B35" s="255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5"/>
      <c r="M35" s="2156"/>
      <c r="N35" s="2156"/>
      <c r="O35" s="2128"/>
      <c r="P35" s="3463"/>
      <c r="Q35" s="1558">
        <f t="shared" si="8"/>
        <v>111</v>
      </c>
      <c r="R35" s="1563" t="s">
        <v>8</v>
      </c>
      <c r="S35" s="1564">
        <f t="shared" si="10"/>
        <v>100</v>
      </c>
      <c r="T35" s="1563" t="s">
        <v>8</v>
      </c>
      <c r="U35" s="1564">
        <f t="shared" si="11"/>
        <v>100</v>
      </c>
      <c r="V35" s="1563" t="s">
        <v>8</v>
      </c>
      <c r="W35" s="1564">
        <f t="shared" si="12"/>
        <v>100</v>
      </c>
      <c r="X35" s="1565"/>
      <c r="Y35" s="3463"/>
      <c r="Z35" s="1566">
        <f t="shared" si="13"/>
        <v>111</v>
      </c>
      <c r="AA35" s="1562">
        <f t="shared" si="3"/>
        <v>1</v>
      </c>
      <c r="AB35" s="1562">
        <f t="shared" si="4"/>
        <v>1</v>
      </c>
      <c r="AC35" s="1562">
        <f t="shared" si="5"/>
        <v>1</v>
      </c>
    </row>
    <row r="36" spans="1:29" ht="15">
      <c r="A36" s="2862" t="s">
        <v>2752</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7"/>
      <c r="M36" s="2119"/>
      <c r="N36" s="2119"/>
      <c r="O36" s="2126"/>
      <c r="P36" s="3463"/>
      <c r="Q36" s="1558" t="str">
        <f>B36</f>
        <v>宗地面积</v>
      </c>
      <c r="R36" s="1559" t="s">
        <v>8</v>
      </c>
      <c r="S36" s="1560" t="e">
        <f t="shared" si="10"/>
        <v>#N/A</v>
      </c>
      <c r="T36" s="1559" t="s">
        <v>8</v>
      </c>
      <c r="U36" s="1560" t="e">
        <f t="shared" si="11"/>
        <v>#N/A</v>
      </c>
      <c r="V36" s="1559" t="s">
        <v>8</v>
      </c>
      <c r="W36" s="1560" t="e">
        <f t="shared" si="12"/>
        <v>#N/A</v>
      </c>
      <c r="X36" s="1553"/>
      <c r="Y36" s="3463"/>
      <c r="Z36" s="1561" t="str">
        <f t="shared" si="13"/>
        <v>宗地面积</v>
      </c>
      <c r="AA36" s="1562" t="e">
        <f t="shared" si="3"/>
        <v>#N/A</v>
      </c>
      <c r="AB36" s="1562" t="e">
        <f t="shared" si="4"/>
        <v>#N/A</v>
      </c>
      <c r="AC36" s="1562"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7"/>
      <c r="M37" s="2119"/>
      <c r="N37" s="2119"/>
      <c r="O37" s="2126"/>
      <c r="P37" s="3463"/>
      <c r="Q37" s="1558" t="str">
        <f t="shared" ref="Q37:Q42" si="14">B37</f>
        <v>宗地形状</v>
      </c>
      <c r="R37" s="1559" t="s">
        <v>8</v>
      </c>
      <c r="S37" s="1560">
        <f t="shared" si="10"/>
        <v>100</v>
      </c>
      <c r="T37" s="1559" t="s">
        <v>8</v>
      </c>
      <c r="U37" s="1560">
        <f t="shared" si="11"/>
        <v>100</v>
      </c>
      <c r="V37" s="1559" t="s">
        <v>8</v>
      </c>
      <c r="W37" s="1560">
        <f t="shared" si="12"/>
        <v>100</v>
      </c>
      <c r="X37" s="1553"/>
      <c r="Y37" s="3463"/>
      <c r="Z37" s="1561" t="str">
        <f t="shared" si="13"/>
        <v>宗地形状</v>
      </c>
      <c r="AA37" s="1562">
        <f t="shared" si="3"/>
        <v>1</v>
      </c>
      <c r="AB37" s="1562">
        <f t="shared" si="4"/>
        <v>1</v>
      </c>
      <c r="AC37" s="1562">
        <f t="shared" si="5"/>
        <v>1</v>
      </c>
    </row>
    <row r="38" spans="1:29" s="1216" customFormat="1" ht="15">
      <c r="A38" s="600"/>
      <c r="B38" s="1880"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0"/>
      <c r="M38" s="2121"/>
      <c r="N38" s="2121"/>
      <c r="O38" s="2122"/>
      <c r="P38" s="3463"/>
      <c r="Q38" s="1558" t="str">
        <f t="shared" si="14"/>
        <v>宗地开发程度</v>
      </c>
      <c r="R38" s="1554" t="s">
        <v>8</v>
      </c>
      <c r="S38" s="1555">
        <f t="shared" si="10"/>
        <v>100</v>
      </c>
      <c r="T38" s="1554" t="s">
        <v>8</v>
      </c>
      <c r="U38" s="1555">
        <f t="shared" si="11"/>
        <v>100</v>
      </c>
      <c r="V38" s="1554" t="s">
        <v>8</v>
      </c>
      <c r="W38" s="1555">
        <f t="shared" si="12"/>
        <v>100</v>
      </c>
      <c r="X38" s="1556"/>
      <c r="Y38" s="3463"/>
      <c r="Z38" s="1146" t="str">
        <f t="shared" si="13"/>
        <v>宗地开发程度</v>
      </c>
      <c r="AA38" s="1557">
        <f t="shared" si="3"/>
        <v>1</v>
      </c>
      <c r="AB38" s="1557">
        <f t="shared" si="4"/>
        <v>1</v>
      </c>
      <c r="AC38" s="1557">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463" t="s">
        <v>601</v>
      </c>
      <c r="Q39" s="1558" t="str">
        <f t="shared" si="14"/>
        <v>工程地质条件</v>
      </c>
      <c r="R39" s="1559" t="s">
        <v>8</v>
      </c>
      <c r="S39" s="1560">
        <f t="shared" si="10"/>
        <v>100</v>
      </c>
      <c r="T39" s="1559" t="s">
        <v>8</v>
      </c>
      <c r="U39" s="1560">
        <f t="shared" si="11"/>
        <v>100</v>
      </c>
      <c r="V39" s="1559" t="s">
        <v>8</v>
      </c>
      <c r="W39" s="1560">
        <f t="shared" si="12"/>
        <v>100</v>
      </c>
      <c r="X39" s="1553"/>
      <c r="Y39" s="3463" t="s">
        <v>601</v>
      </c>
      <c r="Z39" s="1561" t="str">
        <f t="shared" si="13"/>
        <v>工程地质条件</v>
      </c>
      <c r="AA39" s="1562">
        <f t="shared" si="3"/>
        <v>1</v>
      </c>
      <c r="AB39" s="1562">
        <f t="shared" si="4"/>
        <v>1</v>
      </c>
      <c r="AC39" s="156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7"/>
      <c r="M40" s="2119"/>
      <c r="N40" s="2119"/>
      <c r="O40" s="2126"/>
      <c r="P40" s="3463"/>
      <c r="Q40" s="1558">
        <f t="shared" si="14"/>
        <v>111</v>
      </c>
      <c r="R40" s="1559" t="s">
        <v>8</v>
      </c>
      <c r="S40" s="1560">
        <f t="shared" si="10"/>
        <v>100</v>
      </c>
      <c r="T40" s="1559" t="s">
        <v>8</v>
      </c>
      <c r="U40" s="1560">
        <f t="shared" si="11"/>
        <v>100</v>
      </c>
      <c r="V40" s="1559" t="s">
        <v>8</v>
      </c>
      <c r="W40" s="1560">
        <f t="shared" si="12"/>
        <v>100</v>
      </c>
      <c r="X40" s="1553"/>
      <c r="Y40" s="3463"/>
      <c r="Z40" s="1561">
        <f t="shared" si="13"/>
        <v>111</v>
      </c>
      <c r="AA40" s="1562">
        <f t="shared" si="3"/>
        <v>1</v>
      </c>
      <c r="AB40" s="1562">
        <f t="shared" si="4"/>
        <v>1</v>
      </c>
      <c r="AC40" s="156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7"/>
      <c r="M41" s="2119"/>
      <c r="N41" s="2119"/>
      <c r="O41" s="2126"/>
      <c r="P41" s="3463"/>
      <c r="Q41" s="1558">
        <f t="shared" si="14"/>
        <v>111</v>
      </c>
      <c r="R41" s="1559" t="s">
        <v>8</v>
      </c>
      <c r="S41" s="1560">
        <f t="shared" si="10"/>
        <v>100</v>
      </c>
      <c r="T41" s="1559" t="s">
        <v>8</v>
      </c>
      <c r="U41" s="1560">
        <f t="shared" si="11"/>
        <v>100</v>
      </c>
      <c r="V41" s="1559" t="s">
        <v>8</v>
      </c>
      <c r="W41" s="1560">
        <f t="shared" si="12"/>
        <v>100</v>
      </c>
      <c r="X41" s="1553"/>
      <c r="Y41" s="3463"/>
      <c r="Z41" s="1561">
        <f t="shared" si="13"/>
        <v>111</v>
      </c>
      <c r="AA41" s="1562">
        <f t="shared" si="3"/>
        <v>1</v>
      </c>
      <c r="AB41" s="1562">
        <f t="shared" si="4"/>
        <v>1</v>
      </c>
      <c r="AC41" s="1562">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5"/>
      <c r="M42" s="2156"/>
      <c r="N42" s="2156"/>
      <c r="O42" s="2128"/>
      <c r="P42" s="3463"/>
      <c r="Q42" s="1558">
        <f t="shared" si="14"/>
        <v>111</v>
      </c>
      <c r="R42" s="1563" t="s">
        <v>8</v>
      </c>
      <c r="S42" s="1564">
        <f t="shared" si="10"/>
        <v>100</v>
      </c>
      <c r="T42" s="1563" t="s">
        <v>8</v>
      </c>
      <c r="U42" s="1564">
        <f t="shared" si="11"/>
        <v>100</v>
      </c>
      <c r="V42" s="1563" t="s">
        <v>8</v>
      </c>
      <c r="W42" s="1564">
        <f t="shared" si="12"/>
        <v>100</v>
      </c>
      <c r="X42" s="1565"/>
      <c r="Y42" s="3463"/>
      <c r="Z42" s="1566">
        <f t="shared" si="13"/>
        <v>111</v>
      </c>
      <c r="AA42" s="1562">
        <f t="shared" si="3"/>
        <v>1</v>
      </c>
      <c r="AB42" s="1562">
        <f t="shared" si="4"/>
        <v>1</v>
      </c>
      <c r="AC42" s="1562">
        <f t="shared" si="5"/>
        <v>1</v>
      </c>
    </row>
    <row r="43" spans="1:29" ht="15">
      <c r="A43" s="607" t="s">
        <v>556</v>
      </c>
      <c r="B43" s="608" t="s">
        <v>2927</v>
      </c>
      <c r="C43" s="609" t="s">
        <v>1</v>
      </c>
      <c r="D43" s="610"/>
      <c r="E43" s="611"/>
      <c r="F43" s="612"/>
      <c r="G43" s="613"/>
      <c r="H43" s="614"/>
      <c r="I43" s="611"/>
      <c r="J43" s="614"/>
      <c r="K43" s="1336"/>
      <c r="L43" s="2129"/>
      <c r="M43" s="2119"/>
      <c r="N43" s="2119"/>
      <c r="O43" s="2130"/>
      <c r="P43" s="3424" t="str">
        <f>A43</f>
        <v>成交单价</v>
      </c>
      <c r="Q43" s="3424"/>
      <c r="R43" s="3425">
        <f>E43</f>
        <v>0</v>
      </c>
      <c r="S43" s="3425"/>
      <c r="T43" s="3425">
        <f>G43</f>
        <v>0</v>
      </c>
      <c r="U43" s="3425"/>
      <c r="V43" s="3425">
        <f>I43</f>
        <v>0</v>
      </c>
      <c r="W43" s="3425"/>
      <c r="X43" s="1545"/>
      <c r="Y43" s="1567"/>
      <c r="Z43" s="1545"/>
      <c r="AA43" s="1545"/>
      <c r="AB43" s="1545"/>
      <c r="AC43" s="1545"/>
    </row>
    <row r="44" spans="1:29" ht="15.75" thickBot="1">
      <c r="A44" s="615" t="s">
        <v>2690</v>
      </c>
      <c r="B44" s="616"/>
      <c r="C44" s="617" t="e">
        <f>R45</f>
        <v>#DIV/0!</v>
      </c>
      <c r="D44" s="618"/>
      <c r="E44" s="617" t="e">
        <f>R44</f>
        <v>#DIV/0!</v>
      </c>
      <c r="F44" s="619"/>
      <c r="G44" s="620" t="e">
        <f>T44</f>
        <v>#DIV/0!</v>
      </c>
      <c r="H44" s="618"/>
      <c r="I44" s="617" t="e">
        <f>V44</f>
        <v>#DIV/0!</v>
      </c>
      <c r="J44" s="618"/>
      <c r="K44" s="1337"/>
      <c r="L44" s="2129"/>
      <c r="M44" s="2119"/>
      <c r="N44" s="2119"/>
      <c r="O44" s="2130"/>
      <c r="P44" s="3424" t="str">
        <f>A44</f>
        <v>比较价格（元/平方米）</v>
      </c>
      <c r="Q44" s="3424"/>
      <c r="R44" s="3426" t="e">
        <f>ROUND(PRODUCT(R43,AA9:AA42),0)</f>
        <v>#DIV/0!</v>
      </c>
      <c r="S44" s="3426"/>
      <c r="T44" s="3426" t="e">
        <f>ROUND(PRODUCT(T43,AB9:AB42),0)</f>
        <v>#DIV/0!</v>
      </c>
      <c r="U44" s="3426"/>
      <c r="V44" s="3426" t="e">
        <f>ROUND(PRODUCT(V43,AC9:AC42),0)</f>
        <v>#DIV/0!</v>
      </c>
      <c r="W44" s="3426"/>
      <c r="X44" s="1545"/>
      <c r="Y44" s="1545"/>
      <c r="Z44" s="1545"/>
      <c r="AA44" s="1545"/>
      <c r="AB44" s="1545"/>
      <c r="AC44" s="1545"/>
    </row>
    <row r="45" spans="1:29" ht="15.75" thickBot="1">
      <c r="A45" s="621" t="s">
        <v>2928</v>
      </c>
      <c r="B45" s="622"/>
      <c r="C45" s="623" t="e">
        <f>R45</f>
        <v>#DIV/0!</v>
      </c>
      <c r="D45" s="623"/>
      <c r="E45" s="623"/>
      <c r="F45" s="623"/>
      <c r="G45" s="623"/>
      <c r="H45" s="623"/>
      <c r="I45" s="623"/>
      <c r="J45" s="623"/>
      <c r="K45" s="1338"/>
      <c r="L45" s="2129"/>
      <c r="M45" s="2119"/>
      <c r="N45" s="2119"/>
      <c r="O45" s="2130"/>
      <c r="P45" s="3421" t="str">
        <f>A45</f>
        <v>估价对象XX用房的比较价格（楼面单价，元/平方米）</v>
      </c>
      <c r="Q45" s="3422"/>
      <c r="R45" s="3423" t="e">
        <f>ROUND(AVERAGE(R44:V44),0)</f>
        <v>#DIV/0!</v>
      </c>
      <c r="S45" s="3423"/>
      <c r="T45" s="3423"/>
      <c r="U45" s="3423"/>
      <c r="V45" s="3423"/>
      <c r="W45" s="3423"/>
      <c r="X45" s="1545"/>
      <c r="Y45" s="1545"/>
      <c r="Z45" s="1545"/>
      <c r="AA45" s="1545"/>
      <c r="AB45" s="1545"/>
      <c r="AC45" s="1545"/>
    </row>
    <row r="46" spans="1:29">
      <c r="A46" s="2130"/>
      <c r="B46" s="2130"/>
      <c r="C46" s="2130"/>
      <c r="D46" s="2130"/>
      <c r="E46" s="2130"/>
      <c r="F46" s="2130"/>
      <c r="G46" s="2133"/>
      <c r="H46" s="2130"/>
      <c r="I46" s="2130"/>
      <c r="J46" s="2130"/>
      <c r="K46" s="2134"/>
      <c r="L46" s="2135"/>
      <c r="M46" s="2119"/>
      <c r="N46" s="2119"/>
      <c r="O46" s="2130"/>
      <c r="P46" s="1545"/>
      <c r="Q46" s="1545"/>
      <c r="R46" s="1545"/>
      <c r="S46" s="1545"/>
      <c r="T46" s="1545"/>
      <c r="U46" s="1545"/>
      <c r="V46" s="1545"/>
      <c r="W46" s="1545"/>
      <c r="X46" s="1545"/>
      <c r="Y46" s="1545"/>
      <c r="Z46" s="1545"/>
      <c r="AA46" s="1545"/>
      <c r="AB46" s="1545"/>
      <c r="AC46" s="1545"/>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1" customFormat="1" ht="13.5" customHeight="1">
      <c r="A50" s="2131"/>
      <c r="B50" s="2131"/>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1"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9" t="s">
        <v>560</v>
      </c>
      <c r="B52" s="630" t="s">
        <v>561</v>
      </c>
      <c r="C52" s="1546" t="s">
        <v>1724</v>
      </c>
      <c r="D52" s="2212" t="s">
        <v>2293</v>
      </c>
      <c r="E52" s="631" t="s">
        <v>562</v>
      </c>
      <c r="F52" s="1936" t="s">
        <v>563</v>
      </c>
      <c r="G52" s="3470" t="s">
        <v>2284</v>
      </c>
      <c r="H52" s="3471"/>
      <c r="I52" s="1937" t="s">
        <v>1945</v>
      </c>
      <c r="J52" s="1541" t="str">
        <f>项目基本情况!F41</f>
        <v>海南省海口市</v>
      </c>
      <c r="K52" s="2139" t="s">
        <v>1723</v>
      </c>
      <c r="L52" s="2135"/>
      <c r="M52" s="2130"/>
      <c r="N52" s="2130"/>
      <c r="O52" s="2130"/>
      <c r="P52" s="2130"/>
      <c r="Q52" s="2130"/>
      <c r="R52" s="2130"/>
      <c r="S52" s="2130"/>
      <c r="T52" s="2130"/>
      <c r="U52" s="2130"/>
      <c r="V52" s="2130"/>
      <c r="W52" s="2130"/>
      <c r="X52" s="2130"/>
      <c r="Y52" s="2130"/>
      <c r="Z52" s="2130"/>
      <c r="AA52" s="2130"/>
      <c r="AB52" s="2130"/>
      <c r="AC52" s="2130"/>
    </row>
    <row r="53" spans="1:29" s="1342" customFormat="1" ht="12.75">
      <c r="A53" s="633" t="s">
        <v>564</v>
      </c>
      <c r="B53" s="634" t="e">
        <f>C45</f>
        <v>#DIV/0!</v>
      </c>
      <c r="C53" s="635">
        <v>1</v>
      </c>
      <c r="D53" s="2213">
        <v>1</v>
      </c>
      <c r="E53" s="635">
        <f>'数据-汇总表'!E8+'数据-汇总表'!E9</f>
        <v>78857.320000000007</v>
      </c>
      <c r="F53" s="1935" t="e">
        <f t="shared" ref="F53:F62" si="15">ROUND(B53*E53/10000,0)</f>
        <v>#DIV/0!</v>
      </c>
      <c r="G53" s="3472"/>
      <c r="H53" s="3473"/>
      <c r="I53" s="1938">
        <v>1</v>
      </c>
      <c r="J53" s="1542">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2" customFormat="1" ht="12.75">
      <c r="A54" s="637" t="s">
        <v>565</v>
      </c>
      <c r="B54" s="638" t="e">
        <f>ROUND($C$45*C54*D54,0)</f>
        <v>#DIV/0!</v>
      </c>
      <c r="C54" s="378">
        <f t="shared" ref="C54:C62" si="16">IF($C$52="北京市系数",I54,J54)</f>
        <v>0</v>
      </c>
      <c r="D54" s="2214">
        <v>0.25</v>
      </c>
      <c r="E54" s="639"/>
      <c r="F54" s="1935" t="e">
        <f t="shared" si="15"/>
        <v>#DIV/0!</v>
      </c>
      <c r="G54" s="3474" t="s">
        <v>2285</v>
      </c>
      <c r="H54" s="1939">
        <f>项目基本情况!B43</f>
        <v>0</v>
      </c>
      <c r="I54" s="1938">
        <f>SUMIF(修正!$A$45:$A$56,H54,修正!B45:B56)</f>
        <v>0</v>
      </c>
      <c r="J54" s="1544"/>
      <c r="K54" s="2140"/>
      <c r="L54" s="2140"/>
      <c r="M54" s="2140"/>
      <c r="N54" s="2140"/>
      <c r="O54" s="2140"/>
      <c r="P54" s="2140"/>
      <c r="Q54" s="2140"/>
      <c r="R54" s="2140"/>
      <c r="S54" s="2140"/>
      <c r="T54" s="2140"/>
      <c r="U54" s="2140"/>
      <c r="V54" s="2140"/>
      <c r="W54" s="2140"/>
      <c r="X54" s="2140"/>
      <c r="Y54" s="2140"/>
      <c r="Z54" s="2140"/>
      <c r="AA54" s="2140"/>
      <c r="AB54" s="2140"/>
      <c r="AC54" s="2140"/>
    </row>
    <row r="55" spans="1:29" s="1342" customFormat="1" ht="12.75">
      <c r="A55" s="637" t="s">
        <v>566</v>
      </c>
      <c r="B55" s="638" t="e">
        <f t="shared" ref="B55:B62" si="17">ROUND($C$45*C55*D55,0)</f>
        <v>#DIV/0!</v>
      </c>
      <c r="C55" s="378">
        <f t="shared" si="16"/>
        <v>0</v>
      </c>
      <c r="D55" s="2214">
        <v>0.25</v>
      </c>
      <c r="E55" s="639"/>
      <c r="F55" s="1935" t="e">
        <f t="shared" si="15"/>
        <v>#DIV/0!</v>
      </c>
      <c r="G55" s="3474"/>
      <c r="H55" s="1940">
        <f>项目基本情况!B43</f>
        <v>0</v>
      </c>
      <c r="I55" s="1938">
        <f>SUMIF(修正!$A$45:$A$56,H55,修正!C45:C56)</f>
        <v>0</v>
      </c>
      <c r="J55" s="1544"/>
      <c r="K55" s="2140"/>
      <c r="L55" s="2140"/>
      <c r="M55" s="2140"/>
      <c r="N55" s="2140"/>
      <c r="O55" s="2140"/>
      <c r="P55" s="2140"/>
      <c r="Q55" s="2140"/>
      <c r="R55" s="2140"/>
      <c r="S55" s="2140"/>
      <c r="T55" s="2140"/>
      <c r="U55" s="2140"/>
      <c r="V55" s="2140"/>
      <c r="W55" s="2140"/>
      <c r="X55" s="2140"/>
      <c r="Y55" s="2140"/>
      <c r="Z55" s="2140"/>
      <c r="AA55" s="2140"/>
      <c r="AB55" s="2140"/>
      <c r="AC55" s="2140"/>
    </row>
    <row r="56" spans="1:29" s="1342" customFormat="1" ht="12.75">
      <c r="A56" s="637" t="s">
        <v>567</v>
      </c>
      <c r="B56" s="638" t="e">
        <f t="shared" si="17"/>
        <v>#DIV/0!</v>
      </c>
      <c r="C56" s="378">
        <f t="shared" si="16"/>
        <v>0</v>
      </c>
      <c r="D56" s="2214">
        <v>0.25</v>
      </c>
      <c r="E56" s="639"/>
      <c r="F56" s="1935" t="e">
        <f t="shared" si="15"/>
        <v>#DIV/0!</v>
      </c>
      <c r="G56" s="3474"/>
      <c r="H56" s="1940">
        <f>项目基本情况!B43</f>
        <v>0</v>
      </c>
      <c r="I56" s="1938">
        <f>SUMIF(修正!$A$45:$A$56,H56,修正!D45:D56)</f>
        <v>0</v>
      </c>
      <c r="J56" s="1544"/>
      <c r="K56" s="2140"/>
      <c r="L56" s="2140"/>
      <c r="M56" s="2140"/>
      <c r="N56" s="2140"/>
      <c r="O56" s="2140"/>
      <c r="P56" s="2140"/>
      <c r="Q56" s="2140"/>
      <c r="R56" s="2140"/>
      <c r="S56" s="2140"/>
      <c r="T56" s="2140"/>
      <c r="U56" s="2140"/>
      <c r="V56" s="2140"/>
      <c r="W56" s="2140"/>
      <c r="X56" s="2140"/>
      <c r="Y56" s="2140"/>
      <c r="Z56" s="2140"/>
      <c r="AA56" s="2140"/>
      <c r="AB56" s="2140"/>
      <c r="AC56" s="2140"/>
    </row>
    <row r="57" spans="1:29" s="1342" customFormat="1" ht="12.75">
      <c r="A57" s="637" t="s">
        <v>568</v>
      </c>
      <c r="B57" s="638" t="e">
        <f t="shared" si="17"/>
        <v>#DIV/0!</v>
      </c>
      <c r="C57" s="378">
        <f t="shared" si="16"/>
        <v>0</v>
      </c>
      <c r="D57" s="2214">
        <v>0.25</v>
      </c>
      <c r="E57" s="639"/>
      <c r="F57" s="1935" t="e">
        <f t="shared" si="15"/>
        <v>#DIV/0!</v>
      </c>
      <c r="G57" s="3474"/>
      <c r="H57" s="1940">
        <f>项目基本情况!B43</f>
        <v>0</v>
      </c>
      <c r="I57" s="1938">
        <f>SUMIF(修正!$A$45:$A$56,H57,修正!E45:E56)</f>
        <v>0</v>
      </c>
      <c r="J57" s="1544"/>
      <c r="K57" s="2140"/>
      <c r="L57" s="2140"/>
      <c r="M57" s="2140"/>
      <c r="N57" s="2140"/>
      <c r="O57" s="2140"/>
      <c r="P57" s="2140"/>
      <c r="Q57" s="2140"/>
      <c r="R57" s="2140"/>
      <c r="S57" s="2140"/>
      <c r="T57" s="2140"/>
      <c r="U57" s="2140"/>
      <c r="V57" s="2140"/>
      <c r="W57" s="2140"/>
      <c r="X57" s="2140"/>
      <c r="Y57" s="2140"/>
      <c r="Z57" s="2140"/>
      <c r="AA57" s="2140"/>
      <c r="AB57" s="2140"/>
      <c r="AC57" s="2140"/>
    </row>
    <row r="58" spans="1:29" s="1342" customFormat="1" ht="12.75">
      <c r="A58" s="2316" t="s">
        <v>2328</v>
      </c>
      <c r="B58" s="638" t="e">
        <f t="shared" si="17"/>
        <v>#DIV/0!</v>
      </c>
      <c r="C58" s="378">
        <f t="shared" si="16"/>
        <v>0</v>
      </c>
      <c r="D58" s="2214">
        <v>0.25</v>
      </c>
      <c r="E58" s="641">
        <f>'数据-汇总表'!E11</f>
        <v>0</v>
      </c>
      <c r="F58" s="1935" t="e">
        <f t="shared" si="15"/>
        <v>#DIV/0!</v>
      </c>
      <c r="G58" s="1941" t="s">
        <v>2286</v>
      </c>
      <c r="H58" s="1940">
        <f>项目基本情况!C43</f>
        <v>0</v>
      </c>
      <c r="I58" s="1938">
        <f>SUMIF(修正!$A$45:$A$56,H58,修正!F45:F56)</f>
        <v>0</v>
      </c>
      <c r="J58" s="1544"/>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569</v>
      </c>
      <c r="B59" s="638" t="e">
        <f t="shared" si="17"/>
        <v>#DIV/0!</v>
      </c>
      <c r="C59" s="378">
        <f t="shared" si="16"/>
        <v>0</v>
      </c>
      <c r="D59" s="2214">
        <v>0.25</v>
      </c>
      <c r="E59" s="641">
        <f>'数据-汇总表'!E12</f>
        <v>0</v>
      </c>
      <c r="F59" s="1935" t="e">
        <f t="shared" si="15"/>
        <v>#DIV/0!</v>
      </c>
      <c r="G59" s="1931" t="s">
        <v>1677</v>
      </c>
      <c r="H59" s="1939">
        <f>IF(G59="商业",项目基本情况!B43,IF(G59="办公",项目基本情况!C43,IF(G59="住宅",项目基本情况!D43,项目基本情况!E43)))</f>
        <v>0</v>
      </c>
      <c r="I59" s="1938">
        <f>SUMIF(修正!$A$45:$A$56,H59,修正!G45:G56)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570</v>
      </c>
      <c r="B60" s="638" t="e">
        <f t="shared" si="17"/>
        <v>#DIV/0!</v>
      </c>
      <c r="C60" s="378">
        <f t="shared" si="16"/>
        <v>0</v>
      </c>
      <c r="D60" s="2214">
        <v>0.25</v>
      </c>
      <c r="E60" s="641">
        <f>'数据-汇总表'!E13</f>
        <v>0</v>
      </c>
      <c r="F60" s="1935" t="e">
        <f t="shared" si="15"/>
        <v>#DIV/0!</v>
      </c>
      <c r="G60" s="1931" t="s">
        <v>923</v>
      </c>
      <c r="H60" s="1939">
        <f>IF(G60="商业",项目基本情况!B43,IF(G60="办公",项目基本情况!C43,IF(G60="住宅",项目基本情况!D43,项目基本情况!E43)))</f>
        <v>0</v>
      </c>
      <c r="I60" s="1938">
        <f>SUMIF(修正!$A$45:$A$56,H60,修正!H45:H56)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571</v>
      </c>
      <c r="B61" s="638" t="e">
        <f t="shared" si="17"/>
        <v>#DIV/0!</v>
      </c>
      <c r="C61" s="378">
        <f t="shared" si="16"/>
        <v>0</v>
      </c>
      <c r="D61" s="2214">
        <v>0.25</v>
      </c>
      <c r="E61" s="641">
        <f>'数据-汇总表'!E14</f>
        <v>0</v>
      </c>
      <c r="F61" s="1935" t="e">
        <f t="shared" si="15"/>
        <v>#DIV/0!</v>
      </c>
      <c r="G61" s="1941" t="s">
        <v>2285</v>
      </c>
      <c r="H61" s="1940">
        <f>项目基本情况!B43</f>
        <v>0</v>
      </c>
      <c r="I61" s="1938">
        <f>SUMIF(修正!$A$45:$A$56,H61,修正!H45:H56)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3.5" thickBot="1">
      <c r="A62" s="637" t="s">
        <v>572</v>
      </c>
      <c r="B62" s="638" t="e">
        <f t="shared" si="17"/>
        <v>#DIV/0!</v>
      </c>
      <c r="C62" s="378">
        <f t="shared" si="16"/>
        <v>0</v>
      </c>
      <c r="D62" s="2214">
        <v>0.25</v>
      </c>
      <c r="E62" s="641">
        <f>'数据-汇总表'!E15</f>
        <v>0</v>
      </c>
      <c r="F62" s="1935" t="e">
        <f t="shared" si="15"/>
        <v>#DIV/0!</v>
      </c>
      <c r="G62" s="1942" t="s">
        <v>2286</v>
      </c>
      <c r="H62" s="1943">
        <f>项目基本情况!C43</f>
        <v>0</v>
      </c>
      <c r="I62" s="1938">
        <f>SUMIF(修正!$A$45:$A$56,H62,修正!H45:H56)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3.5" thickBot="1">
      <c r="A63" s="642" t="s">
        <v>573</v>
      </c>
      <c r="B63" s="643" t="s">
        <v>17</v>
      </c>
      <c r="C63" s="643" t="s">
        <v>18</v>
      </c>
      <c r="D63" s="643" t="s">
        <v>2294</v>
      </c>
      <c r="E63" s="643">
        <f>IF(B43="楼面地价",SUM(E53:E62),'数据-汇总表'!D3)</f>
        <v>31784.92</v>
      </c>
      <c r="F63" s="644"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2020-2-1</v>
      </c>
      <c r="D65" s="2754">
        <f>EDATE(C65,-3)</f>
        <v>43770</v>
      </c>
      <c r="E65" s="2754">
        <f t="shared" ref="E65:N65" si="18">EDATE(D65,-3)</f>
        <v>43678</v>
      </c>
      <c r="F65" s="2754">
        <f t="shared" si="18"/>
        <v>43586</v>
      </c>
      <c r="G65" s="2754">
        <f t="shared" si="18"/>
        <v>43497</v>
      </c>
      <c r="H65" s="2754">
        <f t="shared" si="18"/>
        <v>43405</v>
      </c>
      <c r="I65" s="2754">
        <f t="shared" si="18"/>
        <v>43313</v>
      </c>
      <c r="J65" s="2754">
        <f t="shared" si="18"/>
        <v>43221</v>
      </c>
      <c r="K65" s="2754">
        <f t="shared" si="18"/>
        <v>43132</v>
      </c>
      <c r="L65" s="2754">
        <f t="shared" si="18"/>
        <v>43040</v>
      </c>
      <c r="M65" s="2754">
        <f t="shared" si="18"/>
        <v>42948</v>
      </c>
      <c r="N65" s="2754">
        <f t="shared" si="18"/>
        <v>42856</v>
      </c>
      <c r="O65" s="2130"/>
      <c r="P65" s="2130"/>
      <c r="Q65" s="2130"/>
      <c r="R65" s="2130"/>
      <c r="S65" s="2130"/>
      <c r="T65" s="2130"/>
      <c r="U65" s="2130"/>
      <c r="V65" s="2130"/>
      <c r="W65" s="2130"/>
      <c r="X65" s="2130"/>
      <c r="Y65" s="2130"/>
      <c r="Z65" s="2130"/>
      <c r="AA65" s="2130"/>
      <c r="AB65" s="2130"/>
      <c r="AC65" s="2130"/>
    </row>
    <row r="66" spans="1:29" ht="21.75" thickBot="1">
      <c r="A66" s="1570" t="s">
        <v>574</v>
      </c>
      <c r="B66" s="1545"/>
      <c r="C66" s="1569"/>
      <c r="D66" s="1569"/>
      <c r="E66" s="1569"/>
      <c r="F66" s="1571"/>
      <c r="G66" s="1571"/>
      <c r="H66" s="1569"/>
      <c r="I66" s="1569"/>
      <c r="J66" s="1569"/>
      <c r="K66" s="1572"/>
      <c r="L66" s="1568"/>
      <c r="M66" s="1569"/>
      <c r="N66" s="1569"/>
      <c r="O66" s="2142"/>
      <c r="P66" s="2142"/>
      <c r="Q66" s="2143"/>
      <c r="R66" s="2130"/>
      <c r="S66" s="2130"/>
      <c r="T66" s="2130"/>
      <c r="U66" s="2130"/>
      <c r="V66" s="2130"/>
      <c r="W66" s="2130"/>
      <c r="X66" s="2130"/>
      <c r="Y66" s="2130"/>
      <c r="Z66" s="2130"/>
      <c r="AA66" s="2130"/>
      <c r="AB66" s="2130"/>
      <c r="AC66" s="2130"/>
    </row>
    <row r="67" spans="1:29" s="1343" customFormat="1" ht="15">
      <c r="A67" s="2532" t="s">
        <v>2530</v>
      </c>
      <c r="B67" s="646"/>
      <c r="C67" s="2750" t="str">
        <f>YEAR(C65)&amp;"-"&amp;ROUNDUP(MONTH(C65)/3,0)</f>
        <v>2020-1</v>
      </c>
      <c r="D67" s="2756" t="str">
        <f t="shared" ref="D67:N67" si="19">YEAR(D65)&amp;"-"&amp;ROUNDUP(MONTH(D65)/3,0)</f>
        <v>2019-4</v>
      </c>
      <c r="E67" s="2756" t="str">
        <f t="shared" si="19"/>
        <v>2019-3</v>
      </c>
      <c r="F67" s="2756" t="str">
        <f t="shared" si="19"/>
        <v>2019-2</v>
      </c>
      <c r="G67" s="2756" t="str">
        <f t="shared" si="19"/>
        <v>2019-1</v>
      </c>
      <c r="H67" s="2756" t="str">
        <f t="shared" si="19"/>
        <v>2018-4</v>
      </c>
      <c r="I67" s="2756" t="str">
        <f t="shared" si="19"/>
        <v>2018-3</v>
      </c>
      <c r="J67" s="2756" t="str">
        <f t="shared" si="19"/>
        <v>2018-2</v>
      </c>
      <c r="K67" s="2756" t="str">
        <f t="shared" si="19"/>
        <v>2018-1</v>
      </c>
      <c r="L67" s="2756" t="str">
        <f t="shared" si="19"/>
        <v>2017-4</v>
      </c>
      <c r="M67" s="2756" t="str">
        <f t="shared" si="19"/>
        <v>2017-3</v>
      </c>
      <c r="N67" s="2756" t="str">
        <f t="shared" si="19"/>
        <v>2017-2</v>
      </c>
      <c r="O67" s="2144"/>
      <c r="P67" s="2145"/>
      <c r="Q67" s="2146"/>
      <c r="R67" s="2146"/>
      <c r="S67" s="2146"/>
      <c r="T67" s="2146"/>
      <c r="U67" s="2146"/>
      <c r="V67" s="2146"/>
      <c r="W67" s="2146"/>
      <c r="X67" s="2146"/>
      <c r="Y67" s="2146"/>
      <c r="Z67" s="2146"/>
      <c r="AA67" s="2146"/>
      <c r="AB67" s="2146"/>
      <c r="AC67" s="2146"/>
    </row>
    <row r="68" spans="1:29" s="1216" customFormat="1" ht="27.75" customHeight="1">
      <c r="A68" s="2753" t="s">
        <v>2646</v>
      </c>
      <c r="B68" s="479" t="str">
        <f>"北京市平均增长率"&amp;TEXT(基准地价!P24,"0.00%")</f>
        <v>北京市平均增长率0.00%</v>
      </c>
      <c r="C68" s="894">
        <v>100</v>
      </c>
      <c r="D68" s="730"/>
      <c r="E68" s="730"/>
      <c r="F68" s="730"/>
      <c r="G68" s="730"/>
      <c r="H68" s="730"/>
      <c r="I68" s="730"/>
      <c r="J68" s="730"/>
      <c r="K68" s="730"/>
      <c r="L68" s="730"/>
      <c r="M68" s="2748"/>
      <c r="N68" s="2749"/>
      <c r="O68" s="2147"/>
      <c r="P68" s="2143"/>
      <c r="Q68" s="1978"/>
      <c r="R68" s="1978"/>
      <c r="S68" s="1978"/>
      <c r="T68" s="1978"/>
      <c r="U68" s="1978"/>
      <c r="V68" s="1978"/>
      <c r="W68" s="1978"/>
      <c r="X68" s="1978"/>
      <c r="Y68" s="1978"/>
      <c r="Z68" s="1978"/>
      <c r="AA68" s="1978"/>
      <c r="AB68" s="1978"/>
      <c r="AC68" s="1978"/>
    </row>
    <row r="69" spans="1:29" s="1216" customFormat="1" ht="15.75" thickBot="1">
      <c r="A69" s="653" t="s">
        <v>575</v>
      </c>
      <c r="B69" s="654"/>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6" customFormat="1" ht="15">
      <c r="A70" s="659" t="s">
        <v>531</v>
      </c>
      <c r="B70" s="648"/>
      <c r="C70" s="660" t="s">
        <v>576</v>
      </c>
      <c r="D70" s="661"/>
      <c r="E70" s="661"/>
      <c r="F70" s="661"/>
      <c r="G70" s="661"/>
      <c r="H70" s="661"/>
      <c r="I70" s="661"/>
      <c r="J70" s="661"/>
      <c r="K70" s="661"/>
      <c r="L70" s="662"/>
      <c r="M70" s="663"/>
      <c r="N70" s="2147"/>
      <c r="O70" s="2147"/>
      <c r="P70" s="2148"/>
      <c r="Q70" s="2143"/>
      <c r="R70" s="1978"/>
      <c r="S70" s="1978"/>
      <c r="T70" s="1978"/>
      <c r="U70" s="1978"/>
      <c r="V70" s="1978"/>
      <c r="W70" s="1978"/>
      <c r="X70" s="1978"/>
      <c r="Y70" s="1978"/>
      <c r="Z70" s="1978"/>
      <c r="AA70" s="1978"/>
      <c r="AB70" s="1978"/>
      <c r="AC70" s="1978"/>
    </row>
    <row r="71" spans="1:29" s="1216" customFormat="1" ht="15.75" thickBot="1">
      <c r="A71" s="659"/>
      <c r="B71" s="648"/>
      <c r="C71" s="649">
        <v>100</v>
      </c>
      <c r="D71" s="650"/>
      <c r="E71" s="650"/>
      <c r="F71" s="650"/>
      <c r="G71" s="650"/>
      <c r="H71" s="650"/>
      <c r="I71" s="650"/>
      <c r="J71" s="650"/>
      <c r="K71" s="650"/>
      <c r="L71" s="650"/>
      <c r="M71" s="652"/>
      <c r="N71" s="2147"/>
      <c r="O71" s="2147"/>
      <c r="P71" s="2143"/>
      <c r="Q71" s="2143"/>
      <c r="R71" s="1978"/>
      <c r="S71" s="1978"/>
      <c r="T71" s="1978"/>
      <c r="U71" s="1978"/>
      <c r="V71" s="1978"/>
      <c r="W71" s="1978"/>
      <c r="X71" s="1978"/>
      <c r="Y71" s="1978"/>
      <c r="Z71" s="1978"/>
      <c r="AA71" s="1978"/>
      <c r="AB71" s="1978"/>
      <c r="AC71" s="1978"/>
    </row>
    <row r="72" spans="1:29">
      <c r="A72" s="664" t="s">
        <v>577</v>
      </c>
      <c r="B72" s="665" t="s">
        <v>534</v>
      </c>
      <c r="C72" s="598"/>
      <c r="D72" s="598"/>
      <c r="E72" s="598"/>
      <c r="F72" s="598"/>
      <c r="G72" s="598"/>
      <c r="H72" s="598"/>
      <c r="I72" s="598"/>
      <c r="J72" s="598"/>
      <c r="K72" s="666"/>
      <c r="L72" s="667"/>
      <c r="M72" s="668"/>
      <c r="N72" s="2149"/>
      <c r="O72" s="2149"/>
      <c r="P72" s="2150"/>
      <c r="Q72" s="2143"/>
      <c r="R72" s="2130"/>
      <c r="S72" s="2130"/>
      <c r="T72" s="2130"/>
      <c r="U72" s="2130"/>
      <c r="V72" s="2130"/>
      <c r="W72" s="2130"/>
      <c r="X72" s="2130"/>
      <c r="Y72" s="2130"/>
      <c r="Z72" s="2130"/>
      <c r="AA72" s="2130"/>
      <c r="AB72" s="2130"/>
      <c r="AC72" s="2130"/>
    </row>
    <row r="73" spans="1:29" ht="15.75" thickBot="1">
      <c r="A73" s="669"/>
      <c r="B73" s="670"/>
      <c r="C73" s="671"/>
      <c r="D73" s="671"/>
      <c r="E73" s="671"/>
      <c r="F73" s="671"/>
      <c r="G73" s="671"/>
      <c r="H73" s="671"/>
      <c r="I73" s="671"/>
      <c r="J73" s="671"/>
      <c r="K73" s="671"/>
      <c r="L73" s="671"/>
      <c r="M73" s="672"/>
      <c r="N73" s="2151"/>
      <c r="O73" s="2151"/>
      <c r="P73" s="2150"/>
      <c r="Q73" s="2143"/>
      <c r="R73" s="2130"/>
      <c r="S73" s="2130"/>
      <c r="T73" s="2130"/>
      <c r="U73" s="2130"/>
      <c r="V73" s="2130"/>
      <c r="W73" s="2130"/>
      <c r="X73" s="2130"/>
      <c r="Y73" s="2130"/>
      <c r="Z73" s="2130"/>
      <c r="AA73" s="2130"/>
      <c r="AB73" s="2130"/>
      <c r="AC73" s="2130"/>
    </row>
    <row r="74" spans="1:29" ht="27.75" thickTop="1">
      <c r="A74" s="669"/>
      <c r="B74" s="673" t="s">
        <v>537</v>
      </c>
      <c r="C74" s="674"/>
      <c r="D74" s="674"/>
      <c r="E74" s="674"/>
      <c r="F74" s="674"/>
      <c r="G74" s="674"/>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c r="D75" s="679"/>
      <c r="E75" s="679"/>
      <c r="F75" s="679"/>
      <c r="G75" s="679"/>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9"/>
      <c r="B77" s="683"/>
      <c r="C77" s="541"/>
      <c r="D77" s="541"/>
      <c r="E77" s="541"/>
      <c r="F77" s="541"/>
      <c r="G77" s="541"/>
      <c r="H77" s="541"/>
      <c r="I77" s="541"/>
      <c r="J77" s="541"/>
      <c r="K77" s="684"/>
      <c r="L77" s="685"/>
      <c r="M77" s="686"/>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1"/>
      <c r="O78" s="2151"/>
      <c r="P78" s="2150"/>
      <c r="Q78" s="2143"/>
      <c r="R78" s="2130"/>
      <c r="S78" s="2130"/>
      <c r="T78" s="2130"/>
      <c r="U78" s="2130"/>
      <c r="V78" s="2130"/>
      <c r="W78" s="2130"/>
      <c r="X78" s="2130"/>
      <c r="Y78" s="2130"/>
      <c r="Z78" s="2130"/>
      <c r="AA78" s="2130"/>
      <c r="AB78" s="2130"/>
      <c r="AC78" s="2130"/>
    </row>
    <row r="79" spans="1:29" s="1335" customFormat="1" ht="15.75" thickTop="1">
      <c r="A79" s="687"/>
      <c r="B79" s="673">
        <f>B14</f>
        <v>111</v>
      </c>
      <c r="C79" s="688"/>
      <c r="D79" s="688"/>
      <c r="E79" s="688"/>
      <c r="F79" s="688"/>
      <c r="G79" s="688"/>
      <c r="H79" s="689"/>
      <c r="I79" s="689"/>
      <c r="J79" s="689"/>
      <c r="K79" s="689"/>
      <c r="L79" s="690"/>
      <c r="M79" s="691"/>
      <c r="N79" s="2152"/>
      <c r="O79" s="2152"/>
      <c r="P79" s="2153"/>
      <c r="Q79" s="2154"/>
      <c r="R79" s="2155"/>
      <c r="S79" s="2155"/>
      <c r="T79" s="2155"/>
      <c r="U79" s="2155"/>
      <c r="V79" s="2155"/>
      <c r="W79" s="2155"/>
      <c r="X79" s="2155"/>
      <c r="Y79" s="2155"/>
      <c r="Z79" s="2155"/>
      <c r="AA79" s="2155"/>
      <c r="AB79" s="2155"/>
      <c r="AC79" s="2155"/>
    </row>
    <row r="80" spans="1:29" s="1335" customFormat="1" ht="15.75" thickBot="1">
      <c r="A80" s="687"/>
      <c r="B80" s="678"/>
      <c r="C80" s="692"/>
      <c r="D80" s="671"/>
      <c r="E80" s="671"/>
      <c r="F80" s="671"/>
      <c r="G80" s="671"/>
      <c r="H80" s="671"/>
      <c r="I80" s="671"/>
      <c r="J80" s="671"/>
      <c r="K80" s="671"/>
      <c r="L80" s="671"/>
      <c r="M80" s="672"/>
      <c r="N80" s="2151"/>
      <c r="O80" s="2151"/>
      <c r="P80" s="2153"/>
      <c r="Q80" s="2154"/>
      <c r="R80" s="2155"/>
      <c r="S80" s="2155"/>
      <c r="T80" s="2155"/>
      <c r="U80" s="2155"/>
      <c r="V80" s="2155"/>
      <c r="W80" s="2155"/>
      <c r="X80" s="2155"/>
      <c r="Y80" s="2155"/>
      <c r="Z80" s="2155"/>
      <c r="AA80" s="2155"/>
      <c r="AB80" s="2155"/>
      <c r="AC80" s="2155"/>
    </row>
    <row r="81" spans="1:29" s="1335" customFormat="1" ht="15.75" thickTop="1">
      <c r="A81" s="687"/>
      <c r="B81" s="673">
        <f>B15</f>
        <v>111</v>
      </c>
      <c r="C81" s="688"/>
      <c r="D81" s="688"/>
      <c r="E81" s="688"/>
      <c r="F81" s="688"/>
      <c r="G81" s="688"/>
      <c r="H81" s="689"/>
      <c r="I81" s="689"/>
      <c r="J81" s="689"/>
      <c r="K81" s="689"/>
      <c r="L81" s="690"/>
      <c r="M81" s="691"/>
      <c r="N81" s="2152"/>
      <c r="O81" s="2152"/>
      <c r="P81" s="2156"/>
      <c r="Q81" s="2157"/>
      <c r="R81" s="2155"/>
      <c r="S81" s="2155"/>
      <c r="T81" s="2155"/>
      <c r="U81" s="2155"/>
      <c r="V81" s="2155"/>
      <c r="W81" s="2155"/>
      <c r="X81" s="2155"/>
      <c r="Y81" s="2155"/>
      <c r="Z81" s="2155"/>
      <c r="AA81" s="2155"/>
      <c r="AB81" s="2155"/>
      <c r="AC81" s="2155"/>
    </row>
    <row r="82" spans="1:29" s="1335" customFormat="1" ht="15.75" thickBot="1">
      <c r="A82" s="687"/>
      <c r="B82" s="678"/>
      <c r="C82" s="692"/>
      <c r="D82" s="692"/>
      <c r="E82" s="692"/>
      <c r="F82" s="692"/>
      <c r="G82" s="692"/>
      <c r="H82" s="693"/>
      <c r="I82" s="693"/>
      <c r="J82" s="693"/>
      <c r="K82" s="693"/>
      <c r="L82" s="693"/>
      <c r="M82" s="694"/>
      <c r="N82" s="2152"/>
      <c r="O82" s="2152"/>
      <c r="P82" s="2153"/>
      <c r="Q82" s="2154"/>
      <c r="R82" s="2155"/>
      <c r="S82" s="2155"/>
      <c r="T82" s="2155"/>
      <c r="U82" s="2155"/>
      <c r="V82" s="2155"/>
      <c r="W82" s="2155"/>
      <c r="X82" s="2155"/>
      <c r="Y82" s="2155"/>
      <c r="Z82" s="2155"/>
      <c r="AA82" s="2155"/>
      <c r="AB82" s="2155"/>
      <c r="AC82" s="2155"/>
    </row>
    <row r="83" spans="1:29" s="1335" customFormat="1" ht="15.75" thickTop="1">
      <c r="A83" s="687"/>
      <c r="B83" s="681">
        <f>B16</f>
        <v>111</v>
      </c>
      <c r="C83" s="661"/>
      <c r="D83" s="661"/>
      <c r="E83" s="661"/>
      <c r="F83" s="661"/>
      <c r="G83" s="661"/>
      <c r="H83" s="695"/>
      <c r="I83" s="695"/>
      <c r="J83" s="695"/>
      <c r="K83" s="695"/>
      <c r="L83" s="696"/>
      <c r="M83" s="697"/>
      <c r="N83" s="2152"/>
      <c r="O83" s="2152"/>
      <c r="P83" s="2158"/>
      <c r="Q83" s="2154"/>
      <c r="R83" s="2155"/>
      <c r="S83" s="2155"/>
      <c r="T83" s="2155"/>
      <c r="U83" s="2155"/>
      <c r="V83" s="2155"/>
      <c r="W83" s="2155"/>
      <c r="X83" s="2155"/>
      <c r="Y83" s="2155"/>
      <c r="Z83" s="2155"/>
      <c r="AA83" s="2155"/>
      <c r="AB83" s="2155"/>
      <c r="AC83" s="2155"/>
    </row>
    <row r="84" spans="1:29" s="1335" customFormat="1" ht="15.75" thickBot="1">
      <c r="A84" s="698"/>
      <c r="B84" s="699"/>
      <c r="C84" s="700"/>
      <c r="D84" s="700"/>
      <c r="E84" s="700"/>
      <c r="F84" s="700"/>
      <c r="G84" s="700"/>
      <c r="H84" s="701"/>
      <c r="I84" s="701"/>
      <c r="J84" s="701"/>
      <c r="K84" s="701"/>
      <c r="L84" s="701"/>
      <c r="M84" s="702"/>
      <c r="N84" s="2152"/>
      <c r="O84" s="2152"/>
      <c r="P84" s="2153"/>
      <c r="Q84" s="2154"/>
      <c r="R84" s="2155"/>
      <c r="S84" s="2155"/>
      <c r="T84" s="2155"/>
      <c r="U84" s="2155"/>
      <c r="V84" s="2155"/>
      <c r="W84" s="2155"/>
      <c r="X84" s="2155"/>
      <c r="Y84" s="2155"/>
      <c r="Z84" s="2155"/>
      <c r="AA84" s="2155"/>
      <c r="AB84" s="2155"/>
      <c r="AC84" s="2155"/>
    </row>
    <row r="85" spans="1:29">
      <c r="A85" s="664" t="s">
        <v>539</v>
      </c>
      <c r="B85" s="665" t="s">
        <v>602</v>
      </c>
      <c r="C85" s="703" t="s">
        <v>579</v>
      </c>
      <c r="D85" s="703" t="s">
        <v>580</v>
      </c>
      <c r="E85" s="703" t="s">
        <v>581</v>
      </c>
      <c r="F85" s="703" t="s">
        <v>582</v>
      </c>
      <c r="G85" s="703" t="s">
        <v>583</v>
      </c>
      <c r="H85" s="704"/>
      <c r="I85" s="704"/>
      <c r="J85" s="704"/>
      <c r="K85" s="705"/>
      <c r="L85" s="706"/>
      <c r="M85" s="707"/>
      <c r="N85" s="2149"/>
      <c r="O85" s="2149"/>
      <c r="P85" s="2159"/>
      <c r="Q85" s="2143"/>
      <c r="R85" s="2130"/>
      <c r="S85" s="2130"/>
      <c r="T85" s="2130"/>
      <c r="U85" s="2130"/>
      <c r="V85" s="2130"/>
      <c r="W85" s="2130"/>
      <c r="X85" s="2130"/>
      <c r="Y85" s="2130"/>
      <c r="Z85" s="2130"/>
      <c r="AA85" s="2130"/>
      <c r="AB85" s="2130"/>
      <c r="AC85" s="2130"/>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1"/>
      <c r="O86" s="2151"/>
      <c r="P86" s="2150"/>
      <c r="Q86" s="2143"/>
      <c r="R86" s="2130"/>
      <c r="S86" s="2130"/>
      <c r="T86" s="2130"/>
      <c r="U86" s="2130"/>
      <c r="V86" s="2130"/>
      <c r="W86" s="2130"/>
      <c r="X86" s="2130"/>
      <c r="Y86" s="2130"/>
      <c r="Z86" s="2130"/>
      <c r="AA86" s="2130"/>
      <c r="AB86" s="2130"/>
      <c r="AC86" s="2130"/>
    </row>
    <row r="87" spans="1:29" ht="15.75" thickTop="1">
      <c r="A87" s="669"/>
      <c r="B87" s="673" t="s">
        <v>586</v>
      </c>
      <c r="C87" s="708" t="s">
        <v>579</v>
      </c>
      <c r="D87" s="708" t="s">
        <v>580</v>
      </c>
      <c r="E87" s="708" t="s">
        <v>581</v>
      </c>
      <c r="F87" s="708" t="s">
        <v>582</v>
      </c>
      <c r="G87" s="708" t="s">
        <v>583</v>
      </c>
      <c r="H87" s="674"/>
      <c r="I87" s="674"/>
      <c r="J87" s="674"/>
      <c r="K87" s="675"/>
      <c r="L87" s="676"/>
      <c r="M87" s="677"/>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1"/>
      <c r="O88" s="2151"/>
      <c r="P88" s="2150"/>
      <c r="Q88" s="2143"/>
      <c r="R88" s="2130"/>
      <c r="S88" s="2130"/>
      <c r="T88" s="2130"/>
      <c r="U88" s="2130"/>
      <c r="V88" s="2130"/>
      <c r="W88" s="2130"/>
      <c r="X88" s="2130"/>
      <c r="Y88" s="2130"/>
      <c r="Z88" s="2130"/>
      <c r="AA88" s="2130"/>
      <c r="AB88" s="2130"/>
      <c r="AC88" s="2130"/>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7"/>
      <c r="O89" s="2147"/>
      <c r="P89" s="2150"/>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1"/>
      <c r="O90" s="2151"/>
      <c r="P90" s="2150"/>
      <c r="Q90" s="2143"/>
      <c r="R90" s="1978"/>
      <c r="S90" s="1978"/>
      <c r="T90" s="1978"/>
      <c r="U90" s="1978"/>
      <c r="V90" s="1978"/>
      <c r="W90" s="1978"/>
      <c r="X90" s="1978"/>
      <c r="Y90" s="1978"/>
      <c r="Z90" s="1978"/>
      <c r="AA90" s="1978"/>
      <c r="AB90" s="1978"/>
      <c r="AC90" s="1978"/>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7"/>
      <c r="O91" s="2147"/>
      <c r="P91" s="2150"/>
      <c r="Q91" s="2143"/>
      <c r="R91" s="1978"/>
      <c r="S91" s="1978"/>
      <c r="T91" s="1978"/>
      <c r="U91" s="1978"/>
      <c r="V91" s="1978"/>
      <c r="W91" s="1978"/>
      <c r="X91" s="1978"/>
      <c r="Y91" s="1978"/>
      <c r="Z91" s="1978"/>
      <c r="AA91" s="1978"/>
      <c r="AB91" s="1978"/>
      <c r="AC91" s="1978"/>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1"/>
      <c r="O92" s="2151"/>
      <c r="P92" s="2150"/>
      <c r="Q92" s="2143"/>
      <c r="R92" s="1978"/>
      <c r="S92" s="1978"/>
      <c r="T92" s="1978"/>
      <c r="U92" s="1978"/>
      <c r="V92" s="1978"/>
      <c r="W92" s="1978"/>
      <c r="X92" s="1978"/>
      <c r="Y92" s="1978"/>
      <c r="Z92" s="1978"/>
      <c r="AA92" s="1978"/>
      <c r="AB92" s="1978"/>
      <c r="AC92" s="1978"/>
    </row>
    <row r="93" spans="1:29" s="1335" customFormat="1" ht="15.75" thickTop="1">
      <c r="A93" s="687"/>
      <c r="B93" s="1881" t="s">
        <v>2545</v>
      </c>
      <c r="C93" s="703" t="s">
        <v>579</v>
      </c>
      <c r="D93" s="703" t="s">
        <v>580</v>
      </c>
      <c r="E93" s="703" t="s">
        <v>581</v>
      </c>
      <c r="F93" s="703" t="s">
        <v>582</v>
      </c>
      <c r="G93" s="703" t="s">
        <v>583</v>
      </c>
      <c r="H93" s="713"/>
      <c r="I93" s="713"/>
      <c r="J93" s="713"/>
      <c r="K93" s="713"/>
      <c r="L93" s="714"/>
      <c r="M93" s="715"/>
      <c r="N93" s="2152"/>
      <c r="O93" s="2152"/>
      <c r="P93" s="2153"/>
      <c r="Q93" s="2154"/>
      <c r="R93" s="2155"/>
      <c r="S93" s="2155"/>
      <c r="T93" s="2155"/>
      <c r="U93" s="2155"/>
      <c r="V93" s="2155"/>
      <c r="W93" s="2155"/>
      <c r="X93" s="2155"/>
      <c r="Y93" s="2155"/>
      <c r="Z93" s="2155"/>
      <c r="AA93" s="2155"/>
      <c r="AB93" s="2155"/>
      <c r="AC93" s="2155"/>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2"/>
      <c r="O94" s="2152"/>
      <c r="P94" s="2153"/>
      <c r="Q94" s="2154"/>
      <c r="R94" s="2155"/>
      <c r="S94" s="2155"/>
      <c r="T94" s="2155"/>
      <c r="U94" s="2155"/>
      <c r="V94" s="2155"/>
      <c r="W94" s="2155"/>
      <c r="X94" s="2155"/>
      <c r="Y94" s="2155"/>
      <c r="Z94" s="2155"/>
      <c r="AA94" s="2155"/>
      <c r="AB94" s="2155"/>
      <c r="AC94" s="2155"/>
    </row>
    <row r="95" spans="1:29" s="1335" customFormat="1" ht="15.75" thickTop="1">
      <c r="A95" s="687"/>
      <c r="B95" s="2561" t="s">
        <v>2547</v>
      </c>
      <c r="C95" s="2562" t="s">
        <v>2548</v>
      </c>
      <c r="D95" s="2562" t="s">
        <v>2549</v>
      </c>
      <c r="E95" s="2562" t="s">
        <v>2550</v>
      </c>
      <c r="F95" s="2562" t="s">
        <v>2551</v>
      </c>
      <c r="G95" s="2562" t="s">
        <v>2552</v>
      </c>
      <c r="H95" s="713"/>
      <c r="I95" s="713"/>
      <c r="J95" s="713"/>
      <c r="K95" s="713"/>
      <c r="L95" s="713"/>
      <c r="M95" s="715"/>
      <c r="N95" s="2152"/>
      <c r="O95" s="2152"/>
      <c r="P95" s="2153"/>
      <c r="Q95" s="2154"/>
      <c r="R95" s="2155"/>
      <c r="S95" s="2155"/>
      <c r="T95" s="2155"/>
      <c r="U95" s="2155"/>
      <c r="V95" s="2155"/>
      <c r="W95" s="2155"/>
      <c r="X95" s="2155"/>
      <c r="Y95" s="2155"/>
      <c r="Z95" s="2155"/>
      <c r="AA95" s="2155"/>
      <c r="AB95" s="2155"/>
      <c r="AC95" s="2155"/>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4"/>
      <c r="N96" s="2152"/>
      <c r="O96" s="2152"/>
      <c r="P96" s="2153"/>
      <c r="Q96" s="2154"/>
      <c r="R96" s="2155"/>
      <c r="S96" s="2155"/>
      <c r="T96" s="2155"/>
      <c r="U96" s="2155"/>
      <c r="V96" s="2155"/>
      <c r="W96" s="2155"/>
      <c r="X96" s="2155"/>
      <c r="Y96" s="2155"/>
      <c r="Z96" s="2155"/>
      <c r="AA96" s="2155"/>
      <c r="AB96" s="2155"/>
      <c r="AC96" s="2155"/>
    </row>
    <row r="97" spans="1:29" ht="15.75" thickTop="1">
      <c r="A97" s="669"/>
      <c r="B97" s="673" t="str">
        <f>B29</f>
        <v>临街状况</v>
      </c>
      <c r="C97" s="674" t="s">
        <v>589</v>
      </c>
      <c r="D97" s="674" t="s">
        <v>590</v>
      </c>
      <c r="E97" s="674" t="s">
        <v>591</v>
      </c>
      <c r="F97" s="674" t="s">
        <v>592</v>
      </c>
      <c r="G97" s="674"/>
      <c r="H97" s="674"/>
      <c r="I97" s="674"/>
      <c r="J97" s="674"/>
      <c r="K97" s="675"/>
      <c r="L97" s="676"/>
      <c r="M97" s="677"/>
      <c r="N97" s="2149"/>
      <c r="O97" s="2149"/>
      <c r="P97" s="2150"/>
      <c r="Q97" s="2143"/>
      <c r="R97" s="2130"/>
      <c r="S97" s="2130"/>
      <c r="T97" s="2130"/>
      <c r="U97" s="2130"/>
      <c r="V97" s="2130"/>
      <c r="W97" s="2130"/>
      <c r="X97" s="2130"/>
      <c r="Y97" s="2130"/>
      <c r="Z97" s="2130"/>
      <c r="AA97" s="2130"/>
      <c r="AB97" s="2130"/>
      <c r="AC97" s="2130"/>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1"/>
      <c r="O98" s="2151"/>
      <c r="P98" s="2150"/>
      <c r="Q98" s="2143"/>
      <c r="R98" s="2130"/>
      <c r="S98" s="2130"/>
      <c r="T98" s="2130"/>
      <c r="U98" s="2130"/>
      <c r="V98" s="2130"/>
      <c r="W98" s="2130"/>
      <c r="X98" s="2130"/>
      <c r="Y98" s="2130"/>
      <c r="Z98" s="2130"/>
      <c r="AA98" s="2130"/>
      <c r="AB98" s="2130"/>
      <c r="AC98" s="2130"/>
    </row>
    <row r="99" spans="1:29" ht="27.75" thickTop="1">
      <c r="A99" s="669"/>
      <c r="B99" s="673" t="s">
        <v>548</v>
      </c>
      <c r="C99" s="688"/>
      <c r="D99" s="688"/>
      <c r="E99" s="688"/>
      <c r="F99" s="688"/>
      <c r="G99" s="688"/>
      <c r="H99" s="718"/>
      <c r="I99" s="718"/>
      <c r="J99" s="718"/>
      <c r="K99" s="719"/>
      <c r="L99" s="720"/>
      <c r="M99" s="721"/>
      <c r="N99" s="2149"/>
      <c r="O99" s="2149"/>
      <c r="P99" s="2150"/>
      <c r="Q99" s="2143"/>
      <c r="R99" s="2130"/>
      <c r="S99" s="2130"/>
      <c r="T99" s="2130"/>
      <c r="U99" s="2130"/>
      <c r="V99" s="2130"/>
      <c r="W99" s="2130"/>
      <c r="X99" s="2130"/>
      <c r="Y99" s="2130"/>
      <c r="Z99" s="2130"/>
      <c r="AA99" s="2130"/>
      <c r="AB99" s="2130"/>
      <c r="AC99" s="2130"/>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9"/>
      <c r="B101" s="673" t="s">
        <v>549</v>
      </c>
      <c r="C101" s="718"/>
      <c r="D101" s="718"/>
      <c r="E101" s="718"/>
      <c r="F101" s="718"/>
      <c r="G101" s="718"/>
      <c r="H101" s="718"/>
      <c r="I101" s="718"/>
      <c r="J101" s="718"/>
      <c r="K101" s="719"/>
      <c r="L101" s="720"/>
      <c r="M101" s="72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9"/>
      <c r="B103" s="681">
        <f>B33</f>
        <v>111</v>
      </c>
      <c r="C103" s="688"/>
      <c r="D103" s="688"/>
      <c r="E103" s="688"/>
      <c r="F103" s="688"/>
      <c r="G103" s="722"/>
      <c r="H103" s="722"/>
      <c r="I103" s="722"/>
      <c r="J103" s="722"/>
      <c r="K103" s="723"/>
      <c r="L103" s="724"/>
      <c r="M103" s="725"/>
      <c r="N103" s="2149"/>
      <c r="O103" s="2149"/>
      <c r="P103" s="2150"/>
      <c r="Q103" s="2143"/>
      <c r="R103" s="2130"/>
      <c r="S103" s="2130"/>
      <c r="T103" s="2130"/>
      <c r="U103" s="2130"/>
      <c r="V103" s="2130"/>
      <c r="W103" s="2130"/>
      <c r="X103" s="2130"/>
      <c r="Y103" s="2130"/>
      <c r="Z103" s="2130"/>
      <c r="AA103" s="2130"/>
      <c r="AB103" s="2130"/>
      <c r="AC103" s="2130"/>
    </row>
    <row r="104" spans="1:29" ht="15.75" thickBot="1">
      <c r="A104" s="669"/>
      <c r="B104" s="699"/>
      <c r="C104" s="692"/>
      <c r="D104" s="671"/>
      <c r="E104" s="671"/>
      <c r="F104" s="671"/>
      <c r="G104" s="726"/>
      <c r="H104" s="726"/>
      <c r="I104" s="726"/>
      <c r="J104" s="726"/>
      <c r="K104" s="726"/>
      <c r="L104" s="726"/>
      <c r="M104" s="727"/>
      <c r="N104" s="2151"/>
      <c r="O104" s="2151"/>
      <c r="P104" s="2150"/>
      <c r="Q104" s="2143"/>
      <c r="R104" s="2130"/>
      <c r="S104" s="2130"/>
      <c r="T104" s="2130"/>
      <c r="U104" s="2130"/>
      <c r="V104" s="2130"/>
      <c r="W104" s="2130"/>
      <c r="X104" s="2130"/>
      <c r="Y104" s="2130"/>
      <c r="Z104" s="2130"/>
      <c r="AA104" s="2130"/>
      <c r="AB104" s="2130"/>
      <c r="AC104" s="2130"/>
    </row>
    <row r="105" spans="1:29" ht="15" thickTop="1">
      <c r="A105" s="587"/>
      <c r="B105" s="673">
        <f>B34</f>
        <v>111</v>
      </c>
      <c r="C105" s="688"/>
      <c r="D105" s="688"/>
      <c r="E105" s="688"/>
      <c r="F105" s="68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92"/>
      <c r="D106" s="692"/>
      <c r="E106" s="692"/>
      <c r="F106" s="692"/>
      <c r="G106" s="671"/>
      <c r="H106" s="671"/>
      <c r="I106" s="671"/>
      <c r="J106" s="671"/>
      <c r="K106" s="671"/>
      <c r="L106" s="671"/>
      <c r="M106" s="672"/>
      <c r="N106" s="2151"/>
      <c r="O106" s="2151"/>
      <c r="P106" s="2150"/>
      <c r="Q106" s="2143"/>
      <c r="R106" s="2130"/>
      <c r="S106" s="2130"/>
      <c r="T106" s="2130"/>
      <c r="U106" s="2130"/>
      <c r="V106" s="2130"/>
      <c r="W106" s="2130"/>
      <c r="X106" s="2130"/>
      <c r="Y106" s="2130"/>
      <c r="Z106" s="2130"/>
      <c r="AA106" s="2130"/>
      <c r="AB106" s="2130"/>
      <c r="AC106" s="2130"/>
    </row>
    <row r="107" spans="1:29" s="1335" customFormat="1" ht="15" thickTop="1">
      <c r="A107" s="728"/>
      <c r="B107" s="729">
        <f>B35</f>
        <v>111</v>
      </c>
      <c r="C107" s="661"/>
      <c r="D107" s="661"/>
      <c r="E107" s="661"/>
      <c r="F107" s="661"/>
      <c r="G107" s="730"/>
      <c r="H107" s="730"/>
      <c r="I107" s="730"/>
      <c r="J107" s="731"/>
      <c r="K107" s="731"/>
      <c r="L107" s="732"/>
      <c r="M107" s="733"/>
      <c r="N107" s="2152"/>
      <c r="O107" s="2152"/>
      <c r="P107" s="2153"/>
      <c r="Q107" s="2154"/>
      <c r="R107" s="2155"/>
      <c r="S107" s="2155"/>
      <c r="T107" s="2155"/>
      <c r="U107" s="2155"/>
      <c r="V107" s="2155"/>
      <c r="W107" s="2155"/>
      <c r="X107" s="2155"/>
      <c r="Y107" s="2155"/>
      <c r="Z107" s="2155"/>
      <c r="AA107" s="2155"/>
      <c r="AB107" s="2155"/>
      <c r="AC107" s="2155"/>
    </row>
    <row r="108" spans="1:29" s="1335" customFormat="1" ht="15.75" thickBot="1">
      <c r="A108" s="687"/>
      <c r="B108" s="681"/>
      <c r="C108" s="700"/>
      <c r="D108" s="700"/>
      <c r="E108" s="700"/>
      <c r="F108" s="700"/>
      <c r="G108" s="592"/>
      <c r="H108" s="592"/>
      <c r="I108" s="592"/>
      <c r="J108" s="592"/>
      <c r="K108" s="592"/>
      <c r="L108" s="592"/>
      <c r="M108" s="734"/>
      <c r="N108" s="2151"/>
      <c r="O108" s="2151"/>
      <c r="P108" s="2153"/>
      <c r="Q108" s="2154"/>
      <c r="R108" s="2155"/>
      <c r="S108" s="2155"/>
      <c r="T108" s="2155"/>
      <c r="U108" s="2155"/>
      <c r="V108" s="2155"/>
      <c r="W108" s="2155"/>
      <c r="X108" s="2155"/>
      <c r="Y108" s="2155"/>
      <c r="Z108" s="2155"/>
      <c r="AA108" s="2155"/>
      <c r="AB108" s="2155"/>
      <c r="AC108" s="2155"/>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0" t="str">
        <f t="shared" si="25"/>
        <v>(含)-</v>
      </c>
      <c r="L109" s="3041" t="str">
        <f t="shared" si="25"/>
        <v>(含)-</v>
      </c>
      <c r="M109" s="3042"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9"/>
      <c r="B110" s="681"/>
      <c r="C110" s="730"/>
      <c r="D110" s="730"/>
      <c r="E110" s="730"/>
      <c r="F110" s="730"/>
      <c r="G110" s="730"/>
      <c r="H110" s="730"/>
      <c r="I110" s="730"/>
      <c r="J110" s="731"/>
      <c r="K110" s="731"/>
      <c r="L110" s="732"/>
      <c r="M110" s="733"/>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00"/>
      <c r="D111" s="726"/>
      <c r="E111" s="726"/>
      <c r="F111" s="726"/>
      <c r="G111" s="726"/>
      <c r="H111" s="726"/>
      <c r="I111" s="726"/>
      <c r="J111" s="726"/>
      <c r="K111" s="726"/>
      <c r="L111" s="726"/>
      <c r="M111" s="727"/>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73" t="s">
        <v>594</v>
      </c>
      <c r="C112" s="718"/>
      <c r="D112" s="718"/>
      <c r="E112" s="718"/>
      <c r="F112" s="718"/>
      <c r="G112" s="718"/>
      <c r="H112" s="718"/>
      <c r="I112" s="718"/>
      <c r="J112" s="718"/>
      <c r="K112" s="719"/>
      <c r="L112" s="720"/>
      <c r="M112" s="721"/>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1"/>
      <c r="O113" s="2151"/>
      <c r="P113" s="2150"/>
      <c r="Q113" s="2143"/>
      <c r="R113" s="2130"/>
      <c r="S113" s="2130"/>
      <c r="T113" s="2130"/>
      <c r="U113" s="2130"/>
      <c r="V113" s="2130"/>
      <c r="W113" s="2130"/>
      <c r="X113" s="2130"/>
      <c r="Y113" s="2130"/>
      <c r="Z113" s="2130"/>
      <c r="AA113" s="2130"/>
      <c r="AB113" s="2130"/>
      <c r="AC113" s="2130"/>
    </row>
    <row r="114" spans="1:29" s="1335" customFormat="1" ht="15" thickTop="1">
      <c r="A114" s="728"/>
      <c r="B114" s="1881" t="s">
        <v>2424</v>
      </c>
      <c r="C114" s="1372"/>
      <c r="D114" s="1372"/>
      <c r="E114" s="1372"/>
      <c r="F114" s="1372"/>
      <c r="G114" s="1372"/>
      <c r="H114" s="718"/>
      <c r="I114" s="718"/>
      <c r="J114" s="718"/>
      <c r="K114" s="719"/>
      <c r="L114" s="720"/>
      <c r="M114" s="721"/>
      <c r="N114" s="2152"/>
      <c r="O114" s="2152"/>
      <c r="P114" s="2153"/>
      <c r="Q114" s="2154"/>
      <c r="R114" s="2155"/>
      <c r="S114" s="2155"/>
      <c r="T114" s="2155"/>
      <c r="U114" s="2155"/>
      <c r="V114" s="2155"/>
      <c r="W114" s="2155"/>
      <c r="X114" s="2155"/>
      <c r="Y114" s="2155"/>
      <c r="Z114" s="2155"/>
      <c r="AA114" s="2155"/>
      <c r="AB114" s="2155"/>
      <c r="AC114" s="2155"/>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5"/>
      <c r="B116" s="673" t="s">
        <v>596</v>
      </c>
      <c r="C116" s="688"/>
      <c r="D116" s="688"/>
      <c r="E116" s="718"/>
      <c r="F116" s="718"/>
      <c r="G116" s="71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f>B40</f>
        <v>111</v>
      </c>
      <c r="C118" s="688"/>
      <c r="D118" s="688"/>
      <c r="E118" s="688"/>
      <c r="F118" s="688"/>
      <c r="G118" s="68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ht="15" thickTop="1">
      <c r="A120" s="735"/>
      <c r="B120" s="673">
        <f>B41</f>
        <v>111</v>
      </c>
      <c r="C120" s="688"/>
      <c r="D120" s="688"/>
      <c r="E120" s="688"/>
      <c r="F120" s="688"/>
      <c r="G120" s="718"/>
      <c r="H120" s="718"/>
      <c r="I120" s="718"/>
      <c r="J120" s="718"/>
      <c r="K120" s="719"/>
      <c r="L120" s="720"/>
      <c r="M120" s="721"/>
      <c r="N120" s="2149"/>
      <c r="O120" s="2149"/>
      <c r="P120" s="2150"/>
      <c r="Q120" s="2143"/>
      <c r="R120" s="2130"/>
      <c r="S120" s="2130"/>
      <c r="T120" s="2130"/>
      <c r="U120" s="2130"/>
      <c r="V120" s="2130"/>
      <c r="W120" s="2130"/>
      <c r="X120" s="2130"/>
      <c r="Y120" s="2130"/>
      <c r="Z120" s="2130"/>
      <c r="AA120" s="2130"/>
      <c r="AB120" s="2130"/>
      <c r="AC120" s="2130"/>
    </row>
    <row r="121" spans="1:29" ht="15.75" thickBot="1">
      <c r="A121" s="669"/>
      <c r="B121" s="678"/>
      <c r="C121" s="692"/>
      <c r="D121" s="692"/>
      <c r="E121" s="692"/>
      <c r="F121" s="692"/>
      <c r="G121" s="671"/>
      <c r="H121" s="671"/>
      <c r="I121" s="671"/>
      <c r="J121" s="671"/>
      <c r="K121" s="671"/>
      <c r="L121" s="671"/>
      <c r="M121" s="672"/>
      <c r="N121" s="2151"/>
      <c r="O121" s="2151"/>
      <c r="P121" s="2150"/>
      <c r="Q121" s="2143"/>
      <c r="R121" s="2130"/>
      <c r="S121" s="2130"/>
      <c r="T121" s="2130"/>
      <c r="U121" s="2130"/>
      <c r="V121" s="2130"/>
      <c r="W121" s="2130"/>
      <c r="X121" s="2130"/>
      <c r="Y121" s="2130"/>
      <c r="Z121" s="2130"/>
      <c r="AA121" s="2130"/>
      <c r="AB121" s="2130"/>
      <c r="AC121" s="2130"/>
    </row>
    <row r="122" spans="1:29" s="1335" customFormat="1" ht="15" thickTop="1">
      <c r="A122" s="728"/>
      <c r="B122" s="673">
        <f>B42</f>
        <v>111</v>
      </c>
      <c r="C122" s="661"/>
      <c r="D122" s="661"/>
      <c r="E122" s="661"/>
      <c r="F122" s="661"/>
      <c r="G122" s="689"/>
      <c r="H122" s="689"/>
      <c r="I122" s="689"/>
      <c r="J122" s="689"/>
      <c r="K122" s="689"/>
      <c r="L122" s="690"/>
      <c r="M122" s="691"/>
      <c r="N122" s="2152"/>
      <c r="O122" s="2152"/>
      <c r="P122" s="2153"/>
      <c r="Q122" s="2154"/>
      <c r="R122" s="2155"/>
      <c r="S122" s="2155"/>
      <c r="T122" s="2155"/>
      <c r="U122" s="2155"/>
      <c r="V122" s="2155"/>
      <c r="W122" s="2155"/>
      <c r="X122" s="2155"/>
      <c r="Y122" s="2155"/>
      <c r="Z122" s="2155"/>
      <c r="AA122" s="2155"/>
      <c r="AB122" s="2155"/>
      <c r="AC122" s="2155"/>
    </row>
    <row r="123" spans="1:29" s="1335" customFormat="1" ht="15.75" thickBot="1">
      <c r="A123" s="698"/>
      <c r="B123" s="736"/>
      <c r="C123" s="700"/>
      <c r="D123" s="700"/>
      <c r="E123" s="700"/>
      <c r="F123" s="700"/>
      <c r="G123" s="726"/>
      <c r="H123" s="726"/>
      <c r="I123" s="726"/>
      <c r="J123" s="726"/>
      <c r="K123" s="726"/>
      <c r="L123" s="726"/>
      <c r="M123" s="727"/>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C126" sqref="C126:F131"/>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1694</v>
      </c>
      <c r="B1" s="1396"/>
      <c r="C1" s="1402" t="s">
        <v>2425</v>
      </c>
      <c r="D1" s="1508">
        <f>SUM(D29:D30,D33:D39)</f>
        <v>0</v>
      </c>
      <c r="E1" s="1402" t="s">
        <v>2426</v>
      </c>
      <c r="F1" s="2416"/>
      <c r="G1" s="1397"/>
      <c r="H1" s="1397"/>
      <c r="I1" s="1397"/>
      <c r="J1" s="1397"/>
      <c r="K1" s="1397"/>
      <c r="L1" s="1867" t="s">
        <v>2238</v>
      </c>
      <c r="M1" s="1868">
        <f>SUMPRODUCT((区片价!B5:B9=I2)*(区片价!C3:F3=E2)*(区片价!C5:F9))</f>
        <v>0</v>
      </c>
      <c r="N1" s="1869">
        <f>SUMPRODUCT((因素修正幅度!B5:B9=I2)*(因素修正幅度!C3:F3=E2)*(因素修正幅度!C5:F9))</f>
        <v>0</v>
      </c>
      <c r="O1" s="1397"/>
      <c r="P1" s="1397"/>
      <c r="Q1" s="2174"/>
      <c r="R1" s="2891" t="s">
        <v>2759</v>
      </c>
      <c r="S1" s="2891" t="s">
        <v>2760</v>
      </c>
      <c r="T1" s="2891" t="s">
        <v>2781</v>
      </c>
      <c r="U1" s="2891" t="s">
        <v>2782</v>
      </c>
      <c r="V1" s="2891" t="s">
        <v>2783</v>
      </c>
      <c r="W1" s="2174"/>
      <c r="X1" s="2174"/>
      <c r="Y1" s="2174"/>
      <c r="Z1" s="2174"/>
      <c r="AA1" s="2174"/>
      <c r="AB1" s="2174"/>
      <c r="AC1" s="2175"/>
    </row>
    <row r="2" spans="1:39" ht="15.75">
      <c r="A2" s="1402" t="s">
        <v>920</v>
      </c>
      <c r="B2" s="1038" t="e">
        <f>C26</f>
        <v>#DIV/0!</v>
      </c>
      <c r="C2" s="1403" t="s">
        <v>921</v>
      </c>
      <c r="D2" s="1404" t="s">
        <v>922</v>
      </c>
      <c r="E2" s="1405"/>
      <c r="F2" s="1404" t="s">
        <v>924</v>
      </c>
      <c r="G2" s="1637">
        <f>IF(E2="商业",项目基本情况!B43,IF(E2="办公",项目基本情况!C43,IF(E2="住宅",项目基本情况!D43,项目基本情况!E43)))</f>
        <v>0</v>
      </c>
      <c r="H2" s="1404" t="s">
        <v>926</v>
      </c>
      <c r="I2" s="1638">
        <f>IF(E2="商业",项目基本情况!B44,IF(E2="办公",项目基本情况!C44,IF(E2="住宅",项目基本情况!D44,项目基本情况!E44)))</f>
        <v>0</v>
      </c>
      <c r="J2" s="1406"/>
      <c r="K2" s="1406"/>
      <c r="L2" s="1870" t="s">
        <v>2239</v>
      </c>
      <c r="M2" s="1871">
        <f>SUMPRODUCT((区片价!B10:B28=I2)*(区片价!C3:F3=E2)*(区片价!C10:F28))</f>
        <v>0</v>
      </c>
      <c r="N2" s="1872">
        <f>SUMPRODUCT((因素修正幅度!B10:B28=I2)*(因素修正幅度!C3:F3=E2)*(因素修正幅度!C10:F28))</f>
        <v>0</v>
      </c>
      <c r="O2" s="1406"/>
      <c r="P2" s="1397"/>
      <c r="Q2" s="2174"/>
      <c r="R2" s="2892">
        <v>1</v>
      </c>
      <c r="S2" s="2892" t="e">
        <f>ROUND(IF(G3&gt;1,IF(R2&lt;7,SUMPRODUCT((B93:B98=R2)*(C92:N92=G2)*(C93:N98)),SUMIF(C92:N92,G2,C100:N100)),IF(R2&lt;7,SUMPRODUCT((B102:B107=R2)*(C92:N92=G2)*(C102:N107)),SUMIF(C92:N92,G2,C109:N109))),4)</f>
        <v>#DIV/0!</v>
      </c>
      <c r="T2" s="2892" t="e">
        <f>ROUND($C$5*$C$18*$C$19*$C$20*S2*$C$24,0)</f>
        <v>#DIV/0!</v>
      </c>
      <c r="U2" s="2881"/>
      <c r="V2" s="2892" t="e">
        <f>ROUND(T2*U2/10000,0)</f>
        <v>#DIV/0!</v>
      </c>
      <c r="W2" s="2174"/>
      <c r="X2" s="2174"/>
      <c r="Y2" s="2174"/>
      <c r="Z2" s="2174"/>
      <c r="AA2" s="2174"/>
      <c r="AB2" s="2174"/>
      <c r="AC2" s="2175"/>
    </row>
    <row r="3" spans="1:39" ht="15.75">
      <c r="A3" s="1407" t="s">
        <v>1687</v>
      </c>
      <c r="B3" s="1038" t="e">
        <f>ROUND(B2*10000/D1,0)</f>
        <v>#DIV/0!</v>
      </c>
      <c r="C3" s="1403" t="s">
        <v>927</v>
      </c>
      <c r="D3" s="1404" t="s">
        <v>928</v>
      </c>
      <c r="E3" s="1408"/>
      <c r="F3" s="1409"/>
      <c r="G3" s="1039">
        <f>IF(F3="宗地容积率",'数据-汇总表'!I4,IF(F3="估价对象容积率",'数据-汇总表'!I6,'数据-汇总表'!I7))</f>
        <v>0</v>
      </c>
      <c r="H3" s="1410" t="s">
        <v>929</v>
      </c>
      <c r="I3" s="1040">
        <v>8</v>
      </c>
      <c r="J3" s="1406" t="s">
        <v>930</v>
      </c>
      <c r="K3" s="1406"/>
      <c r="L3" s="1870" t="s">
        <v>2240</v>
      </c>
      <c r="M3" s="1871">
        <f>SUMPRODUCT((区片价!B29:B48=I2)*(区片价!C3:F3=E2)*(区片价!C29:F48))</f>
        <v>0</v>
      </c>
      <c r="N3" s="1872">
        <f>SUMPRODUCT((因素修正幅度!B29:B48=I2)*(因素修正幅度!C3:F3=E2)*(因素修正幅度!C29:F48))</f>
        <v>0</v>
      </c>
      <c r="O3" s="1406"/>
      <c r="P3" s="1397"/>
      <c r="Q3" s="2174"/>
      <c r="R3" s="2892">
        <v>2</v>
      </c>
      <c r="S3" s="2892" t="e">
        <f>ROUND(IF(G3&gt;1,IF(R3&lt;7,SUMPRODUCT((B93:B98=R3)*(C92:N92=G2)*(C93:N98)),SUMIF(C92:N92,G2,C100:N100)),IF(R3&lt;7,SUMPRODUCT((B102:B107=R3)*(C92:N92=G2)*(C102:N107)),SUMIF(C92:N92,G2,C109:N109))),4)</f>
        <v>#DIV/0!</v>
      </c>
      <c r="T3" s="2892" t="e">
        <f t="shared" ref="T3:T16" si="0">ROUND($C$5*$C$18*$C$19*$C$20*S3*$C$24,0)</f>
        <v>#DIV/0!</v>
      </c>
      <c r="U3" s="2881"/>
      <c r="V3" s="2892" t="e">
        <f t="shared" ref="V3:V16" si="1">ROUND(T3*U3/10000,0)</f>
        <v>#DIV/0!</v>
      </c>
      <c r="W3" s="2174"/>
      <c r="X3" s="2174"/>
      <c r="Y3" s="2174"/>
      <c r="Z3" s="2174"/>
      <c r="AA3" s="2174"/>
      <c r="AB3" s="2174"/>
      <c r="AC3" s="2175"/>
    </row>
    <row r="4" spans="1:39" ht="28.5">
      <c r="A4" s="1876" t="s">
        <v>2280</v>
      </c>
      <c r="B4" s="2417" t="e">
        <f>ROUND(B2*10000/F1,0)</f>
        <v>#DIV/0!</v>
      </c>
      <c r="C4" s="1879" t="s">
        <v>2254</v>
      </c>
      <c r="D4" s="1879" t="e">
        <f>ROUND(B2/(F1/666.67),0)</f>
        <v>#DIV/0!</v>
      </c>
      <c r="E4" s="1879" t="s">
        <v>2255</v>
      </c>
      <c r="F4" s="1877"/>
      <c r="G4" s="1877"/>
      <c r="H4" s="1877"/>
      <c r="I4" s="1877"/>
      <c r="J4" s="1878"/>
      <c r="K4" s="3144"/>
      <c r="L4" s="1870" t="s">
        <v>2241</v>
      </c>
      <c r="M4" s="1871">
        <f>SUMPRODUCT((区片价!B49:B75=I2)*(区片价!C3:F3=E2)*(区片价!C49:F75))</f>
        <v>0</v>
      </c>
      <c r="N4" s="1872">
        <f>SUMPRODUCT((因素修正幅度!B49:B75=I2)*(因素修正幅度!C3:F3=E2)*(因素修正幅度!C49:F75))</f>
        <v>0</v>
      </c>
      <c r="O4" s="3144"/>
      <c r="P4" s="1397"/>
      <c r="Q4" s="2174"/>
      <c r="R4" s="2892">
        <v>3</v>
      </c>
      <c r="S4" s="2892" t="e">
        <f>ROUND(IF(G3&gt;1,IF(R4&lt;7,SUMPRODUCT((B93:B98=R4)*(C92:N92=G2)*(C93:N98)),SUMIF(C92:N92,G2,C100:N100)),IF(R4&lt;7,SUMPRODUCT((B102:B107=R4)*(C92:N92=G2)*(C102:N107)),SUMIF(C92:N92,G2,C109:N109))),4)</f>
        <v>#DIV/0!</v>
      </c>
      <c r="T4" s="2892" t="e">
        <f t="shared" si="0"/>
        <v>#DIV/0!</v>
      </c>
      <c r="U4" s="2881"/>
      <c r="V4" s="2892" t="e">
        <f t="shared" si="1"/>
        <v>#DIV/0!</v>
      </c>
      <c r="W4" s="2174"/>
      <c r="X4" s="2174"/>
      <c r="Y4" s="2174"/>
      <c r="Z4" s="2174"/>
      <c r="AA4" s="2174"/>
      <c r="AB4" s="2174"/>
      <c r="AC4" s="2175"/>
    </row>
    <row r="5" spans="1:39" s="1417" customFormat="1" ht="15.75" thickBot="1">
      <c r="A5" s="1623" t="s">
        <v>1823</v>
      </c>
      <c r="B5" s="1411" t="s">
        <v>931</v>
      </c>
      <c r="C5" s="1041" t="e">
        <f>ROUND(IF(E2="商业",C6*C7+C16,(IF(E2="住宅",C6*C12+C16,C6+C16))),0)</f>
        <v>#DIV/0!</v>
      </c>
      <c r="D5" s="3068" t="e">
        <f>ROUND(C6+C16,0)</f>
        <v>#DIV/0!</v>
      </c>
      <c r="E5" s="3068"/>
      <c r="F5" s="1412"/>
      <c r="G5" s="1413"/>
      <c r="H5" s="1413"/>
      <c r="I5" s="1413"/>
      <c r="J5" s="1414"/>
      <c r="K5" s="3145"/>
      <c r="L5" s="1870" t="s">
        <v>2242</v>
      </c>
      <c r="M5" s="1871">
        <f>SUMPRODUCT((区片价!B76:B109=I2)*(区片价!C3:F3=E2)*(区片价!C76:F109))</f>
        <v>0</v>
      </c>
      <c r="N5" s="1872">
        <f>SUMPRODUCT((因素修正幅度!B76:B109=I2)*(因素修正幅度!C3:F3=E2)*(因素修正幅度!C76:F109))</f>
        <v>0</v>
      </c>
      <c r="O5" s="3145"/>
      <c r="P5" s="1580"/>
      <c r="Q5" s="2174"/>
      <c r="R5" s="2892">
        <v>4</v>
      </c>
      <c r="S5" s="2892" t="e">
        <f>ROUND(IF(G3&gt;1,IF(R5&lt;7,SUMPRODUCT((B93:B98=R5)*(C92:N92=G2)*(C93:N98)),SUMIF(C92:N92,G2,C100:N100)),IF(R5&lt;7,SUMPRODUCT((B102:B107=R5)*(C92:N92=G2)*(C102:N107)),SUMIF(C92:N92,G2,C109:N109))),4)</f>
        <v>#DIV/0!</v>
      </c>
      <c r="T5" s="2892" t="e">
        <f t="shared" si="0"/>
        <v>#DIV/0!</v>
      </c>
      <c r="U5" s="2881"/>
      <c r="V5" s="2892" t="e">
        <f t="shared" si="1"/>
        <v>#DIV/0!</v>
      </c>
      <c r="W5" s="2174"/>
      <c r="X5" s="2174"/>
      <c r="Y5" s="2174"/>
      <c r="Z5" s="2174"/>
      <c r="AA5" s="2174"/>
      <c r="AB5" s="2174"/>
      <c r="AC5" s="2176"/>
      <c r="AD5" s="1415"/>
      <c r="AE5" s="1415"/>
      <c r="AF5" s="1415"/>
      <c r="AG5" s="1415"/>
      <c r="AH5" s="1415"/>
      <c r="AI5" s="1415"/>
      <c r="AJ5" s="1416"/>
      <c r="AK5" s="1416"/>
      <c r="AL5" s="1416"/>
      <c r="AM5" s="1416"/>
    </row>
    <row r="6" spans="1:39" ht="15.75" thickBot="1">
      <c r="A6" s="1624" t="s">
        <v>1870</v>
      </c>
      <c r="B6" s="1418" t="s">
        <v>931</v>
      </c>
      <c r="C6" s="1042">
        <f>SUMIF(L1:L12,基准地价!G2,M1:M12)</f>
        <v>0</v>
      </c>
      <c r="D6" s="1419" t="s">
        <v>1695</v>
      </c>
      <c r="E6" s="1420"/>
      <c r="F6" s="1420"/>
      <c r="G6" s="1421"/>
      <c r="H6" s="1421"/>
      <c r="I6" s="1421"/>
      <c r="J6" s="1422"/>
      <c r="K6" s="1452"/>
      <c r="L6" s="1870" t="s">
        <v>2243</v>
      </c>
      <c r="M6" s="1871">
        <f>SUMPRODUCT((区片价!B110:B157=I2)*(区片价!C3:F3=E2)*(区片价!C110:F157))</f>
        <v>0</v>
      </c>
      <c r="N6" s="1872">
        <f>SUMPRODUCT((因素修正幅度!B110:B157=I2)*(因素修正幅度!C3:F3=E2)*(因素修正幅度!C110:F157))</f>
        <v>0</v>
      </c>
      <c r="O6" s="1452"/>
      <c r="P6" s="1581"/>
      <c r="Q6" s="2174"/>
      <c r="R6" s="2892">
        <v>5</v>
      </c>
      <c r="S6" s="2892" t="e">
        <f>ROUND(IF(G3&gt;1,IF(R6&lt;7,SUMPRODUCT((B93:B98=R6)*(C92:N92=G2)*(C93:N98)),SUMIF(C92:N92,G2,C100:N100)),IF(R6&lt;7,SUMPRODUCT((B102:B107=R6)*(C92:N92=G2)*(C102:N107)),SUMIF(C92:N92,G2,C109:N109))),4)</f>
        <v>#DIV/0!</v>
      </c>
      <c r="T6" s="2892" t="e">
        <f t="shared" si="0"/>
        <v>#DIV/0!</v>
      </c>
      <c r="U6" s="2881"/>
      <c r="V6" s="2892" t="e">
        <f t="shared" si="1"/>
        <v>#DIV/0!</v>
      </c>
      <c r="W6" s="2174"/>
      <c r="X6" s="2174"/>
      <c r="Y6" s="2174"/>
      <c r="Z6" s="2174"/>
      <c r="AA6" s="2174"/>
      <c r="AB6" s="2174"/>
      <c r="AC6" s="2176"/>
      <c r="AD6" s="1415"/>
      <c r="AE6" s="1415"/>
      <c r="AF6" s="1415"/>
      <c r="AG6" s="1415"/>
      <c r="AH6" s="1415"/>
      <c r="AI6" s="1415"/>
      <c r="AJ6" s="1416"/>
    </row>
    <row r="7" spans="1:39" ht="24">
      <c r="A7" s="3486" t="str">
        <f>IF(E2="商业",IF(C8="不临58条商业街","",2),"")</f>
        <v/>
      </c>
      <c r="B7" s="1423" t="s">
        <v>932</v>
      </c>
      <c r="C7" s="1043" t="e">
        <f>IF(C8="不临58条商业街",1,ROUND(1+(1.6*E8+1.2*E9+0.8*E10+0.4*E11)*C9,4))</f>
        <v>#DIV/0!</v>
      </c>
      <c r="D7" s="1424" t="s">
        <v>933</v>
      </c>
      <c r="E7" s="1044"/>
      <c r="F7" s="1425"/>
      <c r="G7" s="1426"/>
      <c r="H7" s="1426"/>
      <c r="I7" s="1426"/>
      <c r="J7" s="1427"/>
      <c r="K7" s="1452"/>
      <c r="L7" s="1870" t="s">
        <v>2244</v>
      </c>
      <c r="M7" s="1871">
        <f>SUMPRODUCT((区片价!B158:B205=I2)*(区片价!C3:F3=E2)*(区片价!C158:F205))</f>
        <v>0</v>
      </c>
      <c r="N7" s="1872">
        <f>SUMPRODUCT((因素修正幅度!B158:B205=I2)*(因素修正幅度!C3:F3=E2)*(因素修正幅度!C158:F205))</f>
        <v>0</v>
      </c>
      <c r="O7" s="1452"/>
      <c r="P7" s="1581"/>
      <c r="Q7" s="2174"/>
      <c r="R7" s="2892">
        <v>6</v>
      </c>
      <c r="S7" s="2892" t="e">
        <f>ROUND(IF(G3&gt;1,IF(R7&lt;7,SUMPRODUCT((B93:B98=R7)*(C92:N92=G2)*(C93:N98)),SUMIF(C92:N92,G2,C100:N100)),IF(R7&lt;7,SUMPRODUCT((B102:B107=R7)*(C92:N92=G2)*(C102:N107)),SUMIF(C92:N92,G2,C109:N109))),4)</f>
        <v>#DIV/0!</v>
      </c>
      <c r="T7" s="2892" t="e">
        <f t="shared" si="0"/>
        <v>#DIV/0!</v>
      </c>
      <c r="U7" s="2881"/>
      <c r="V7" s="2892" t="e">
        <f t="shared" si="1"/>
        <v>#DIV/0!</v>
      </c>
      <c r="W7" s="2890" t="s">
        <v>2762</v>
      </c>
      <c r="X7" s="2882">
        <f>G2</f>
        <v>0</v>
      </c>
      <c r="Y7" s="2882" t="s">
        <v>2763</v>
      </c>
      <c r="Z7" s="2883">
        <f>G3</f>
        <v>0</v>
      </c>
      <c r="AA7" s="2177"/>
      <c r="AB7" s="2177"/>
      <c r="AC7" s="2178"/>
      <c r="AD7" s="2884"/>
      <c r="AE7" s="2884"/>
      <c r="AF7" s="2884"/>
      <c r="AG7" s="2884"/>
      <c r="AH7" s="2884"/>
      <c r="AI7" s="2884"/>
      <c r="AJ7" s="2885"/>
    </row>
    <row r="8" spans="1:39" ht="15">
      <c r="A8" s="3487"/>
      <c r="B8" s="1410" t="s">
        <v>934</v>
      </c>
      <c r="C8" s="1516"/>
      <c r="D8" s="1045" t="s">
        <v>935</v>
      </c>
      <c r="E8" s="1046" t="e">
        <f>ROUND(C11/E7,4)</f>
        <v>#DIV/0!</v>
      </c>
      <c r="F8" s="1428" t="s">
        <v>936</v>
      </c>
      <c r="G8" s="1429"/>
      <c r="H8" s="1429"/>
      <c r="I8" s="1429"/>
      <c r="J8" s="1430"/>
      <c r="K8" s="1452"/>
      <c r="L8" s="1870" t="s">
        <v>2245</v>
      </c>
      <c r="M8" s="1871">
        <f>SUMPRODUCT((区片价!B206:B244=I2)*(区片价!C3:F3=E2)*(区片价!C206:F244))</f>
        <v>0</v>
      </c>
      <c r="N8" s="1872">
        <f>SUMPRODUCT((因素修正幅度!B206:B244=I2)*(因素修正幅度!C3:F3=E2)*(因素修正幅度!C206:F244))</f>
        <v>0</v>
      </c>
      <c r="O8" s="1452"/>
      <c r="P8" s="1397"/>
      <c r="Q8" s="2174"/>
      <c r="R8" s="2892">
        <v>7</v>
      </c>
      <c r="S8" s="2881"/>
      <c r="T8" s="2892" t="e">
        <f t="shared" si="0"/>
        <v>#DIV/0!</v>
      </c>
      <c r="U8" s="2881"/>
      <c r="V8" s="2892" t="e">
        <f t="shared" si="1"/>
        <v>#DIV/0!</v>
      </c>
      <c r="W8" s="3476" t="s">
        <v>2780</v>
      </c>
      <c r="X8" s="3477"/>
      <c r="Y8" s="1834" t="s">
        <v>2764</v>
      </c>
      <c r="Z8" s="1834" t="s">
        <v>2765</v>
      </c>
      <c r="AA8" s="1834" t="s">
        <v>2766</v>
      </c>
      <c r="AB8" s="1834" t="s">
        <v>2767</v>
      </c>
      <c r="AC8" s="1834" t="s">
        <v>2768</v>
      </c>
      <c r="AD8" s="1834" t="s">
        <v>2769</v>
      </c>
      <c r="AE8" s="1834" t="s">
        <v>2770</v>
      </c>
      <c r="AF8" s="1834" t="s">
        <v>2771</v>
      </c>
      <c r="AG8" s="1834" t="s">
        <v>2772</v>
      </c>
      <c r="AH8" s="1834" t="s">
        <v>2773</v>
      </c>
      <c r="AI8" s="1834" t="s">
        <v>2774</v>
      </c>
      <c r="AJ8" s="1834" t="s">
        <v>2775</v>
      </c>
    </row>
    <row r="9" spans="1:39" ht="15">
      <c r="A9" s="3487"/>
      <c r="B9" s="1410" t="s">
        <v>937</v>
      </c>
      <c r="C9" s="1047">
        <f>SUMIF(修正!C59:C119,C8,修正!E59:E119)</f>
        <v>0</v>
      </c>
      <c r="D9" s="1048" t="s">
        <v>938</v>
      </c>
      <c r="E9" s="1048" t="e">
        <f>ROUND(C11/E7,4)</f>
        <v>#DIV/0!</v>
      </c>
      <c r="F9" s="1428" t="s">
        <v>939</v>
      </c>
      <c r="G9" s="1429"/>
      <c r="H9" s="1429"/>
      <c r="I9" s="1429"/>
      <c r="J9" s="1430"/>
      <c r="K9" s="1452"/>
      <c r="L9" s="1870" t="s">
        <v>2246</v>
      </c>
      <c r="M9" s="1871">
        <f>SUMPRODUCT((区片价!B245:B289=I2)*(区片价!C3:F3=E2)*(区片价!C245:F289))</f>
        <v>0</v>
      </c>
      <c r="N9" s="1872">
        <f>SUMPRODUCT((因素修正幅度!B245:B289=I2)*(因素修正幅度!C3:F3=E2)*(因素修正幅度!C245:F289))</f>
        <v>0</v>
      </c>
      <c r="O9" s="1452"/>
      <c r="P9" s="1397"/>
      <c r="Q9" s="2174"/>
      <c r="R9" s="2892">
        <v>8</v>
      </c>
      <c r="S9" s="2881"/>
      <c r="T9" s="2892" t="e">
        <f t="shared" si="0"/>
        <v>#DIV/0!</v>
      </c>
      <c r="U9" s="2881"/>
      <c r="V9" s="2892" t="e">
        <f t="shared" si="1"/>
        <v>#DIV/0!</v>
      </c>
      <c r="W9" s="3475" t="s">
        <v>2776</v>
      </c>
      <c r="X9" s="2886" t="s">
        <v>2777</v>
      </c>
      <c r="Y9" s="3046"/>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87"/>
      <c r="B10" s="1410" t="s">
        <v>940</v>
      </c>
      <c r="C10" s="1048">
        <f>SUMIF(修正!C59:C119,C8,修正!F59:F119)</f>
        <v>0</v>
      </c>
      <c r="D10" s="1048" t="s">
        <v>941</v>
      </c>
      <c r="E10" s="1048" t="e">
        <f>ROUND(C11/E7,4)</f>
        <v>#DIV/0!</v>
      </c>
      <c r="F10" s="1428" t="s">
        <v>942</v>
      </c>
      <c r="G10" s="1429"/>
      <c r="H10" s="1429"/>
      <c r="I10" s="1429"/>
      <c r="J10" s="1430"/>
      <c r="K10" s="1452"/>
      <c r="L10" s="1870" t="s">
        <v>2247</v>
      </c>
      <c r="M10" s="1871">
        <f>SUMPRODUCT((区片价!B290:B316=I2)*(区片价!C3:F3=E2)*(区片价!C290:F316))</f>
        <v>0</v>
      </c>
      <c r="N10" s="1872">
        <f>SUMPRODUCT((因素修正幅度!B290:B316=I2)*(因素修正幅度!C3:F3=E2)*(因素修正幅度!C290:F316))</f>
        <v>0</v>
      </c>
      <c r="O10" s="1452"/>
      <c r="P10" s="1397"/>
      <c r="Q10" s="2174"/>
      <c r="R10" s="2892">
        <v>9</v>
      </c>
      <c r="S10" s="2881"/>
      <c r="T10" s="2892" t="e">
        <f t="shared" si="0"/>
        <v>#DIV/0!</v>
      </c>
      <c r="U10" s="2881"/>
      <c r="V10" s="2892" t="e">
        <f t="shared" si="1"/>
        <v>#DIV/0!</v>
      </c>
      <c r="W10" s="3475"/>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87"/>
      <c r="B11" s="1431" t="s">
        <v>943</v>
      </c>
      <c r="C11" s="1049">
        <f>C10/4</f>
        <v>0</v>
      </c>
      <c r="D11" s="1049" t="s">
        <v>944</v>
      </c>
      <c r="E11" s="1049" t="e">
        <f>ROUND(C11/E7,4)</f>
        <v>#DIV/0!</v>
      </c>
      <c r="F11" s="1432" t="s">
        <v>945</v>
      </c>
      <c r="G11" s="1433"/>
      <c r="H11" s="1433"/>
      <c r="I11" s="1433"/>
      <c r="J11" s="1434"/>
      <c r="K11" s="1452"/>
      <c r="L11" s="1870" t="s">
        <v>2248</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t="e">
        <f t="shared" si="0"/>
        <v>#DIV/0!</v>
      </c>
      <c r="U11" s="2881"/>
      <c r="V11" s="2892" t="e">
        <f t="shared" si="1"/>
        <v>#DIV/0!</v>
      </c>
      <c r="W11" s="3475" t="s">
        <v>2778</v>
      </c>
      <c r="X11" s="1048" t="s">
        <v>2763</v>
      </c>
      <c r="Y11" s="1638">
        <f>$G$3</f>
        <v>0</v>
      </c>
      <c r="Z11" s="1638">
        <f t="shared" ref="Z11:AJ11" si="3">$G$3</f>
        <v>0</v>
      </c>
      <c r="AA11" s="1638">
        <f t="shared" si="3"/>
        <v>0</v>
      </c>
      <c r="AB11" s="1638">
        <f t="shared" si="3"/>
        <v>0</v>
      </c>
      <c r="AC11" s="1638">
        <f t="shared" si="3"/>
        <v>0</v>
      </c>
      <c r="AD11" s="1638">
        <f t="shared" si="3"/>
        <v>0</v>
      </c>
      <c r="AE11" s="1638">
        <f t="shared" si="3"/>
        <v>0</v>
      </c>
      <c r="AF11" s="1638">
        <f t="shared" si="3"/>
        <v>0</v>
      </c>
      <c r="AG11" s="1638">
        <f t="shared" si="3"/>
        <v>0</v>
      </c>
      <c r="AH11" s="1638">
        <f t="shared" si="3"/>
        <v>0</v>
      </c>
      <c r="AI11" s="1638">
        <f t="shared" si="3"/>
        <v>0</v>
      </c>
      <c r="AJ11" s="1638">
        <f t="shared" si="3"/>
        <v>0</v>
      </c>
    </row>
    <row r="12" spans="1:39" ht="25.5" thickBot="1">
      <c r="A12" s="3486" t="s">
        <v>1871</v>
      </c>
      <c r="B12" s="1435" t="s">
        <v>946</v>
      </c>
      <c r="C12" s="1043">
        <f>ROUND(C15*D15*E15*F15*G15*H15*I15*J15,4)</f>
        <v>1</v>
      </c>
      <c r="D12" s="1436" t="s">
        <v>947</v>
      </c>
      <c r="E12" s="1437"/>
      <c r="F12" s="1437"/>
      <c r="G12" s="1438"/>
      <c r="H12" s="1438"/>
      <c r="I12" s="1438"/>
      <c r="J12" s="1439"/>
      <c r="K12" s="1452"/>
      <c r="L12" s="1873" t="s">
        <v>2249</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t="e">
        <f t="shared" si="0"/>
        <v>#DIV/0!</v>
      </c>
      <c r="U12" s="2881"/>
      <c r="V12" s="2892" t="e">
        <f t="shared" si="1"/>
        <v>#DIV/0!</v>
      </c>
      <c r="W12" s="3475"/>
      <c r="X12" s="2889" t="s">
        <v>2779</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88"/>
      <c r="B13" s="1440" t="s">
        <v>1696</v>
      </c>
      <c r="C13" s="1441" t="s">
        <v>1697</v>
      </c>
      <c r="D13" s="1085" t="s">
        <v>1698</v>
      </c>
      <c r="E13" s="1085" t="s">
        <v>1699</v>
      </c>
      <c r="F13" s="1442" t="s">
        <v>948</v>
      </c>
      <c r="G13" s="1443" t="s">
        <v>1642</v>
      </c>
      <c r="H13" s="1444" t="s">
        <v>1642</v>
      </c>
      <c r="I13" s="1445" t="s">
        <v>1642</v>
      </c>
      <c r="J13" s="1446" t="s">
        <v>1642</v>
      </c>
      <c r="K13" s="3160"/>
      <c r="L13" s="3160"/>
      <c r="M13" s="3160"/>
      <c r="N13" s="3160"/>
      <c r="O13" s="3160"/>
      <c r="P13" s="1397"/>
      <c r="Q13" s="2174"/>
      <c r="R13" s="2892">
        <v>12</v>
      </c>
      <c r="S13" s="2881"/>
      <c r="T13" s="2892" t="e">
        <f t="shared" si="0"/>
        <v>#DIV/0!</v>
      </c>
      <c r="U13" s="2881"/>
      <c r="V13" s="2892" t="e">
        <f t="shared" si="1"/>
        <v>#DIV/0!</v>
      </c>
      <c r="W13" s="3475"/>
      <c r="X13" s="2889"/>
      <c r="Y13" s="2888" t="e">
        <f>(-0.163*(Y12^2)-0.59*Y12+7617)*(10^(-4))/Y11</f>
        <v>#DIV/0!</v>
      </c>
      <c r="Z13" s="2888" t="e">
        <f t="shared" ref="Z13:AJ13" si="5">(-0.163*(Z12^2)-0.59*Z12+7617)*(10^(-4))/Z11</f>
        <v>#DIV/0!</v>
      </c>
      <c r="AA13" s="2888" t="e">
        <f t="shared" si="5"/>
        <v>#DIV/0!</v>
      </c>
      <c r="AB13" s="2888" t="e">
        <f t="shared" si="5"/>
        <v>#DIV/0!</v>
      </c>
      <c r="AC13" s="2888" t="e">
        <f t="shared" si="5"/>
        <v>#DIV/0!</v>
      </c>
      <c r="AD13" s="2888" t="e">
        <f t="shared" si="5"/>
        <v>#DIV/0!</v>
      </c>
      <c r="AE13" s="2888" t="e">
        <f t="shared" si="5"/>
        <v>#DIV/0!</v>
      </c>
      <c r="AF13" s="2888" t="e">
        <f t="shared" si="5"/>
        <v>#DIV/0!</v>
      </c>
      <c r="AG13" s="2888" t="e">
        <f t="shared" si="5"/>
        <v>#DIV/0!</v>
      </c>
      <c r="AH13" s="2888" t="e">
        <f t="shared" si="5"/>
        <v>#DIV/0!</v>
      </c>
      <c r="AI13" s="2888" t="e">
        <f t="shared" si="5"/>
        <v>#DIV/0!</v>
      </c>
      <c r="AJ13" s="2888" t="e">
        <f t="shared" si="5"/>
        <v>#DIV/0!</v>
      </c>
    </row>
    <row r="14" spans="1:39" ht="12.75" customHeight="1">
      <c r="A14" s="3488"/>
      <c r="B14" s="1447"/>
      <c r="C14" s="1448"/>
      <c r="D14" s="1449"/>
      <c r="E14" s="1449"/>
      <c r="F14" s="1450"/>
      <c r="G14" s="1451" t="s">
        <v>949</v>
      </c>
      <c r="H14" s="1452"/>
      <c r="I14" s="1453"/>
      <c r="J14" s="1454"/>
      <c r="K14" s="3146"/>
      <c r="L14" s="3146"/>
      <c r="M14" s="3146"/>
      <c r="N14" s="3146"/>
      <c r="O14" s="3146"/>
      <c r="P14" s="1397"/>
      <c r="Q14" s="2174"/>
      <c r="R14" s="2892">
        <v>13</v>
      </c>
      <c r="S14" s="2881"/>
      <c r="T14" s="2892" t="e">
        <f t="shared" si="0"/>
        <v>#DIV/0!</v>
      </c>
      <c r="U14" s="2881"/>
      <c r="V14" s="2892" t="e">
        <f t="shared" si="1"/>
        <v>#DIV/0!</v>
      </c>
      <c r="W14" s="2174"/>
      <c r="X14" s="2174"/>
      <c r="Y14" s="2174"/>
      <c r="Z14" s="2174"/>
      <c r="AA14" s="2174"/>
      <c r="AB14" s="2174"/>
      <c r="AC14" s="2175"/>
    </row>
    <row r="15" spans="1:39" ht="13.5" customHeight="1" thickBot="1">
      <c r="A15" s="3489"/>
      <c r="B15" s="3165" t="s">
        <v>1700</v>
      </c>
      <c r="C15" s="1049">
        <f>IF(C14="有",1.1,1)</f>
        <v>1</v>
      </c>
      <c r="D15" s="1049">
        <f>IF(D14="有",1.1,1)</f>
        <v>1</v>
      </c>
      <c r="E15" s="1049">
        <f>IF(E14="有",1.1,1)</f>
        <v>1</v>
      </c>
      <c r="F15" s="1049">
        <f>IF(F14="500米范围内",1.2,IF(F14="500-1000米",1.1,1))</f>
        <v>1</v>
      </c>
      <c r="G15" s="3157">
        <v>1</v>
      </c>
      <c r="H15" s="3157">
        <v>1</v>
      </c>
      <c r="I15" s="3157">
        <v>1</v>
      </c>
      <c r="J15" s="3158">
        <v>1</v>
      </c>
      <c r="K15" s="3161"/>
      <c r="L15" s="3161"/>
      <c r="M15" s="3161"/>
      <c r="N15" s="3161"/>
      <c r="O15" s="3161"/>
      <c r="P15" s="1397"/>
      <c r="Q15" s="2174"/>
      <c r="R15" s="2892">
        <v>14</v>
      </c>
      <c r="S15" s="2881"/>
      <c r="T15" s="2892" t="e">
        <f t="shared" si="0"/>
        <v>#DIV/0!</v>
      </c>
      <c r="U15" s="2881"/>
      <c r="V15" s="2892" t="e">
        <f t="shared" si="1"/>
        <v>#DIV/0!</v>
      </c>
      <c r="W15" s="2174"/>
      <c r="X15" s="2174"/>
      <c r="Y15" s="2174"/>
      <c r="Z15" s="2174"/>
      <c r="AA15" s="2174"/>
      <c r="AB15" s="2174"/>
      <c r="AC15" s="2175"/>
    </row>
    <row r="16" spans="1:39" ht="24.6" customHeight="1">
      <c r="A16" s="3486" t="s">
        <v>1838</v>
      </c>
      <c r="B16" s="1423" t="s">
        <v>950</v>
      </c>
      <c r="C16" s="1052" t="e">
        <f>ROUND(IF(F17="与级别开发程度一致",0,(G17-E17)/C17),0)</f>
        <v>#DIV/0!</v>
      </c>
      <c r="D16" s="3483" t="s">
        <v>954</v>
      </c>
      <c r="E16" s="3484"/>
      <c r="F16" s="3483" t="s">
        <v>951</v>
      </c>
      <c r="G16" s="3484"/>
      <c r="H16" s="1455"/>
      <c r="I16" s="1455"/>
      <c r="J16" s="1455"/>
      <c r="K16" s="1455"/>
      <c r="L16" s="1455"/>
      <c r="M16" s="1455"/>
      <c r="N16" s="1455"/>
      <c r="O16" s="3170"/>
      <c r="P16" s="1397"/>
      <c r="Q16" s="2177"/>
      <c r="R16" s="2892">
        <v>15</v>
      </c>
      <c r="S16" s="2881"/>
      <c r="T16" s="2892" t="e">
        <f t="shared" si="0"/>
        <v>#DIV/0!</v>
      </c>
      <c r="U16" s="2881"/>
      <c r="V16" s="2892" t="e">
        <f t="shared" si="1"/>
        <v>#DIV/0!</v>
      </c>
      <c r="W16" s="2177"/>
      <c r="X16" s="2177"/>
      <c r="Y16" s="2177"/>
      <c r="Z16" s="2177"/>
      <c r="AA16" s="2177"/>
      <c r="AB16" s="2177"/>
      <c r="AC16" s="2178"/>
    </row>
    <row r="17" spans="1:40" ht="13.5" thickBot="1">
      <c r="A17" s="3490"/>
      <c r="B17" s="3171" t="s">
        <v>953</v>
      </c>
      <c r="C17" s="3172">
        <f>SUMPRODUCT((修正!A2:A5=E2)*(修正!B1:M1=G2)*(修正!B2:M5))</f>
        <v>0</v>
      </c>
      <c r="D17" s="3173" t="str">
        <f>IF(OR(G2="八级",G2="九级",G2="十级",G2="十一级",G2="十二级"),"五通一平","七通一平")</f>
        <v>七通一平</v>
      </c>
      <c r="E17" s="3163">
        <f>SUMPRODUCT((修正!B1:M1=G2)*(修正!B15:M15))</f>
        <v>0</v>
      </c>
      <c r="F17" s="3164"/>
      <c r="G17" s="3163">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4">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1829</v>
      </c>
      <c r="B18" s="3166" t="s">
        <v>955</v>
      </c>
      <c r="C18" s="3167">
        <f>SUMIF(修正!C18:C39,E3,修正!E18:E39)</f>
        <v>0</v>
      </c>
      <c r="D18" s="3168"/>
      <c r="E18" s="3169"/>
      <c r="F18" s="3151"/>
      <c r="G18" s="3145"/>
      <c r="H18" s="3145"/>
      <c r="I18" s="3145"/>
      <c r="J18" s="3159"/>
      <c r="K18" s="3145"/>
      <c r="L18" s="3145"/>
      <c r="M18" s="3145"/>
      <c r="N18" s="3145"/>
      <c r="O18" s="3145"/>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1835</v>
      </c>
      <c r="B19" s="1458" t="s">
        <v>956</v>
      </c>
      <c r="C19" s="1053">
        <f>ROUND(IF(H19="按公示增长率计算",SUMPRODUCT((地价!A3:A27=YEAR(G19)&amp;"-"&amp;ROUNDUP(MONTH(G19)/3,0))*(地价!X2:AB2=E2)*(地价!X3:AB27)),IF(H19="地价指数",M20/M19,(1+I19)^O19)),4)</f>
        <v>0</v>
      </c>
      <c r="D19" s="1462" t="s">
        <v>957</v>
      </c>
      <c r="E19" s="1054">
        <v>41640</v>
      </c>
      <c r="F19" s="1462" t="s">
        <v>958</v>
      </c>
      <c r="G19" s="1055">
        <f>'数据-取费表'!B2</f>
        <v>43868</v>
      </c>
      <c r="H19" s="1463" t="s">
        <v>2988</v>
      </c>
      <c r="I19" s="2740" t="str">
        <f>IF(H19="季度增幅（自定义）",SUMIF(N21:N24,E2,O21:O24),"")</f>
        <v/>
      </c>
      <c r="J19" s="1459"/>
      <c r="K19" s="3145"/>
      <c r="L19" s="2988" t="s">
        <v>2838</v>
      </c>
      <c r="M19" s="2989">
        <f>ROUND(SUMIF(地价!B2:F2,E2,地价!B27:F27),0)</f>
        <v>0</v>
      </c>
      <c r="N19" s="2742" t="s">
        <v>1676</v>
      </c>
      <c r="O19" s="2741">
        <f>ROUNDDOWN(DATEDIF(E19,G19,"M")/3,0)</f>
        <v>24</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1836</v>
      </c>
      <c r="B20" s="2735" t="s">
        <v>971</v>
      </c>
      <c r="C20" s="2736" t="e">
        <f>ROUND(POWER(1+G20,J20-I20)*(POWER(1+G20,I20)-1)/(POWER(1+G20,J20)-1),4)</f>
        <v>#DIV/0!</v>
      </c>
      <c r="D20" s="2737" t="s">
        <v>972</v>
      </c>
      <c r="E20" s="3043">
        <f ca="1">存贷款利率!I4/100</f>
        <v>4.3499999999999997E-2</v>
      </c>
      <c r="F20" s="2737" t="s">
        <v>973</v>
      </c>
      <c r="G20" s="2738">
        <f>SUMIF(M26:P26,E2,M28:P28)</f>
        <v>0</v>
      </c>
      <c r="H20" s="2737" t="s">
        <v>974</v>
      </c>
      <c r="I20" s="2733" t="e">
        <f>SUMIF('数据-取费表'!C6:C15,E2,'数据-取费表'!F6:F15)/COUNTIF('数据-取费表'!C6:C15,E2)</f>
        <v>#DIV/0!</v>
      </c>
      <c r="J20" s="2739">
        <f>IF(E2="住宅",70,IF(E2="商业",40,50))</f>
        <v>50</v>
      </c>
      <c r="K20" s="3147"/>
      <c r="L20" s="2990" t="s">
        <v>2839</v>
      </c>
      <c r="M20" s="3154">
        <f>ROUND(SUMPRODUCT((地价!A4:A27=YEAR(G19)&amp;"-"&amp;ROUNDUP(MONTH(G19)/3,0))*(地价!B2:F2=E2)*(地价!B4:F27)),0)</f>
        <v>0</v>
      </c>
      <c r="N20" s="2745" t="s">
        <v>2642</v>
      </c>
      <c r="O20" s="2743" t="s">
        <v>2641</v>
      </c>
      <c r="P20" s="2744" t="s">
        <v>2647</v>
      </c>
      <c r="Q20" s="2880"/>
      <c r="R20" s="2180"/>
      <c r="S20" s="2180"/>
      <c r="T20" s="2180"/>
      <c r="U20" s="2180"/>
      <c r="V20" s="2180"/>
      <c r="W20" s="2180"/>
      <c r="X20" s="2180"/>
      <c r="Y20" s="1460"/>
      <c r="Z20" s="1460"/>
      <c r="AA20" s="1460"/>
      <c r="AB20" s="1460"/>
      <c r="AC20" s="1460"/>
      <c r="AD20" s="1460"/>
    </row>
    <row r="21" spans="1:40" s="1417" customFormat="1" ht="14.25">
      <c r="A21" s="1627" t="s">
        <v>1837</v>
      </c>
      <c r="B21" s="1468" t="s">
        <v>2758</v>
      </c>
      <c r="C21" s="1154">
        <f>IF(B21="容积率修正",IF(G3&lt;=10,D22,J22),C23)</f>
        <v>0</v>
      </c>
      <c r="D21" s="1469"/>
      <c r="E21" s="1469"/>
      <c r="F21" s="1469"/>
      <c r="G21" s="1469"/>
      <c r="H21" s="1469"/>
      <c r="I21" s="1469"/>
      <c r="J21" s="1470"/>
      <c r="K21" s="3145"/>
      <c r="L21" s="1469"/>
      <c r="M21" s="1469"/>
      <c r="N21" s="1466" t="s">
        <v>975</v>
      </c>
      <c r="O21" s="1529"/>
      <c r="P21" s="2732">
        <f>SUMPRODUCT((地价!A3:A27=YEAR(G19)&amp;"-"&amp;ROUNDUP(MONTH(G19)/3,0))*(地价!AD2:AH2=N21)*(地价!AD3:AH27))</f>
        <v>0</v>
      </c>
      <c r="Q21" s="2880"/>
      <c r="R21" s="2180"/>
      <c r="S21" s="2180"/>
      <c r="T21" s="2180"/>
      <c r="U21" s="2180"/>
      <c r="V21" s="2180"/>
      <c r="W21" s="2180"/>
      <c r="X21" s="2180"/>
      <c r="Y21" s="1399"/>
      <c r="Z21" s="1399"/>
      <c r="AA21" s="1399"/>
      <c r="AB21" s="1399"/>
      <c r="AC21" s="1460"/>
      <c r="AD21" s="1460"/>
    </row>
    <row r="22" spans="1:40" s="1417" customFormat="1" ht="14.25">
      <c r="A22" s="1628" t="s">
        <v>1870</v>
      </c>
      <c r="B22" s="1471" t="s">
        <v>976</v>
      </c>
      <c r="C22" s="1056" t="s">
        <v>1702</v>
      </c>
      <c r="D22" s="1056" t="b">
        <f>IF(E22=G22,F22,IF(G3&lt;=10,ROUND(F22+(H22-F22)*(G3-E22)/(G22-E22),4),"——"))</f>
        <v>0</v>
      </c>
      <c r="E22" s="1039">
        <f>ROUNDDOWN(G3,1)</f>
        <v>0</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48"/>
      <c r="L22" s="1469"/>
      <c r="M22" s="1469"/>
      <c r="N22" s="1466" t="s">
        <v>978</v>
      </c>
      <c r="O22" s="1529"/>
      <c r="P22" s="2732">
        <f>SUMPRODUCT((地价!A3:A27=YEAR(G19)&amp;"-"&amp;ROUNDUP(MONTH(G19)/3,0))*(地价!AD2:AH2=N22)*(地价!AD3:AH27))</f>
        <v>0</v>
      </c>
      <c r="Q22" s="2880"/>
      <c r="R22" s="2180"/>
      <c r="S22" s="2180"/>
      <c r="T22" s="2180"/>
      <c r="U22" s="2180"/>
      <c r="V22" s="2180"/>
      <c r="W22" s="2180"/>
      <c r="X22" s="2180"/>
      <c r="Y22" s="1460"/>
      <c r="Z22" s="1460"/>
      <c r="AA22" s="1460"/>
      <c r="AB22" s="1460"/>
      <c r="AC22" s="1460"/>
      <c r="AD22" s="1460"/>
    </row>
    <row r="23" spans="1:40" ht="15.75" thickBot="1">
      <c r="A23" s="1628" t="s">
        <v>1871</v>
      </c>
      <c r="B23" s="1471" t="s">
        <v>979</v>
      </c>
      <c r="C23" s="1057">
        <f>ROUND(IF(G3&gt;1,IF(I3&lt;7,SUMPRODUCT((B93:B98=I3)*(C92:N92=G2)*(C93:N98)),SUMIF(C92:N92,G2,C100:N100)),IF(I3&lt;7,SUMPRODUCT((B102:B107=I3)*(C92:N92=G2)*(C102:N107)),SUMIF(C92:N92,G2,C109:N109))),4)</f>
        <v>0</v>
      </c>
      <c r="D23" s="1517"/>
      <c r="E23" s="1517"/>
      <c r="F23" s="1518"/>
      <c r="G23" s="1519"/>
      <c r="H23" s="1520"/>
      <c r="I23" s="1521"/>
      <c r="J23" s="1521"/>
      <c r="K23" s="3149"/>
      <c r="L23" s="1397"/>
      <c r="M23" s="1397"/>
      <c r="N23" s="1466" t="s">
        <v>923</v>
      </c>
      <c r="O23" s="1529"/>
      <c r="P23" s="2732">
        <f>SUMPRODUCT((地价!A3:A27=YEAR(G19)&amp;"-"&amp;ROUNDUP(MONTH(G19)/3,0))*(地价!AD2:AH2=N23)*(地价!AD3:AH27))</f>
        <v>0</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1872</v>
      </c>
      <c r="B24" s="1411" t="s">
        <v>980</v>
      </c>
      <c r="C24" s="1058">
        <f>SUMIF(A44:A87,E2,B44:B87)</f>
        <v>0</v>
      </c>
      <c r="D24" s="1522"/>
      <c r="E24" s="1523"/>
      <c r="F24" s="1523"/>
      <c r="G24" s="1523"/>
      <c r="H24" s="1523"/>
      <c r="I24" s="1523"/>
      <c r="J24" s="1523"/>
      <c r="K24" s="3149"/>
      <c r="L24" s="1469"/>
      <c r="M24" s="1469"/>
      <c r="N24" s="1466" t="s">
        <v>981</v>
      </c>
      <c r="O24" s="3153"/>
      <c r="P24" s="2732">
        <f>SUMPRODUCT((地价!A3:A27=YEAR(G19)&amp;"-"&amp;ROUNDUP(MONTH(G19)/3,0))*(地价!AD2:AH2=N24)*(地价!AD3:AH27))</f>
        <v>0</v>
      </c>
      <c r="Q24" s="2880"/>
      <c r="R24" s="2180"/>
      <c r="S24" s="2180"/>
      <c r="T24" s="2180"/>
      <c r="U24" s="2180"/>
      <c r="V24" s="2180"/>
      <c r="W24" s="2180"/>
      <c r="X24" s="2180"/>
      <c r="Y24" s="1460"/>
      <c r="Z24" s="1460"/>
      <c r="AA24" s="1460"/>
      <c r="AB24" s="1460"/>
      <c r="AC24" s="1460"/>
      <c r="AD24" s="1460"/>
    </row>
    <row r="25" spans="1:40" ht="15" thickBot="1">
      <c r="A25" s="1626" t="s">
        <v>1873</v>
      </c>
      <c r="B25" s="1473" t="s">
        <v>982</v>
      </c>
      <c r="C25" s="1474"/>
      <c r="D25" s="1426"/>
      <c r="E25" s="1426"/>
      <c r="F25" s="1475"/>
      <c r="G25" s="1426"/>
      <c r="H25" s="1426"/>
      <c r="I25" s="1426"/>
      <c r="J25" s="1427"/>
      <c r="K25" s="1452"/>
      <c r="L25" s="2180"/>
      <c r="M25" s="2180"/>
      <c r="N25" s="3155" t="s">
        <v>2645</v>
      </c>
      <c r="O25" s="3156"/>
      <c r="P25" s="2411">
        <f>SUMPRODUCT((地价!A3:A27=YEAR(G19)&amp;"-"&amp;ROUNDUP(MONTH(G19)/3,0))*(地价!AD2:AH2=N25)*(地价!AD3:AH27))</f>
        <v>0</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986</v>
      </c>
      <c r="C26" s="1059" t="e">
        <f>E29+SUM(E33:E39)</f>
        <v>#DIV/0!</v>
      </c>
      <c r="D26" s="1477"/>
      <c r="E26" s="1452"/>
      <c r="F26" s="1478"/>
      <c r="G26" s="1452"/>
      <c r="H26" s="1452"/>
      <c r="I26" s="1452"/>
      <c r="J26" s="1479"/>
      <c r="K26" s="1452"/>
      <c r="L26" s="1583" t="s">
        <v>898</v>
      </c>
      <c r="M26" s="1424" t="s">
        <v>983</v>
      </c>
      <c r="N26" s="1424" t="s">
        <v>984</v>
      </c>
      <c r="O26" s="1424" t="s">
        <v>902</v>
      </c>
      <c r="P26" s="1464" t="s">
        <v>985</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988</v>
      </c>
      <c r="C27" s="1060" t="e">
        <f>E30+SUM(I33:I39)</f>
        <v>#DIV/0!</v>
      </c>
      <c r="D27" s="1481"/>
      <c r="E27" s="1482"/>
      <c r="F27" s="1483"/>
      <c r="G27" s="1482"/>
      <c r="H27" s="1482"/>
      <c r="I27" s="1482"/>
      <c r="J27" s="1484"/>
      <c r="K27" s="1452"/>
      <c r="L27" s="1456" t="s">
        <v>987</v>
      </c>
      <c r="M27" s="1047">
        <v>0.25</v>
      </c>
      <c r="N27" s="1047">
        <v>0.2</v>
      </c>
      <c r="O27" s="1047">
        <v>0.15</v>
      </c>
      <c r="P27" s="1526">
        <v>0.1</v>
      </c>
      <c r="Q27" s="2180"/>
      <c r="R27" s="2880"/>
      <c r="S27" s="2880"/>
      <c r="T27" s="2880"/>
      <c r="U27" s="2880"/>
      <c r="V27" s="2880"/>
      <c r="W27" s="2180"/>
      <c r="X27" s="2180"/>
      <c r="Y27" s="2180"/>
      <c r="Z27" s="2180"/>
      <c r="AA27" s="2180"/>
      <c r="AB27" s="2180"/>
      <c r="AC27" s="2180"/>
    </row>
    <row r="28" spans="1:40" ht="15" thickBot="1">
      <c r="A28" s="1472"/>
      <c r="B28" s="1485" t="s">
        <v>989</v>
      </c>
      <c r="C28" s="1486" t="s">
        <v>990</v>
      </c>
      <c r="D28" s="1486" t="s">
        <v>991</v>
      </c>
      <c r="E28" s="1487" t="s">
        <v>992</v>
      </c>
      <c r="F28" s="1488"/>
      <c r="G28" s="1438"/>
      <c r="H28" s="1438"/>
      <c r="I28" s="1438"/>
      <c r="J28" s="1439"/>
      <c r="K28" s="1452"/>
      <c r="L28" s="1457" t="s">
        <v>973</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14.25">
      <c r="A29" s="1489"/>
      <c r="B29" s="1490" t="s">
        <v>993</v>
      </c>
      <c r="C29" s="1059" t="e">
        <f>ROUND(C5*C18*C19*C20*C21*C24,0)</f>
        <v>#DIV/0!</v>
      </c>
      <c r="D29" s="1491"/>
      <c r="E29" s="1834" t="e">
        <f>ROUND(C29*D29/10000,0)</f>
        <v>#DIV/0!</v>
      </c>
      <c r="F29" s="1492" t="s">
        <v>1701</v>
      </c>
      <c r="G29" s="1493"/>
      <c r="H29" s="1493"/>
      <c r="I29" s="1493"/>
      <c r="J29" s="1494"/>
      <c r="K29" s="3150"/>
      <c r="L29" s="3150"/>
      <c r="M29" s="3150"/>
      <c r="N29" s="3150"/>
      <c r="O29" s="3150"/>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75" thickBot="1">
      <c r="A30" s="1495"/>
      <c r="B30" s="1496" t="s">
        <v>994</v>
      </c>
      <c r="C30" s="1051" t="e">
        <f>ROUND(IF(E2="工业",C29*M39,C29*M38),0)</f>
        <v>#DIV/0!</v>
      </c>
      <c r="D30" s="1497"/>
      <c r="E30" s="1834" t="e">
        <f>ROUND(C30*D30/10000,0)</f>
        <v>#DIV/0!</v>
      </c>
      <c r="F30" s="1498" t="s">
        <v>995</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996</v>
      </c>
      <c r="C31" s="1503" t="s">
        <v>997</v>
      </c>
      <c r="D31" s="1438"/>
      <c r="E31" s="1503"/>
      <c r="F31" s="1503"/>
      <c r="G31" s="1436" t="s">
        <v>995</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990</v>
      </c>
      <c r="D32" s="1507" t="s">
        <v>991</v>
      </c>
      <c r="E32" s="1507" t="s">
        <v>992</v>
      </c>
      <c r="F32" s="1508" t="s">
        <v>998</v>
      </c>
      <c r="G32" s="1467" t="s">
        <v>990</v>
      </c>
      <c r="H32" s="1467" t="s">
        <v>991</v>
      </c>
      <c r="I32" s="1467" t="s">
        <v>992</v>
      </c>
      <c r="J32" s="1509"/>
      <c r="K32" s="3151"/>
      <c r="L32" s="3151"/>
      <c r="M32" s="3151"/>
      <c r="N32" s="3151"/>
      <c r="O32" s="3151"/>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493" t="s">
        <v>2953</v>
      </c>
      <c r="B33" s="1511" t="s">
        <v>999</v>
      </c>
      <c r="C33" s="1059" t="e">
        <f>ROUND(D5*C19*C20*C24*F33,0)</f>
        <v>#DIV/0!</v>
      </c>
      <c r="D33" s="1524"/>
      <c r="E33" s="1048" t="e">
        <f>ROUND(C33*D33/10000,0)</f>
        <v>#DIV/0!</v>
      </c>
      <c r="F33" s="1048">
        <f>SUMIF(修正!A45:A56,G2,修正!B45:B56)</f>
        <v>0</v>
      </c>
      <c r="G33" s="1048" t="e">
        <f t="shared" ref="G33" si="6">ROUND(IF(E2="工业",C33*$M$39,C33*$M$38),0)</f>
        <v>#DIV/0!</v>
      </c>
      <c r="H33" s="1048">
        <f>D33</f>
        <v>0</v>
      </c>
      <c r="I33" s="1048" t="e">
        <f>ROUND(G33*H33/10000,0)</f>
        <v>#DIV/0!</v>
      </c>
      <c r="J33" s="1512"/>
      <c r="K33" s="3152"/>
      <c r="L33" s="3152"/>
      <c r="M33" s="3152"/>
      <c r="N33" s="3152"/>
      <c r="O33" s="3152"/>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494"/>
      <c r="B34" s="1441" t="s">
        <v>1000</v>
      </c>
      <c r="C34" s="1059" t="e">
        <f>ROUND(D5*C19*C20*C24*F34,0)</f>
        <v>#DIV/0!</v>
      </c>
      <c r="D34" s="1524"/>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2"/>
      <c r="K34" s="3152"/>
      <c r="L34" s="3152"/>
      <c r="M34" s="3152"/>
      <c r="N34" s="3152"/>
      <c r="O34" s="3152"/>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494"/>
      <c r="B35" s="1441" t="s">
        <v>1001</v>
      </c>
      <c r="C35" s="1059" t="e">
        <f>ROUND(D5*C19*C20*C24*F35,0)</f>
        <v>#DIV/0!</v>
      </c>
      <c r="D35" s="1524"/>
      <c r="E35" s="1048" t="e">
        <f t="shared" si="7"/>
        <v>#DIV/0!</v>
      </c>
      <c r="F35" s="1048">
        <f>SUMIF(修正!A45:A56,G2,修正!D45:D56)</f>
        <v>0</v>
      </c>
      <c r="G35" s="1048" t="e">
        <f>ROUND(IF(E2="工业",C35*$M$39,C35*$M$38),0)</f>
        <v>#DIV/0!</v>
      </c>
      <c r="H35" s="1048">
        <f t="shared" si="8"/>
        <v>0</v>
      </c>
      <c r="I35" s="1048" t="e">
        <f t="shared" si="9"/>
        <v>#DIV/0!</v>
      </c>
      <c r="J35" s="1512"/>
      <c r="K35" s="3152"/>
      <c r="L35" s="3152"/>
      <c r="M35" s="3152"/>
      <c r="N35" s="3152"/>
      <c r="O35" s="3152"/>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495"/>
      <c r="B36" s="1441" t="s">
        <v>1002</v>
      </c>
      <c r="C36" s="1059" t="e">
        <f>ROUND(D5*C19*C20*C24*F36,0)</f>
        <v>#DIV/0!</v>
      </c>
      <c r="D36" s="1524"/>
      <c r="E36" s="1048" t="e">
        <f t="shared" si="7"/>
        <v>#DIV/0!</v>
      </c>
      <c r="F36" s="1048">
        <f>SUMIF(修正!A45:A56,G2,修正!E45:E56)</f>
        <v>0</v>
      </c>
      <c r="G36" s="1048" t="e">
        <f>ROUND(IF(E2="工业",C36*$M$39,C36*$M$38),0)</f>
        <v>#DIV/0!</v>
      </c>
      <c r="H36" s="1048">
        <f t="shared" si="8"/>
        <v>0</v>
      </c>
      <c r="I36" s="1048" t="e">
        <f t="shared" si="9"/>
        <v>#DIV/0!</v>
      </c>
      <c r="J36" s="1512"/>
      <c r="K36" s="3152"/>
      <c r="L36" s="3152"/>
      <c r="M36" s="3152"/>
      <c r="N36" s="3152"/>
      <c r="O36" s="3152"/>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1003</v>
      </c>
      <c r="C37" s="1048" t="e">
        <f>ROUND(D5*C19*C20*C24*F37,0)</f>
        <v>#DIV/0!</v>
      </c>
      <c r="D37" s="1524"/>
      <c r="E37" s="1048" t="e">
        <f t="shared" si="7"/>
        <v>#DIV/0!</v>
      </c>
      <c r="F37" s="1059">
        <f>SUMIF(修正!A45:A56,G2,修正!F45:F56)</f>
        <v>0</v>
      </c>
      <c r="G37" s="1048" t="e">
        <f>ROUND(IF(E2="工业",C37*$M$39,C37*$M$38),0)</f>
        <v>#DIV/0!</v>
      </c>
      <c r="H37" s="1048">
        <f t="shared" si="8"/>
        <v>0</v>
      </c>
      <c r="I37" s="1048" t="e">
        <f t="shared" si="9"/>
        <v>#DIV/0!</v>
      </c>
      <c r="J37" s="1512"/>
      <c r="K37" s="1397"/>
      <c r="L37" s="1530" t="s">
        <v>1703</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1004</v>
      </c>
      <c r="C38" s="1048" t="e">
        <f>ROUND(D5*C19*C41*C24*F38,0)</f>
        <v>#DIV/0!</v>
      </c>
      <c r="D38" s="1524"/>
      <c r="E38" s="1048" t="e">
        <f t="shared" si="7"/>
        <v>#DIV/0!</v>
      </c>
      <c r="F38" s="1059">
        <f>SUMIF(修正!A45:A56,G2,修正!G45:G56)</f>
        <v>0</v>
      </c>
      <c r="G38" s="1048" t="e">
        <f>ROUND(IF(E2="工业",C38*$M$39,C38*$M$38),0)</f>
        <v>#DIV/0!</v>
      </c>
      <c r="H38" s="1048">
        <f t="shared" si="8"/>
        <v>0</v>
      </c>
      <c r="I38" s="1048" t="e">
        <f t="shared" si="9"/>
        <v>#DIV/0!</v>
      </c>
      <c r="J38" s="1512"/>
      <c r="K38" s="1397"/>
      <c r="L38" s="1532" t="s">
        <v>1705</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1005</v>
      </c>
      <c r="C39" s="1051" t="e">
        <f>ROUND(D5*C19*C41*C24*F39,0)</f>
        <v>#DIV/0!</v>
      </c>
      <c r="D39" s="1525"/>
      <c r="E39" s="1051" t="e">
        <f t="shared" si="7"/>
        <v>#DIV/0!</v>
      </c>
      <c r="F39" s="1061">
        <f>SUMIF(修正!A45:A56,G2,修正!H45:H56)</f>
        <v>0</v>
      </c>
      <c r="G39" s="1051" t="e">
        <f>ROUND(IF(E2="工业",C39*$M$39,C39*$M$38),0)</f>
        <v>#DIV/0!</v>
      </c>
      <c r="H39" s="1051">
        <f t="shared" si="8"/>
        <v>0</v>
      </c>
      <c r="I39" s="1051" t="e">
        <f t="shared" si="9"/>
        <v>#DIV/0!</v>
      </c>
      <c r="J39" s="1514"/>
      <c r="K39" s="1397"/>
      <c r="L39" s="1534" t="s">
        <v>1704</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3" t="s">
        <v>2980</v>
      </c>
      <c r="C41" s="839" t="e">
        <f>ROUND(POWER(1+E41,H41-G41)*(POWER(1+E41,G41)-1)/(POWER(1+E41,H41)-1),4)</f>
        <v>#DIV/0!</v>
      </c>
      <c r="D41" s="378" t="s">
        <v>2978</v>
      </c>
      <c r="E41" s="3142">
        <f>G20</f>
        <v>0</v>
      </c>
      <c r="F41" s="378" t="s">
        <v>2979</v>
      </c>
      <c r="G41" s="396"/>
      <c r="H41" s="378">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1006</v>
      </c>
      <c r="B44" s="2384"/>
      <c r="C44" s="2385"/>
      <c r="D44" s="2386"/>
      <c r="E44" s="2386"/>
      <c r="F44" s="2387"/>
      <c r="G44" s="1062"/>
      <c r="H44" s="2387"/>
      <c r="I44" s="1062"/>
      <c r="J44" s="1062"/>
      <c r="K44" s="1062"/>
      <c r="L44" s="1062"/>
      <c r="M44" s="1062"/>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1007</v>
      </c>
      <c r="B45" s="2389">
        <f>1+E47</f>
        <v>1</v>
      </c>
      <c r="C45" s="2390"/>
      <c r="D45" s="2391"/>
      <c r="E45" s="2392"/>
      <c r="F45" s="2393"/>
      <c r="G45" s="2387"/>
      <c r="H45" s="2387"/>
      <c r="I45" s="1062"/>
      <c r="J45" s="1062"/>
      <c r="K45" s="1062"/>
      <c r="L45" s="1062"/>
      <c r="M45" s="1062"/>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3" t="s">
        <v>1008</v>
      </c>
      <c r="B46" s="2372" t="s">
        <v>1009</v>
      </c>
      <c r="C46" s="2394" t="s">
        <v>1010</v>
      </c>
      <c r="D46" s="2395" t="s">
        <v>1011</v>
      </c>
      <c r="E46" s="2396" t="s">
        <v>1013</v>
      </c>
      <c r="F46" s="2397" t="s">
        <v>2250</v>
      </c>
      <c r="G46" s="2395" t="s">
        <v>1014</v>
      </c>
      <c r="H46" s="2378" t="s">
        <v>2417</v>
      </c>
      <c r="I46" s="2395" t="s">
        <v>1012</v>
      </c>
      <c r="J46" s="2398" t="s">
        <v>1015</v>
      </c>
      <c r="K46" s="2398" t="s">
        <v>1016</v>
      </c>
      <c r="L46" s="2398" t="s">
        <v>1017</v>
      </c>
      <c r="M46" s="2398" t="s">
        <v>1018</v>
      </c>
      <c r="N46" s="2398" t="s">
        <v>1019</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24">
      <c r="A47" s="1063" t="s">
        <v>1020</v>
      </c>
      <c r="B47" s="2375">
        <f>估价对象房地状况!C16</f>
        <v>0</v>
      </c>
      <c r="C47" s="1050"/>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14.25">
      <c r="A48" s="1063" t="s">
        <v>1021</v>
      </c>
      <c r="B48" s="2372" t="str">
        <f>估价对象房地状况!C18</f>
        <v>较好</v>
      </c>
      <c r="C48" s="1050"/>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3" t="s">
        <v>1022</v>
      </c>
      <c r="B49" s="2372">
        <f>估价对象房地状况!C19</f>
        <v>0</v>
      </c>
      <c r="C49" s="1050"/>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3" t="s">
        <v>1023</v>
      </c>
      <c r="B50" s="3045" t="s">
        <v>2930</v>
      </c>
      <c r="C50" s="1050"/>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3" t="s">
        <v>1024</v>
      </c>
      <c r="B51" s="2372">
        <f>估价对象房地状况!C24</f>
        <v>0</v>
      </c>
      <c r="C51" s="1050"/>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3" t="s">
        <v>1025</v>
      </c>
      <c r="B52" s="3044" t="s">
        <v>2929</v>
      </c>
      <c r="C52" s="1050"/>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1026</v>
      </c>
      <c r="B53" s="2373" t="str">
        <f>估价对象房地状况!C21</f>
        <v>一般</v>
      </c>
      <c r="C53" s="1050"/>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1027</v>
      </c>
      <c r="B54" s="2372" t="str">
        <f>估价对象房地状况!C22</f>
        <v>六通</v>
      </c>
      <c r="C54" s="1050"/>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24.75" thickBot="1">
      <c r="A55" s="2405" t="s">
        <v>1028</v>
      </c>
      <c r="B55" s="2376" t="str">
        <f>估价对象房地状况!C20</f>
        <v>较好</v>
      </c>
      <c r="C55" s="1050"/>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1029</v>
      </c>
      <c r="B56" s="2389">
        <f>1+E58</f>
        <v>1</v>
      </c>
      <c r="C56" s="2408"/>
      <c r="D56" s="2391"/>
      <c r="E56" s="2392"/>
      <c r="F56" s="2393"/>
      <c r="G56" s="2387"/>
      <c r="H56" s="2387"/>
      <c r="I56" s="2387"/>
      <c r="J56" s="1062"/>
      <c r="K56" s="1062"/>
      <c r="L56" s="1062"/>
      <c r="M56" s="1062"/>
      <c r="N56" s="1062"/>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3" t="s">
        <v>1008</v>
      </c>
      <c r="B57" s="2372"/>
      <c r="C57" s="2394" t="s">
        <v>1010</v>
      </c>
      <c r="D57" s="2395" t="s">
        <v>1011</v>
      </c>
      <c r="E57" s="2396" t="s">
        <v>1013</v>
      </c>
      <c r="F57" s="2397" t="s">
        <v>2251</v>
      </c>
      <c r="G57" s="2395" t="s">
        <v>1014</v>
      </c>
      <c r="H57" s="2378" t="s">
        <v>2417</v>
      </c>
      <c r="I57" s="2395" t="s">
        <v>1012</v>
      </c>
      <c r="J57" s="2398" t="s">
        <v>1015</v>
      </c>
      <c r="K57" s="2398" t="s">
        <v>1016</v>
      </c>
      <c r="L57" s="2398" t="s">
        <v>1017</v>
      </c>
      <c r="M57" s="2398" t="s">
        <v>1018</v>
      </c>
      <c r="N57" s="2398" t="s">
        <v>1019</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24">
      <c r="A58" s="1063" t="s">
        <v>1030</v>
      </c>
      <c r="B58" s="2375" t="str">
        <f>估价对象房地状况!C17</f>
        <v>一般</v>
      </c>
      <c r="C58" s="1050"/>
      <c r="D58" s="2381">
        <f t="shared" ref="D58:D66" si="15">SUMIF($J$57:$N$57,C58,J58:N58)</f>
        <v>0</v>
      </c>
      <c r="E58" s="2400">
        <f>ROUND(SUM(D58:D66),4)</f>
        <v>0</v>
      </c>
      <c r="F58" s="2401" t="str">
        <f>IF(E2="办公",SUMIF(L1:L12,G2,N1:N12),"——")</f>
        <v>——</v>
      </c>
      <c r="G58" s="2379"/>
      <c r="H58" s="2425" t="str">
        <f>IFERROR(ROUNDDOWN($F$58*I58/2,4),"——")</f>
        <v>——</v>
      </c>
      <c r="I58" s="2399">
        <v>0.24</v>
      </c>
      <c r="J58" s="2402">
        <f t="shared" ref="J58:J66" si="16">K58+$G58</f>
        <v>0</v>
      </c>
      <c r="K58" s="2402">
        <f t="shared" ref="K58:K66" si="17">$L58+$G58</f>
        <v>0</v>
      </c>
      <c r="L58" s="2402">
        <v>0</v>
      </c>
      <c r="M58" s="2402">
        <f t="shared" ref="M58:N66" si="18">L58-$G58</f>
        <v>0</v>
      </c>
      <c r="N58" s="2402">
        <f t="shared" si="18"/>
        <v>0</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14.25">
      <c r="A59" s="1063" t="s">
        <v>1021</v>
      </c>
      <c r="B59" s="2372" t="str">
        <f>估价对象房地状况!C18</f>
        <v>较好</v>
      </c>
      <c r="C59" s="1050"/>
      <c r="D59" s="2381">
        <f t="shared" si="15"/>
        <v>0</v>
      </c>
      <c r="E59" s="2403"/>
      <c r="F59" s="2401"/>
      <c r="G59" s="2379"/>
      <c r="H59" s="2380" t="str">
        <f t="shared" ref="H59:H66" si="19">IFERROR($F$58*I59/2,"——")</f>
        <v>——</v>
      </c>
      <c r="I59" s="2399">
        <v>0.3</v>
      </c>
      <c r="J59" s="2402">
        <f t="shared" si="16"/>
        <v>0</v>
      </c>
      <c r="K59" s="2402">
        <f t="shared" si="17"/>
        <v>0</v>
      </c>
      <c r="L59" s="2402">
        <v>0</v>
      </c>
      <c r="M59" s="2402">
        <f t="shared" si="18"/>
        <v>0</v>
      </c>
      <c r="N59" s="2402">
        <f t="shared" si="18"/>
        <v>0</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3" t="s">
        <v>1022</v>
      </c>
      <c r="B60" s="2372">
        <f>估价对象房地状况!C19</f>
        <v>0</v>
      </c>
      <c r="C60" s="1050"/>
      <c r="D60" s="2381">
        <f t="shared" si="15"/>
        <v>0</v>
      </c>
      <c r="E60" s="2403"/>
      <c r="F60" s="2401"/>
      <c r="G60" s="2379"/>
      <c r="H60" s="2380" t="str">
        <f t="shared" si="19"/>
        <v>——</v>
      </c>
      <c r="I60" s="2399">
        <v>0.08</v>
      </c>
      <c r="J60" s="2402">
        <f t="shared" si="16"/>
        <v>0</v>
      </c>
      <c r="K60" s="2402">
        <f t="shared" si="17"/>
        <v>0</v>
      </c>
      <c r="L60" s="2402">
        <v>0</v>
      </c>
      <c r="M60" s="2402">
        <f t="shared" si="18"/>
        <v>0</v>
      </c>
      <c r="N60" s="2402">
        <f t="shared" si="18"/>
        <v>0</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3" t="s">
        <v>1023</v>
      </c>
      <c r="B61" s="3045" t="s">
        <v>2931</v>
      </c>
      <c r="C61" s="1050"/>
      <c r="D61" s="2381">
        <f t="shared" si="15"/>
        <v>0</v>
      </c>
      <c r="E61" s="2403"/>
      <c r="F61" s="2401"/>
      <c r="G61" s="2379"/>
      <c r="H61" s="2380" t="str">
        <f t="shared" si="19"/>
        <v>——</v>
      </c>
      <c r="I61" s="2399">
        <v>0.04</v>
      </c>
      <c r="J61" s="2402">
        <f t="shared" si="16"/>
        <v>0</v>
      </c>
      <c r="K61" s="2402">
        <f t="shared" si="17"/>
        <v>0</v>
      </c>
      <c r="L61" s="2402">
        <v>0</v>
      </c>
      <c r="M61" s="2402">
        <f t="shared" si="18"/>
        <v>0</v>
      </c>
      <c r="N61" s="2402">
        <f t="shared" si="18"/>
        <v>0</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3" t="s">
        <v>1024</v>
      </c>
      <c r="B62" s="2372">
        <f>估价对象房地状况!C24</f>
        <v>0</v>
      </c>
      <c r="C62" s="1050"/>
      <c r="D62" s="2381">
        <f t="shared" si="15"/>
        <v>0</v>
      </c>
      <c r="E62" s="2403"/>
      <c r="F62" s="2401"/>
      <c r="G62" s="2379"/>
      <c r="H62" s="2380" t="str">
        <f t="shared" si="19"/>
        <v>——</v>
      </c>
      <c r="I62" s="2399">
        <v>0.05</v>
      </c>
      <c r="J62" s="2402">
        <f t="shared" si="16"/>
        <v>0</v>
      </c>
      <c r="K62" s="2402">
        <f t="shared" si="17"/>
        <v>0</v>
      </c>
      <c r="L62" s="2402">
        <v>0</v>
      </c>
      <c r="M62" s="2402">
        <f t="shared" si="18"/>
        <v>0</v>
      </c>
      <c r="N62" s="2402">
        <f t="shared" si="18"/>
        <v>0</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3" t="s">
        <v>1025</v>
      </c>
      <c r="B63" s="3044" t="s">
        <v>2929</v>
      </c>
      <c r="C63" s="1050"/>
      <c r="D63" s="2381">
        <f t="shared" si="15"/>
        <v>0</v>
      </c>
      <c r="E63" s="2403"/>
      <c r="F63" s="2401"/>
      <c r="G63" s="2379"/>
      <c r="H63" s="2380" t="str">
        <f t="shared" si="19"/>
        <v>——</v>
      </c>
      <c r="I63" s="2399">
        <v>0.05</v>
      </c>
      <c r="J63" s="2402">
        <f t="shared" si="16"/>
        <v>0</v>
      </c>
      <c r="K63" s="2402">
        <f t="shared" si="17"/>
        <v>0</v>
      </c>
      <c r="L63" s="2402">
        <v>0</v>
      </c>
      <c r="M63" s="2402">
        <f t="shared" si="18"/>
        <v>0</v>
      </c>
      <c r="N63" s="2402">
        <f t="shared" si="18"/>
        <v>0</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3" t="s">
        <v>1026</v>
      </c>
      <c r="B64" s="2373" t="str">
        <f>估价对象房地状况!C21</f>
        <v>一般</v>
      </c>
      <c r="C64" s="1050"/>
      <c r="D64" s="2381">
        <f t="shared" si="15"/>
        <v>0</v>
      </c>
      <c r="E64" s="2403"/>
      <c r="F64" s="2401"/>
      <c r="G64" s="2379"/>
      <c r="H64" s="2380" t="str">
        <f t="shared" si="19"/>
        <v>——</v>
      </c>
      <c r="I64" s="2399">
        <v>0.06</v>
      </c>
      <c r="J64" s="2402">
        <f t="shared" si="16"/>
        <v>0</v>
      </c>
      <c r="K64" s="2402">
        <f t="shared" si="17"/>
        <v>0</v>
      </c>
      <c r="L64" s="2402">
        <v>0</v>
      </c>
      <c r="M64" s="2402">
        <f t="shared" si="18"/>
        <v>0</v>
      </c>
      <c r="N64" s="2402">
        <f t="shared" si="18"/>
        <v>0</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3" t="s">
        <v>1027</v>
      </c>
      <c r="B65" s="2373" t="str">
        <f>估价对象房地状况!C22</f>
        <v>六通</v>
      </c>
      <c r="C65" s="1050"/>
      <c r="D65" s="2381">
        <f t="shared" si="15"/>
        <v>0</v>
      </c>
      <c r="E65" s="2403"/>
      <c r="F65" s="2401"/>
      <c r="G65" s="2379"/>
      <c r="H65" s="2380" t="str">
        <f t="shared" si="19"/>
        <v>——</v>
      </c>
      <c r="I65" s="2399">
        <v>0.12</v>
      </c>
      <c r="J65" s="2402">
        <f t="shared" si="16"/>
        <v>0</v>
      </c>
      <c r="K65" s="2402">
        <f t="shared" si="17"/>
        <v>0</v>
      </c>
      <c r="L65" s="2402">
        <v>0</v>
      </c>
      <c r="M65" s="2402">
        <f t="shared" si="18"/>
        <v>0</v>
      </c>
      <c r="N65" s="2402">
        <f t="shared" si="18"/>
        <v>0</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24.75" thickBot="1">
      <c r="A66" s="2405" t="s">
        <v>1028</v>
      </c>
      <c r="B66" s="2377" t="str">
        <f>估价对象房地状况!C20</f>
        <v>较好</v>
      </c>
      <c r="C66" s="1050"/>
      <c r="D66" s="2381">
        <f t="shared" si="15"/>
        <v>0</v>
      </c>
      <c r="E66" s="2407"/>
      <c r="F66" s="2401"/>
      <c r="G66" s="2379"/>
      <c r="H66" s="2380" t="str">
        <f t="shared" si="19"/>
        <v>——</v>
      </c>
      <c r="I66" s="2406">
        <v>0.06</v>
      </c>
      <c r="J66" s="2402">
        <f t="shared" si="16"/>
        <v>0</v>
      </c>
      <c r="K66" s="2402">
        <f t="shared" si="17"/>
        <v>0</v>
      </c>
      <c r="L66" s="2402">
        <v>0</v>
      </c>
      <c r="M66" s="2402">
        <f t="shared" si="18"/>
        <v>0</v>
      </c>
      <c r="N66" s="2402">
        <f t="shared" si="18"/>
        <v>0</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1031</v>
      </c>
      <c r="B67" s="2389">
        <f>1+E69</f>
        <v>1</v>
      </c>
      <c r="C67" s="2408"/>
      <c r="D67" s="2391"/>
      <c r="E67" s="2392"/>
      <c r="F67" s="2393"/>
      <c r="G67" s="2387"/>
      <c r="H67" s="2387"/>
      <c r="I67" s="2387"/>
      <c r="J67" s="1062"/>
      <c r="K67" s="1062"/>
      <c r="L67" s="1062"/>
      <c r="M67" s="1062"/>
      <c r="N67" s="1062"/>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3" t="s">
        <v>1008</v>
      </c>
      <c r="B68" s="2372"/>
      <c r="C68" s="2394" t="s">
        <v>1010</v>
      </c>
      <c r="D68" s="2395" t="s">
        <v>1011</v>
      </c>
      <c r="E68" s="2396" t="s">
        <v>1013</v>
      </c>
      <c r="F68" s="2397" t="s">
        <v>2252</v>
      </c>
      <c r="G68" s="2395" t="s">
        <v>1014</v>
      </c>
      <c r="H68" s="2378" t="s">
        <v>2417</v>
      </c>
      <c r="I68" s="2395" t="s">
        <v>1012</v>
      </c>
      <c r="J68" s="2398" t="s">
        <v>1015</v>
      </c>
      <c r="K68" s="2398" t="s">
        <v>1016</v>
      </c>
      <c r="L68" s="2398" t="s">
        <v>1017</v>
      </c>
      <c r="M68" s="2398" t="s">
        <v>1018</v>
      </c>
      <c r="N68" s="2398" t="s">
        <v>1019</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24">
      <c r="A69" s="1063" t="s">
        <v>1032</v>
      </c>
      <c r="B69" s="2375">
        <f>估价对象房地状况!C15</f>
        <v>0</v>
      </c>
      <c r="C69" s="1155"/>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14.25">
      <c r="A70" s="1063" t="s">
        <v>1033</v>
      </c>
      <c r="B70" s="2372" t="str">
        <f>估价对象房地状况!C18</f>
        <v>较好</v>
      </c>
      <c r="C70" s="1155"/>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3" t="s">
        <v>1022</v>
      </c>
      <c r="B71" s="2372">
        <f>估价对象房地状况!C19</f>
        <v>0</v>
      </c>
      <c r="C71" s="1155"/>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3" t="s">
        <v>1034</v>
      </c>
      <c r="B72" s="2372">
        <f>估价对象房地状况!C24</f>
        <v>0</v>
      </c>
      <c r="C72" s="1155"/>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3" t="s">
        <v>1026</v>
      </c>
      <c r="B73" s="2373" t="str">
        <f>估价对象房地状况!C21</f>
        <v>一般</v>
      </c>
      <c r="C73" s="1155"/>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3" t="s">
        <v>1027</v>
      </c>
      <c r="B74" s="2373" t="str">
        <f>估价对象房地状况!C22</f>
        <v>六通</v>
      </c>
      <c r="C74" s="1155"/>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3" t="s">
        <v>1025</v>
      </c>
      <c r="B75" s="3044" t="s">
        <v>2929</v>
      </c>
      <c r="C75" s="1155"/>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24">
      <c r="A76" s="1063" t="s">
        <v>1028</v>
      </c>
      <c r="B76" s="2375" t="str">
        <f>估价对象房地状况!C20</f>
        <v>较好</v>
      </c>
      <c r="C76" s="1155"/>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1035</v>
      </c>
      <c r="B77" s="1835"/>
      <c r="C77" s="1155"/>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1036</v>
      </c>
      <c r="B78" s="2389">
        <f>1+E80</f>
        <v>1</v>
      </c>
      <c r="C78" s="2408"/>
      <c r="D78" s="2391"/>
      <c r="E78" s="2392"/>
      <c r="F78" s="2393"/>
      <c r="G78" s="2387"/>
      <c r="H78" s="2387"/>
      <c r="I78" s="2387"/>
      <c r="J78" s="1062"/>
      <c r="K78" s="1062"/>
      <c r="L78" s="1062"/>
      <c r="M78" s="1062"/>
      <c r="N78" s="1062"/>
      <c r="AC78" s="1401"/>
      <c r="AD78" s="1400"/>
      <c r="AJ78" s="1399"/>
      <c r="AN78" s="1400"/>
    </row>
    <row r="79" spans="1:40" ht="24">
      <c r="A79" s="1063" t="s">
        <v>1008</v>
      </c>
      <c r="B79" s="2372"/>
      <c r="C79" s="2394" t="s">
        <v>1010</v>
      </c>
      <c r="D79" s="2395" t="s">
        <v>1011</v>
      </c>
      <c r="E79" s="2396" t="s">
        <v>1013</v>
      </c>
      <c r="F79" s="2397" t="s">
        <v>2253</v>
      </c>
      <c r="G79" s="2395" t="s">
        <v>1014</v>
      </c>
      <c r="H79" s="2378" t="s">
        <v>2417</v>
      </c>
      <c r="I79" s="2395" t="s">
        <v>1012</v>
      </c>
      <c r="J79" s="2398" t="s">
        <v>1015</v>
      </c>
      <c r="K79" s="2398" t="s">
        <v>1016</v>
      </c>
      <c r="L79" s="2398" t="s">
        <v>1017</v>
      </c>
      <c r="M79" s="2398" t="s">
        <v>1018</v>
      </c>
      <c r="N79" s="2398" t="s">
        <v>1019</v>
      </c>
      <c r="AC79" s="1401"/>
      <c r="AD79" s="1400"/>
      <c r="AJ79" s="1399"/>
      <c r="AN79" s="1400"/>
    </row>
    <row r="80" spans="1:40" ht="36">
      <c r="A80" s="1063" t="s">
        <v>1037</v>
      </c>
      <c r="B80" s="2372" t="str">
        <f>估价对象房地状况!G15</f>
        <v>估价对象位于XX开发区，园区建设成熟度XX，产业集聚程度XX</v>
      </c>
      <c r="C80" s="1050"/>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3" t="s">
        <v>1033</v>
      </c>
      <c r="B81" s="2372" t="str">
        <f>估价对象房地状况!G16</f>
        <v>估价对象周边道路状况、公共交通通达情况、停车便捷程度，综合评价交通便捷度较好</v>
      </c>
      <c r="C81" s="1050"/>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3" t="s">
        <v>1022</v>
      </c>
      <c r="B82" s="2372">
        <f>估价对象房地状况!G17</f>
        <v>0</v>
      </c>
      <c r="C82" s="1050"/>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3" t="s">
        <v>1034</v>
      </c>
      <c r="B83" s="2372">
        <f>估价对象房地状况!G22</f>
        <v>0</v>
      </c>
      <c r="C83" s="1050"/>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3" t="s">
        <v>1026</v>
      </c>
      <c r="B84" s="2373" t="str">
        <f>估价对象房地状况!G19</f>
        <v>估价对象所在区域公共配套设施齐备情况</v>
      </c>
      <c r="C84" s="1050"/>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3" t="s">
        <v>1027</v>
      </c>
      <c r="B85" s="2373" t="str">
        <f>估价对象房地状况!G20</f>
        <v>估价对象所在区域基础设施水平</v>
      </c>
      <c r="C85" s="1050"/>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3" t="s">
        <v>1025</v>
      </c>
      <c r="B86" s="3044" t="s">
        <v>2929</v>
      </c>
      <c r="C86" s="1050"/>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36.75" thickBot="1">
      <c r="A87" s="2405" t="s">
        <v>1038</v>
      </c>
      <c r="B87" s="2374" t="str">
        <f>估价对象房地状况!G18</f>
        <v>该园区内是否有污染型企业，绿化情况，卫生条件，整体环境状况判断</v>
      </c>
      <c r="C87" s="1050"/>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491" t="s">
        <v>1633</v>
      </c>
      <c r="B90" s="3491"/>
      <c r="C90" s="3491"/>
      <c r="D90" s="3491"/>
      <c r="E90" s="3491"/>
      <c r="F90" s="3491"/>
      <c r="G90" s="3491"/>
      <c r="H90" s="3491"/>
      <c r="I90" s="3491"/>
      <c r="J90" s="3491"/>
      <c r="K90" s="2414"/>
      <c r="L90" s="2414"/>
      <c r="M90" s="2414"/>
      <c r="N90" s="2414"/>
    </row>
    <row r="91" spans="1:40">
      <c r="A91" s="3492" t="s">
        <v>1443</v>
      </c>
      <c r="B91" s="3492" t="s">
        <v>1634</v>
      </c>
      <c r="C91" s="1136" t="s">
        <v>1635</v>
      </c>
      <c r="D91" s="1137"/>
      <c r="E91" s="1137"/>
      <c r="F91" s="1137"/>
      <c r="G91" s="1137"/>
      <c r="H91" s="1137"/>
      <c r="I91" s="1137"/>
      <c r="J91" s="1138"/>
      <c r="K91" s="1130"/>
      <c r="L91" s="1130"/>
      <c r="M91" s="1130"/>
      <c r="N91" s="1130"/>
    </row>
    <row r="92" spans="1:40">
      <c r="A92" s="3492"/>
      <c r="B92" s="3492"/>
      <c r="C92" s="2413" t="s">
        <v>907</v>
      </c>
      <c r="D92" s="2413" t="s">
        <v>885</v>
      </c>
      <c r="E92" s="2413" t="s">
        <v>886</v>
      </c>
      <c r="F92" s="2413" t="s">
        <v>910</v>
      </c>
      <c r="G92" s="2413" t="s">
        <v>888</v>
      </c>
      <c r="H92" s="2413" t="s">
        <v>889</v>
      </c>
      <c r="I92" s="2413" t="s">
        <v>890</v>
      </c>
      <c r="J92" s="2413" t="s">
        <v>891</v>
      </c>
      <c r="K92" s="2413" t="s">
        <v>915</v>
      </c>
      <c r="L92" s="2413" t="s">
        <v>893</v>
      </c>
      <c r="M92" s="2413" t="s">
        <v>894</v>
      </c>
      <c r="N92" s="2413" t="s">
        <v>918</v>
      </c>
    </row>
    <row r="93" spans="1:40">
      <c r="A93" s="3478" t="s">
        <v>2761</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79"/>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79"/>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79"/>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79"/>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79"/>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79"/>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80"/>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78" t="s">
        <v>1637</v>
      </c>
      <c r="B101" s="1143" t="s">
        <v>906</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79"/>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79"/>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79"/>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79"/>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79"/>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79"/>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79"/>
      <c r="B108" s="3481"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80"/>
      <c r="B109" s="3482"/>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85" t="s">
        <v>1639</v>
      </c>
      <c r="B110" s="3485"/>
      <c r="C110" s="3485"/>
      <c r="D110" s="3485"/>
      <c r="E110" s="3485"/>
      <c r="F110" s="3485"/>
      <c r="G110" s="3485"/>
      <c r="H110" s="3485"/>
      <c r="I110" s="3485"/>
      <c r="J110" s="3485"/>
      <c r="K110" s="2412"/>
      <c r="L110" s="2412"/>
      <c r="M110" s="2412"/>
      <c r="N110" s="2412"/>
    </row>
    <row r="112" spans="1:14" ht="12.75" thickBot="1"/>
    <row r="113" spans="1:13" ht="25.5" thickBot="1">
      <c r="A113" s="1016" t="s">
        <v>896</v>
      </c>
      <c r="B113" s="2415">
        <f>G3</f>
        <v>0</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2.75">
      <c r="A116" s="1029" t="s">
        <v>901</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2.75">
      <c r="A117" s="1032" t="s">
        <v>902</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5" thickBot="1">
      <c r="A118" s="1033" t="s">
        <v>903</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2" t="s">
        <v>2983</v>
      </c>
      <c r="B15" s="3059">
        <f>SUM(B6:B13)</f>
        <v>375</v>
      </c>
      <c r="C15" s="3059">
        <f t="shared" ref="C15:H15" si="0">SUM(C6:C13)</f>
        <v>375</v>
      </c>
      <c r="D15" s="3059">
        <f t="shared" si="0"/>
        <v>300</v>
      </c>
      <c r="E15" s="3059">
        <f t="shared" si="0"/>
        <v>300</v>
      </c>
      <c r="F15" s="3059">
        <f t="shared" si="0"/>
        <v>300</v>
      </c>
      <c r="G15" s="3059">
        <f t="shared" si="0"/>
        <v>300</v>
      </c>
      <c r="H15" s="3059">
        <f t="shared" si="0"/>
        <v>300</v>
      </c>
      <c r="I15" s="3059">
        <f>SUM(I6:I10,I13)</f>
        <v>155</v>
      </c>
      <c r="J15" s="3059">
        <f t="shared" ref="J15:M15" si="1">SUM(J6:J10,J13)</f>
        <v>155</v>
      </c>
      <c r="K15" s="3059">
        <f t="shared" si="1"/>
        <v>155</v>
      </c>
      <c r="L15" s="3059">
        <f t="shared" si="1"/>
        <v>155</v>
      </c>
      <c r="M15" s="3059">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4" customFormat="1" ht="19.5" customHeight="1">
      <c r="A18" s="3492" t="s">
        <v>1007</v>
      </c>
      <c r="B18" s="1150" t="s">
        <v>1446</v>
      </c>
      <c r="C18" s="1127" t="s">
        <v>1447</v>
      </c>
      <c r="D18" s="1128"/>
      <c r="E18" s="1150">
        <v>1</v>
      </c>
      <c r="F18" s="1129" t="s">
        <v>1448</v>
      </c>
      <c r="G18" s="1130"/>
      <c r="H18" s="1101"/>
      <c r="I18" s="1101"/>
    </row>
    <row r="19" spans="1:9" s="1584" customFormat="1" ht="19.5" customHeight="1">
      <c r="A19" s="3492"/>
      <c r="B19" s="3492" t="s">
        <v>1449</v>
      </c>
      <c r="C19" s="1127" t="s">
        <v>1450</v>
      </c>
      <c r="D19" s="1128"/>
      <c r="E19" s="1150">
        <v>0.9</v>
      </c>
      <c r="F19" s="1129" t="s">
        <v>1451</v>
      </c>
      <c r="G19" s="1130"/>
      <c r="H19" s="1101"/>
      <c r="I19" s="1101"/>
    </row>
    <row r="20" spans="1:9" s="1584" customFormat="1" ht="19.5" customHeight="1">
      <c r="A20" s="3492"/>
      <c r="B20" s="3492"/>
      <c r="C20" s="1127" t="s">
        <v>1452</v>
      </c>
      <c r="D20" s="1128"/>
      <c r="E20" s="1150">
        <v>1.1000000000000001</v>
      </c>
      <c r="F20" s="1129" t="s">
        <v>1453</v>
      </c>
      <c r="G20" s="1130"/>
      <c r="H20" s="1101"/>
      <c r="I20" s="1101"/>
    </row>
    <row r="21" spans="1:9" s="1584" customFormat="1" ht="19.5" customHeight="1">
      <c r="A21" s="3492"/>
      <c r="B21" s="3492"/>
      <c r="C21" s="1127" t="s">
        <v>1454</v>
      </c>
      <c r="D21" s="1128"/>
      <c r="E21" s="1150">
        <v>0.8</v>
      </c>
      <c r="F21" s="1129" t="s">
        <v>1455</v>
      </c>
      <c r="G21" s="1130"/>
      <c r="H21" s="1101"/>
      <c r="I21" s="1101"/>
    </row>
    <row r="22" spans="1:9" s="1584" customFormat="1" ht="19.5" customHeight="1">
      <c r="A22" s="3492"/>
      <c r="B22" s="3492"/>
      <c r="C22" s="1127" t="s">
        <v>1456</v>
      </c>
      <c r="D22" s="1128"/>
      <c r="E22" s="1150">
        <v>0.5</v>
      </c>
      <c r="F22" s="1129"/>
      <c r="G22" s="1130"/>
      <c r="H22" s="1101"/>
      <c r="I22" s="1101"/>
    </row>
    <row r="23" spans="1:9" s="1584" customFormat="1" ht="19.5" customHeight="1">
      <c r="A23" s="3492" t="s">
        <v>1029</v>
      </c>
      <c r="B23" s="1150" t="s">
        <v>1446</v>
      </c>
      <c r="C23" s="1127" t="s">
        <v>1457</v>
      </c>
      <c r="D23" s="1128"/>
      <c r="E23" s="1150">
        <v>1</v>
      </c>
      <c r="F23" s="1129" t="s">
        <v>1458</v>
      </c>
      <c r="G23" s="1130"/>
      <c r="H23" s="1101"/>
      <c r="I23" s="1101"/>
    </row>
    <row r="24" spans="1:9" s="1584" customFormat="1" ht="19.5" customHeight="1">
      <c r="A24" s="3492"/>
      <c r="B24" s="3492" t="s">
        <v>1449</v>
      </c>
      <c r="C24" s="1127" t="s">
        <v>1459</v>
      </c>
      <c r="D24" s="1128"/>
      <c r="E24" s="1150">
        <v>0.5</v>
      </c>
      <c r="F24" s="1129"/>
      <c r="G24" s="1130"/>
      <c r="H24" s="1101"/>
      <c r="I24" s="1101"/>
    </row>
    <row r="25" spans="1:9" s="1584" customFormat="1" ht="19.5" customHeight="1">
      <c r="A25" s="3492"/>
      <c r="B25" s="3492"/>
      <c r="C25" s="1127" t="s">
        <v>1460</v>
      </c>
      <c r="D25" s="1128"/>
      <c r="E25" s="1150">
        <v>1.1000000000000001</v>
      </c>
      <c r="F25" s="1129"/>
      <c r="G25" s="1130"/>
      <c r="H25" s="1101"/>
      <c r="I25" s="1101"/>
    </row>
    <row r="26" spans="1:9" s="1584" customFormat="1" ht="19.5" customHeight="1">
      <c r="A26" s="3492"/>
      <c r="B26" s="3492"/>
      <c r="C26" s="1127" t="s">
        <v>1461</v>
      </c>
      <c r="D26" s="1128"/>
      <c r="E26" s="1150">
        <v>1.1000000000000001</v>
      </c>
      <c r="F26" s="1129"/>
      <c r="G26" s="1130"/>
      <c r="H26" s="1101"/>
      <c r="I26" s="1101"/>
    </row>
    <row r="27" spans="1:9" s="1584" customFormat="1" ht="19.5" customHeight="1">
      <c r="A27" s="3492"/>
      <c r="B27" s="3492"/>
      <c r="C27" s="1127" t="s">
        <v>1462</v>
      </c>
      <c r="D27" s="1128"/>
      <c r="E27" s="1150">
        <v>0.9</v>
      </c>
      <c r="F27" s="1129" t="s">
        <v>1463</v>
      </c>
      <c r="G27" s="1130"/>
      <c r="H27" s="1101"/>
      <c r="I27" s="1101"/>
    </row>
    <row r="28" spans="1:9" s="1584" customFormat="1" ht="19.5" customHeight="1">
      <c r="A28" s="3492"/>
      <c r="B28" s="3492"/>
      <c r="C28" s="1127" t="s">
        <v>1464</v>
      </c>
      <c r="D28" s="1128"/>
      <c r="E28" s="1150">
        <v>0.9</v>
      </c>
      <c r="F28" s="1129" t="s">
        <v>1465</v>
      </c>
      <c r="G28" s="1130"/>
      <c r="H28" s="1101"/>
      <c r="I28" s="1101"/>
    </row>
    <row r="29" spans="1:9" s="1584" customFormat="1" ht="19.5" customHeight="1">
      <c r="A29" s="3492"/>
      <c r="B29" s="3492"/>
      <c r="C29" s="1127" t="s">
        <v>1466</v>
      </c>
      <c r="D29" s="1128"/>
      <c r="E29" s="1150">
        <v>0.9</v>
      </c>
      <c r="F29" s="1129" t="s">
        <v>1467</v>
      </c>
      <c r="G29" s="1130"/>
      <c r="H29" s="1101"/>
      <c r="I29" s="1101"/>
    </row>
    <row r="30" spans="1:9" s="1584" customFormat="1" ht="19.5" customHeight="1">
      <c r="A30" s="3492"/>
      <c r="B30" s="3492"/>
      <c r="C30" s="1127" t="s">
        <v>1468</v>
      </c>
      <c r="D30" s="1128"/>
      <c r="E30" s="1150">
        <v>0.9</v>
      </c>
      <c r="F30" s="1129" t="s">
        <v>1469</v>
      </c>
      <c r="G30" s="1130"/>
      <c r="H30" s="1101"/>
      <c r="I30" s="1101"/>
    </row>
    <row r="31" spans="1:9" s="1584" customFormat="1" ht="19.5" customHeight="1">
      <c r="A31" s="3492"/>
      <c r="B31" s="3492"/>
      <c r="C31" s="1127" t="s">
        <v>1470</v>
      </c>
      <c r="D31" s="1128"/>
      <c r="E31" s="1150">
        <v>0.8</v>
      </c>
      <c r="F31" s="1129" t="s">
        <v>1471</v>
      </c>
      <c r="G31" s="1130"/>
      <c r="H31" s="1101"/>
      <c r="I31" s="1101"/>
    </row>
    <row r="32" spans="1:9" s="1584" customFormat="1" ht="19.5" customHeight="1">
      <c r="A32" s="3492"/>
      <c r="B32" s="3492"/>
      <c r="C32" s="1127" t="s">
        <v>1472</v>
      </c>
      <c r="D32" s="1128"/>
      <c r="E32" s="1150">
        <v>0.8</v>
      </c>
      <c r="F32" s="1129" t="s">
        <v>1473</v>
      </c>
      <c r="G32" s="1130"/>
      <c r="H32" s="1101"/>
      <c r="I32" s="1101"/>
    </row>
    <row r="33" spans="1:9" s="1584" customFormat="1" ht="19.5" customHeight="1">
      <c r="A33" s="3492" t="s">
        <v>1474</v>
      </c>
      <c r="B33" s="1150" t="s">
        <v>1446</v>
      </c>
      <c r="C33" s="1127" t="s">
        <v>1475</v>
      </c>
      <c r="D33" s="1128"/>
      <c r="E33" s="1150">
        <v>1</v>
      </c>
      <c r="F33" s="1129" t="s">
        <v>1476</v>
      </c>
      <c r="G33" s="1130"/>
      <c r="H33" s="1101"/>
      <c r="I33" s="1101"/>
    </row>
    <row r="34" spans="1:9" s="1584" customFormat="1" ht="19.5" customHeight="1">
      <c r="A34" s="3492"/>
      <c r="B34" s="1150" t="s">
        <v>1449</v>
      </c>
      <c r="C34" s="1127" t="s">
        <v>1477</v>
      </c>
      <c r="D34" s="1128"/>
      <c r="E34" s="1150">
        <v>1.5</v>
      </c>
      <c r="F34" s="1129" t="s">
        <v>1478</v>
      </c>
      <c r="G34" s="1130"/>
      <c r="H34" s="1101"/>
      <c r="I34" s="1101"/>
    </row>
    <row r="35" spans="1:9" s="1584" customFormat="1" ht="19.5" customHeight="1">
      <c r="A35" s="3492" t="s">
        <v>1432</v>
      </c>
      <c r="B35" s="1150" t="s">
        <v>1446</v>
      </c>
      <c r="C35" s="1127" t="s">
        <v>1479</v>
      </c>
      <c r="D35" s="1128"/>
      <c r="E35" s="1150">
        <v>1</v>
      </c>
      <c r="F35" s="1129" t="s">
        <v>1480</v>
      </c>
      <c r="G35" s="1130"/>
      <c r="H35" s="1101"/>
      <c r="I35" s="1101"/>
    </row>
    <row r="36" spans="1:9" s="1584" customFormat="1" ht="19.5" customHeight="1">
      <c r="A36" s="3492"/>
      <c r="B36" s="3492" t="s">
        <v>1449</v>
      </c>
      <c r="C36" s="1127" t="s">
        <v>1481</v>
      </c>
      <c r="D36" s="1128"/>
      <c r="E36" s="1150">
        <v>1</v>
      </c>
      <c r="F36" s="1129" t="s">
        <v>1482</v>
      </c>
      <c r="G36" s="1130"/>
      <c r="H36" s="1101"/>
      <c r="I36" s="1101"/>
    </row>
    <row r="37" spans="1:9" s="1584" customFormat="1" ht="19.5" customHeight="1">
      <c r="A37" s="3492"/>
      <c r="B37" s="3492"/>
      <c r="C37" s="1127" t="s">
        <v>1483</v>
      </c>
      <c r="D37" s="1128"/>
      <c r="E37" s="1150">
        <v>1.5</v>
      </c>
      <c r="F37" s="1129" t="s">
        <v>1484</v>
      </c>
      <c r="G37" s="1130"/>
      <c r="H37" s="1101"/>
      <c r="I37" s="1101"/>
    </row>
    <row r="38" spans="1:9" s="1584" customFormat="1" ht="19.5" customHeight="1">
      <c r="A38" s="3492"/>
      <c r="B38" s="3492"/>
      <c r="C38" s="1127" t="s">
        <v>1485</v>
      </c>
      <c r="D38" s="1128"/>
      <c r="E38" s="1150">
        <v>1</v>
      </c>
      <c r="F38" s="1129" t="s">
        <v>1486</v>
      </c>
      <c r="G38" s="1130"/>
      <c r="H38" s="1101"/>
      <c r="I38" s="1101"/>
    </row>
    <row r="39" spans="1:9" s="1584" customFormat="1" ht="19.5" customHeight="1">
      <c r="A39" s="3492"/>
      <c r="B39" s="3492"/>
      <c r="C39" s="1127" t="s">
        <v>1487</v>
      </c>
      <c r="D39" s="1128"/>
      <c r="E39" s="1150">
        <v>1</v>
      </c>
      <c r="F39" s="1129" t="s">
        <v>1488</v>
      </c>
      <c r="G39" s="1130"/>
      <c r="H39" s="1101"/>
      <c r="I39" s="1101"/>
    </row>
    <row r="40" spans="1:9" s="1584" customFormat="1" ht="19.5" customHeight="1">
      <c r="A40" s="1585" t="s">
        <v>1489</v>
      </c>
      <c r="B40" s="1585"/>
      <c r="C40" s="1585"/>
      <c r="D40" s="1585"/>
      <c r="E40" s="1585"/>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492" t="s">
        <v>1501</v>
      </c>
      <c r="C61" s="1064" t="s">
        <v>1502</v>
      </c>
      <c r="D61" s="1064" t="s">
        <v>1503</v>
      </c>
      <c r="E61" s="1135">
        <v>0.5</v>
      </c>
      <c r="F61" s="1150">
        <v>80</v>
      </c>
      <c r="H61" s="1101">
        <f>SUMIF(C59:C119,基准地价!C8,E59:E119)</f>
        <v>0</v>
      </c>
    </row>
    <row r="62" spans="1:8" s="1101" customFormat="1" ht="24">
      <c r="A62" s="1150">
        <v>2</v>
      </c>
      <c r="B62" s="3492"/>
      <c r="C62" s="1064" t="s">
        <v>1504</v>
      </c>
      <c r="D62" s="1064" t="s">
        <v>1505</v>
      </c>
      <c r="E62" s="1135">
        <v>0.5</v>
      </c>
      <c r="F62" s="1150">
        <v>80</v>
      </c>
    </row>
    <row r="63" spans="1:8" s="1101" customFormat="1" ht="36">
      <c r="A63" s="1150">
        <v>3</v>
      </c>
      <c r="B63" s="3492"/>
      <c r="C63" s="1064" t="s">
        <v>1506</v>
      </c>
      <c r="D63" s="1064" t="s">
        <v>1507</v>
      </c>
      <c r="E63" s="1135">
        <v>0.5</v>
      </c>
      <c r="F63" s="1150">
        <v>80</v>
      </c>
    </row>
    <row r="64" spans="1:8" s="1101" customFormat="1" ht="36">
      <c r="A64" s="1150">
        <v>4</v>
      </c>
      <c r="B64" s="3492"/>
      <c r="C64" s="1064" t="s">
        <v>1508</v>
      </c>
      <c r="D64" s="1064" t="s">
        <v>1509</v>
      </c>
      <c r="E64" s="1135">
        <v>0.4</v>
      </c>
      <c r="F64" s="1150">
        <v>60</v>
      </c>
    </row>
    <row r="65" spans="1:6" s="1101" customFormat="1" ht="36">
      <c r="A65" s="1150">
        <v>5</v>
      </c>
      <c r="B65" s="3492"/>
      <c r="C65" s="1064" t="s">
        <v>1510</v>
      </c>
      <c r="D65" s="1064" t="s">
        <v>1511</v>
      </c>
      <c r="E65" s="1135">
        <v>0.2</v>
      </c>
      <c r="F65" s="1150">
        <v>30</v>
      </c>
    </row>
    <row r="66" spans="1:6" s="1101" customFormat="1" ht="36">
      <c r="A66" s="1150">
        <v>6</v>
      </c>
      <c r="B66" s="3492"/>
      <c r="C66" s="1064" t="s">
        <v>1512</v>
      </c>
      <c r="D66" s="1064" t="s">
        <v>1513</v>
      </c>
      <c r="E66" s="1135">
        <v>0.3</v>
      </c>
      <c r="F66" s="1150">
        <v>50</v>
      </c>
    </row>
    <row r="67" spans="1:6" s="1101" customFormat="1" ht="36">
      <c r="A67" s="1150">
        <v>7</v>
      </c>
      <c r="B67" s="3492"/>
      <c r="C67" s="1064" t="s">
        <v>1514</v>
      </c>
      <c r="D67" s="1064" t="s">
        <v>1515</v>
      </c>
      <c r="E67" s="1135">
        <v>0.2</v>
      </c>
      <c r="F67" s="1150">
        <v>30</v>
      </c>
    </row>
    <row r="68" spans="1:6" s="1101" customFormat="1" ht="36">
      <c r="A68" s="1150">
        <v>8</v>
      </c>
      <c r="B68" s="3492"/>
      <c r="C68" s="1064" t="s">
        <v>1516</v>
      </c>
      <c r="D68" s="1064" t="s">
        <v>1517</v>
      </c>
      <c r="E68" s="1135">
        <v>0.2</v>
      </c>
      <c r="F68" s="1150">
        <v>30</v>
      </c>
    </row>
    <row r="69" spans="1:6" s="1101" customFormat="1" ht="36">
      <c r="A69" s="1150">
        <v>9</v>
      </c>
      <c r="B69" s="3492"/>
      <c r="C69" s="1064" t="s">
        <v>1518</v>
      </c>
      <c r="D69" s="1064" t="s">
        <v>1519</v>
      </c>
      <c r="E69" s="1135">
        <v>0.2</v>
      </c>
      <c r="F69" s="1150">
        <v>30</v>
      </c>
    </row>
    <row r="70" spans="1:6" s="1101" customFormat="1" ht="48">
      <c r="A70" s="1150">
        <v>10</v>
      </c>
      <c r="B70" s="3492"/>
      <c r="C70" s="1064" t="s">
        <v>1520</v>
      </c>
      <c r="D70" s="1064" t="s">
        <v>1521</v>
      </c>
      <c r="E70" s="1135">
        <v>0.2</v>
      </c>
      <c r="F70" s="1150">
        <v>30</v>
      </c>
    </row>
    <row r="71" spans="1:6" s="1101" customFormat="1" ht="48">
      <c r="A71" s="1150">
        <v>11</v>
      </c>
      <c r="B71" s="3492"/>
      <c r="C71" s="1064" t="s">
        <v>1522</v>
      </c>
      <c r="D71" s="1064" t="s">
        <v>1523</v>
      </c>
      <c r="E71" s="1135">
        <v>0.2</v>
      </c>
      <c r="F71" s="1150">
        <v>30</v>
      </c>
    </row>
    <row r="72" spans="1:6" s="1101" customFormat="1" ht="36">
      <c r="A72" s="1150">
        <v>12</v>
      </c>
      <c r="B72" s="3492"/>
      <c r="C72" s="1064" t="s">
        <v>1524</v>
      </c>
      <c r="D72" s="1064" t="s">
        <v>1525</v>
      </c>
      <c r="E72" s="1135">
        <v>0.5</v>
      </c>
      <c r="F72" s="1150">
        <v>80</v>
      </c>
    </row>
    <row r="73" spans="1:6" s="1101" customFormat="1" ht="24">
      <c r="A73" s="1150">
        <v>13</v>
      </c>
      <c r="B73" s="3492"/>
      <c r="C73" s="1064" t="s">
        <v>1526</v>
      </c>
      <c r="D73" s="1064" t="s">
        <v>1527</v>
      </c>
      <c r="E73" s="1135">
        <v>0.4</v>
      </c>
      <c r="F73" s="1150">
        <v>60</v>
      </c>
    </row>
    <row r="74" spans="1:6" s="1101" customFormat="1" ht="24">
      <c r="A74" s="1150">
        <v>14</v>
      </c>
      <c r="B74" s="3492"/>
      <c r="C74" s="1064" t="s">
        <v>1528</v>
      </c>
      <c r="D74" s="1064" t="s">
        <v>1529</v>
      </c>
      <c r="E74" s="1135">
        <v>0.2</v>
      </c>
      <c r="F74" s="1150">
        <v>30</v>
      </c>
    </row>
    <row r="75" spans="1:6" s="1101" customFormat="1" ht="24">
      <c r="A75" s="1150">
        <v>15</v>
      </c>
      <c r="B75" s="3492"/>
      <c r="C75" s="1064" t="s">
        <v>1530</v>
      </c>
      <c r="D75" s="1064" t="s">
        <v>1531</v>
      </c>
      <c r="E75" s="1135">
        <v>0.2</v>
      </c>
      <c r="F75" s="1150">
        <v>30</v>
      </c>
    </row>
    <row r="76" spans="1:6" s="1101" customFormat="1" ht="24">
      <c r="A76" s="1150">
        <v>16</v>
      </c>
      <c r="B76" s="3492" t="s">
        <v>1532</v>
      </c>
      <c r="C76" s="1064" t="s">
        <v>1533</v>
      </c>
      <c r="D76" s="1064" t="s">
        <v>1534</v>
      </c>
      <c r="E76" s="1135">
        <v>0.5</v>
      </c>
      <c r="F76" s="1150">
        <v>80</v>
      </c>
    </row>
    <row r="77" spans="1:6" s="1101" customFormat="1" ht="24">
      <c r="A77" s="1150">
        <v>17</v>
      </c>
      <c r="B77" s="3492"/>
      <c r="C77" s="1064" t="s">
        <v>1535</v>
      </c>
      <c r="D77" s="1064" t="s">
        <v>1536</v>
      </c>
      <c r="E77" s="1135">
        <v>0.5</v>
      </c>
      <c r="F77" s="1150">
        <v>80</v>
      </c>
    </row>
    <row r="78" spans="1:6" s="1101" customFormat="1" ht="24">
      <c r="A78" s="1150">
        <v>18</v>
      </c>
      <c r="B78" s="3492"/>
      <c r="C78" s="1064" t="s">
        <v>1537</v>
      </c>
      <c r="D78" s="1064" t="s">
        <v>1538</v>
      </c>
      <c r="E78" s="1135">
        <v>0.2</v>
      </c>
      <c r="F78" s="1150">
        <v>30</v>
      </c>
    </row>
    <row r="79" spans="1:6" s="1101" customFormat="1" ht="24">
      <c r="A79" s="1150">
        <v>19</v>
      </c>
      <c r="B79" s="3492"/>
      <c r="C79" s="1064" t="s">
        <v>1539</v>
      </c>
      <c r="D79" s="1064" t="s">
        <v>1540</v>
      </c>
      <c r="E79" s="1135">
        <v>0.5</v>
      </c>
      <c r="F79" s="1150">
        <v>80</v>
      </c>
    </row>
    <row r="80" spans="1:6" s="1101" customFormat="1" ht="36">
      <c r="A80" s="1150">
        <v>20</v>
      </c>
      <c r="B80" s="3492"/>
      <c r="C80" s="1064" t="s">
        <v>1541</v>
      </c>
      <c r="D80" s="1064" t="s">
        <v>1542</v>
      </c>
      <c r="E80" s="1135">
        <v>0.2</v>
      </c>
      <c r="F80" s="1150">
        <v>30</v>
      </c>
    </row>
    <row r="81" spans="1:6" s="1101" customFormat="1" ht="36">
      <c r="A81" s="1150">
        <v>21</v>
      </c>
      <c r="B81" s="3492"/>
      <c r="C81" s="1064" t="s">
        <v>1543</v>
      </c>
      <c r="D81" s="1064" t="s">
        <v>1544</v>
      </c>
      <c r="E81" s="1135">
        <v>0.2</v>
      </c>
      <c r="F81" s="1150">
        <v>30</v>
      </c>
    </row>
    <row r="82" spans="1:6" s="1101" customFormat="1" ht="48">
      <c r="A82" s="1150">
        <v>22</v>
      </c>
      <c r="B82" s="3492"/>
      <c r="C82" s="1064" t="s">
        <v>1545</v>
      </c>
      <c r="D82" s="1064" t="s">
        <v>1546</v>
      </c>
      <c r="E82" s="1135">
        <v>0.2</v>
      </c>
      <c r="F82" s="1150">
        <v>30</v>
      </c>
    </row>
    <row r="83" spans="1:6" s="1101" customFormat="1" ht="48">
      <c r="A83" s="1150">
        <v>23</v>
      </c>
      <c r="B83" s="3492"/>
      <c r="C83" s="1064" t="s">
        <v>1547</v>
      </c>
      <c r="D83" s="1064" t="s">
        <v>1548</v>
      </c>
      <c r="E83" s="1135">
        <v>0.2</v>
      </c>
      <c r="F83" s="1150">
        <v>30</v>
      </c>
    </row>
    <row r="84" spans="1:6" s="1101" customFormat="1" ht="36">
      <c r="A84" s="1150">
        <v>24</v>
      </c>
      <c r="B84" s="3492"/>
      <c r="C84" s="1064" t="s">
        <v>1549</v>
      </c>
      <c r="D84" s="1064" t="s">
        <v>1550</v>
      </c>
      <c r="E84" s="1135">
        <v>0.2</v>
      </c>
      <c r="F84" s="1150">
        <v>30</v>
      </c>
    </row>
    <row r="85" spans="1:6" s="1101" customFormat="1" ht="36">
      <c r="A85" s="1150">
        <v>25</v>
      </c>
      <c r="B85" s="3492"/>
      <c r="C85" s="1064" t="s">
        <v>1551</v>
      </c>
      <c r="D85" s="1064" t="s">
        <v>1552</v>
      </c>
      <c r="E85" s="1135">
        <v>0.5</v>
      </c>
      <c r="F85" s="1150">
        <v>80</v>
      </c>
    </row>
    <row r="86" spans="1:6" s="1101" customFormat="1" ht="36">
      <c r="A86" s="1150">
        <v>26</v>
      </c>
      <c r="B86" s="3492"/>
      <c r="C86" s="1064" t="s">
        <v>1553</v>
      </c>
      <c r="D86" s="1064" t="s">
        <v>1554</v>
      </c>
      <c r="E86" s="1135">
        <v>0.2</v>
      </c>
      <c r="F86" s="1150">
        <v>30</v>
      </c>
    </row>
    <row r="87" spans="1:6" s="1101" customFormat="1" ht="36">
      <c r="A87" s="1150">
        <v>27</v>
      </c>
      <c r="B87" s="3492"/>
      <c r="C87" s="1064" t="s">
        <v>1555</v>
      </c>
      <c r="D87" s="1064" t="s">
        <v>1556</v>
      </c>
      <c r="E87" s="1135">
        <v>0.2</v>
      </c>
      <c r="F87" s="1150">
        <v>30</v>
      </c>
    </row>
    <row r="88" spans="1:6" s="1101" customFormat="1" ht="36">
      <c r="A88" s="1150">
        <v>28</v>
      </c>
      <c r="B88" s="3492"/>
      <c r="C88" s="1064" t="s">
        <v>1557</v>
      </c>
      <c r="D88" s="1064" t="s">
        <v>1558</v>
      </c>
      <c r="E88" s="1135">
        <v>0.2</v>
      </c>
      <c r="F88" s="1150">
        <v>30</v>
      </c>
    </row>
    <row r="89" spans="1:6" s="1101" customFormat="1" ht="24">
      <c r="A89" s="1150">
        <v>29</v>
      </c>
      <c r="B89" s="3492"/>
      <c r="C89" s="1064" t="s">
        <v>1559</v>
      </c>
      <c r="D89" s="1064" t="s">
        <v>1560</v>
      </c>
      <c r="E89" s="1135">
        <v>0.2</v>
      </c>
      <c r="F89" s="1150">
        <v>30</v>
      </c>
    </row>
    <row r="90" spans="1:6" s="1101" customFormat="1" ht="24">
      <c r="A90" s="1150">
        <v>30</v>
      </c>
      <c r="B90" s="3492"/>
      <c r="C90" s="1064" t="s">
        <v>1561</v>
      </c>
      <c r="D90" s="1064" t="s">
        <v>1562</v>
      </c>
      <c r="E90" s="1135">
        <v>0.2</v>
      </c>
      <c r="F90" s="1150">
        <v>30</v>
      </c>
    </row>
    <row r="91" spans="1:6" s="1101" customFormat="1" ht="36">
      <c r="A91" s="1150">
        <v>31</v>
      </c>
      <c r="B91" s="3492"/>
      <c r="C91" s="1064" t="s">
        <v>1563</v>
      </c>
      <c r="D91" s="1064" t="s">
        <v>1564</v>
      </c>
      <c r="E91" s="1135">
        <v>0.2</v>
      </c>
      <c r="F91" s="1150">
        <v>30</v>
      </c>
    </row>
    <row r="92" spans="1:6" s="1101" customFormat="1" ht="24">
      <c r="A92" s="1150">
        <v>32</v>
      </c>
      <c r="B92" s="3492" t="s">
        <v>1565</v>
      </c>
      <c r="C92" s="1150" t="s">
        <v>1566</v>
      </c>
      <c r="D92" s="1064" t="s">
        <v>1567</v>
      </c>
      <c r="E92" s="1135">
        <v>0.2</v>
      </c>
      <c r="F92" s="1150">
        <v>30</v>
      </c>
    </row>
    <row r="93" spans="1:6" s="1101" customFormat="1" ht="36">
      <c r="A93" s="1150">
        <v>33</v>
      </c>
      <c r="B93" s="3492"/>
      <c r="C93" s="1150" t="s">
        <v>1568</v>
      </c>
      <c r="D93" s="1064" t="s">
        <v>1569</v>
      </c>
      <c r="E93" s="1135">
        <v>0.2</v>
      </c>
      <c r="F93" s="1150">
        <v>30</v>
      </c>
    </row>
    <row r="94" spans="1:6" s="1101" customFormat="1" ht="48">
      <c r="A94" s="1150">
        <v>34</v>
      </c>
      <c r="B94" s="3492"/>
      <c r="C94" s="1150" t="s">
        <v>1570</v>
      </c>
      <c r="D94" s="1064" t="s">
        <v>1571</v>
      </c>
      <c r="E94" s="1135">
        <v>0.2</v>
      </c>
      <c r="F94" s="1150">
        <v>30</v>
      </c>
    </row>
    <row r="95" spans="1:6" s="1101" customFormat="1" ht="36">
      <c r="A95" s="1150">
        <v>35</v>
      </c>
      <c r="B95" s="3492"/>
      <c r="C95" s="1150" t="s">
        <v>1572</v>
      </c>
      <c r="D95" s="1064" t="s">
        <v>1573</v>
      </c>
      <c r="E95" s="1135">
        <v>0.2</v>
      </c>
      <c r="F95" s="1150">
        <v>30</v>
      </c>
    </row>
    <row r="96" spans="1:6" s="1101" customFormat="1" ht="48">
      <c r="A96" s="1150">
        <v>36</v>
      </c>
      <c r="B96" s="3492"/>
      <c r="C96" s="1064" t="s">
        <v>1574</v>
      </c>
      <c r="D96" s="1064" t="s">
        <v>1575</v>
      </c>
      <c r="E96" s="1135">
        <v>0.2</v>
      </c>
      <c r="F96" s="1150">
        <v>30</v>
      </c>
    </row>
    <row r="97" spans="1:6" s="1101" customFormat="1" ht="36">
      <c r="A97" s="1150">
        <v>37</v>
      </c>
      <c r="B97" s="3492"/>
      <c r="C97" s="1150" t="s">
        <v>1576</v>
      </c>
      <c r="D97" s="1064" t="s">
        <v>1577</v>
      </c>
      <c r="E97" s="1135">
        <v>0.2</v>
      </c>
      <c r="F97" s="1150">
        <v>30</v>
      </c>
    </row>
    <row r="98" spans="1:6" s="1101" customFormat="1" ht="36">
      <c r="A98" s="1150">
        <v>38</v>
      </c>
      <c r="B98" s="3492"/>
      <c r="C98" s="1150" t="s">
        <v>1578</v>
      </c>
      <c r="D98" s="1064" t="s">
        <v>1579</v>
      </c>
      <c r="E98" s="1135">
        <v>0.2</v>
      </c>
      <c r="F98" s="1150">
        <v>30</v>
      </c>
    </row>
    <row r="99" spans="1:6" s="1101" customFormat="1" ht="36">
      <c r="A99" s="1150">
        <v>39</v>
      </c>
      <c r="B99" s="3492" t="s">
        <v>1580</v>
      </c>
      <c r="C99" s="1150" t="s">
        <v>1581</v>
      </c>
      <c r="D99" s="1064" t="s">
        <v>1582</v>
      </c>
      <c r="E99" s="1135">
        <v>0.3</v>
      </c>
      <c r="F99" s="1150">
        <v>50</v>
      </c>
    </row>
    <row r="100" spans="1:6" s="1101" customFormat="1" ht="24">
      <c r="A100" s="1150">
        <v>40</v>
      </c>
      <c r="B100" s="3492"/>
      <c r="C100" s="1150" t="s">
        <v>1583</v>
      </c>
      <c r="D100" s="1064" t="s">
        <v>1584</v>
      </c>
      <c r="E100" s="1135">
        <v>0.2</v>
      </c>
      <c r="F100" s="1150">
        <v>30</v>
      </c>
    </row>
    <row r="101" spans="1:6" s="1101" customFormat="1" ht="36">
      <c r="A101" s="1150">
        <v>41</v>
      </c>
      <c r="B101" s="3492"/>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492" t="s">
        <v>1595</v>
      </c>
      <c r="C105" s="1150" t="s">
        <v>1596</v>
      </c>
      <c r="D105" s="1064" t="s">
        <v>1597</v>
      </c>
      <c r="E105" s="1135">
        <v>0.2</v>
      </c>
      <c r="F105" s="1150">
        <v>30</v>
      </c>
    </row>
    <row r="106" spans="1:6" s="1101" customFormat="1" ht="36">
      <c r="A106" s="1150">
        <v>46</v>
      </c>
      <c r="B106" s="3492"/>
      <c r="C106" s="1150" t="s">
        <v>1598</v>
      </c>
      <c r="D106" s="1064" t="s">
        <v>1599</v>
      </c>
      <c r="E106" s="1135">
        <v>0.2</v>
      </c>
      <c r="F106" s="1150">
        <v>30</v>
      </c>
    </row>
    <row r="107" spans="1:6" s="1101" customFormat="1" ht="36">
      <c r="A107" s="1150">
        <v>47</v>
      </c>
      <c r="B107" s="3492" t="s">
        <v>1600</v>
      </c>
      <c r="C107" s="1150" t="s">
        <v>1601</v>
      </c>
      <c r="D107" s="1064" t="s">
        <v>1602</v>
      </c>
      <c r="E107" s="1135">
        <v>0.3</v>
      </c>
      <c r="F107" s="1150">
        <v>50</v>
      </c>
    </row>
    <row r="108" spans="1:6" s="1101" customFormat="1" ht="36">
      <c r="A108" s="1150">
        <v>48</v>
      </c>
      <c r="B108" s="3492"/>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492" t="s">
        <v>1611</v>
      </c>
      <c r="C111" s="1150" t="s">
        <v>1612</v>
      </c>
      <c r="D111" s="1064" t="s">
        <v>1613</v>
      </c>
      <c r="E111" s="1135">
        <v>0.2</v>
      </c>
      <c r="F111" s="1150">
        <v>30</v>
      </c>
    </row>
    <row r="112" spans="1:6" s="1101" customFormat="1" ht="24">
      <c r="A112" s="1150">
        <v>52</v>
      </c>
      <c r="B112" s="3492"/>
      <c r="C112" s="1150" t="s">
        <v>1614</v>
      </c>
      <c r="D112" s="1064" t="s">
        <v>1615</v>
      </c>
      <c r="E112" s="1135">
        <v>0.2</v>
      </c>
      <c r="F112" s="1150">
        <v>30</v>
      </c>
    </row>
    <row r="113" spans="1:14" s="1101" customFormat="1" ht="24">
      <c r="A113" s="1150">
        <v>53</v>
      </c>
      <c r="B113" s="3492"/>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492" t="s">
        <v>1624</v>
      </c>
      <c r="C116" s="1150" t="s">
        <v>1625</v>
      </c>
      <c r="D116" s="1064" t="s">
        <v>1626</v>
      </c>
      <c r="E116" s="1135">
        <v>0.2</v>
      </c>
      <c r="F116" s="1150">
        <v>30</v>
      </c>
    </row>
    <row r="117" spans="1:14" ht="36">
      <c r="A117" s="1150">
        <v>57</v>
      </c>
      <c r="B117" s="3492"/>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491" t="s">
        <v>1633</v>
      </c>
      <c r="B121" s="3491"/>
      <c r="C121" s="3491"/>
      <c r="D121" s="3491"/>
      <c r="E121" s="3491"/>
      <c r="F121" s="3491"/>
      <c r="G121" s="3491"/>
      <c r="H121" s="3491"/>
      <c r="I121" s="3491"/>
      <c r="J121" s="3491"/>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96" t="s">
        <v>1039</v>
      </c>
      <c r="B1" s="3496"/>
      <c r="C1" s="3496"/>
      <c r="D1" s="3496"/>
      <c r="E1" s="3496"/>
      <c r="F1" s="3496"/>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497" t="s">
        <v>1052</v>
      </c>
      <c r="B2" s="3497"/>
      <c r="C2" s="3497"/>
      <c r="D2" s="3497"/>
      <c r="E2" s="3497"/>
      <c r="F2" s="3497"/>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98"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99"/>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2421</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2422</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500" t="s">
        <v>2079</v>
      </c>
      <c r="B1" s="3500"/>
    </row>
    <row r="2" spans="1:6" ht="14.25" thickBot="1">
      <c r="A2" s="1836"/>
      <c r="B2" s="1836"/>
    </row>
    <row r="3" spans="1:6" ht="14.25" thickBot="1">
      <c r="A3" s="1836"/>
      <c r="B3" s="1836"/>
      <c r="C3" s="1837" t="s">
        <v>2080</v>
      </c>
      <c r="D3" s="1837" t="s">
        <v>2081</v>
      </c>
      <c r="E3" s="1837" t="s">
        <v>2082</v>
      </c>
      <c r="F3" s="1837" t="s">
        <v>2083</v>
      </c>
    </row>
    <row r="4" spans="1:6" ht="14.25" thickBot="1">
      <c r="A4" s="1838" t="s">
        <v>2084</v>
      </c>
      <c r="B4" s="1839" t="s">
        <v>2085</v>
      </c>
      <c r="C4" s="1837"/>
      <c r="D4" s="1837"/>
      <c r="E4" s="1837"/>
      <c r="F4" s="1837"/>
    </row>
    <row r="5" spans="1:6" ht="14.25" thickBot="1">
      <c r="A5" s="1840" t="s">
        <v>2086</v>
      </c>
      <c r="B5" s="1841" t="s">
        <v>2087</v>
      </c>
      <c r="C5" s="1842">
        <v>8.8999999999999996E-2</v>
      </c>
      <c r="D5" s="1842">
        <v>7.3999999999999996E-2</v>
      </c>
      <c r="E5" s="1842">
        <v>7.4999999999999997E-2</v>
      </c>
      <c r="F5" s="1843">
        <v>0.1</v>
      </c>
    </row>
    <row r="6" spans="1:6" ht="14.25" thickBot="1">
      <c r="A6" s="1840" t="s">
        <v>1096</v>
      </c>
      <c r="B6" s="1844" t="s">
        <v>2088</v>
      </c>
      <c r="C6" s="1845">
        <v>0.1</v>
      </c>
      <c r="D6" s="1845">
        <v>9.0999999999999998E-2</v>
      </c>
      <c r="E6" s="1845">
        <v>9.0999999999999998E-2</v>
      </c>
      <c r="F6" s="1846">
        <v>0.1</v>
      </c>
    </row>
    <row r="7" spans="1:6" ht="14.25" thickBot="1">
      <c r="A7" s="1840" t="s">
        <v>1096</v>
      </c>
      <c r="B7" s="1847" t="s">
        <v>1084</v>
      </c>
      <c r="C7" s="1845">
        <v>8.5999999999999993E-2</v>
      </c>
      <c r="D7" s="1845">
        <v>9.6000000000000002E-2</v>
      </c>
      <c r="E7" s="1845">
        <v>7.5999999999999998E-2</v>
      </c>
      <c r="F7" s="1846">
        <v>0.1</v>
      </c>
    </row>
    <row r="8" spans="1:6" ht="14.25" thickBot="1">
      <c r="A8" s="1840" t="s">
        <v>1096</v>
      </c>
      <c r="B8" s="1844" t="s">
        <v>1097</v>
      </c>
      <c r="C8" s="1845">
        <v>9.9000000000000005E-2</v>
      </c>
      <c r="D8" s="1845">
        <v>9.8000000000000004E-2</v>
      </c>
      <c r="E8" s="1845">
        <v>9.8000000000000004E-2</v>
      </c>
      <c r="F8" s="1846">
        <v>0.1</v>
      </c>
    </row>
    <row r="9" spans="1:6" ht="14.25" thickBot="1">
      <c r="A9" s="1848" t="s">
        <v>1096</v>
      </c>
      <c r="B9" s="1849" t="s">
        <v>1111</v>
      </c>
      <c r="C9" s="1850">
        <v>0.05</v>
      </c>
      <c r="D9" s="1851"/>
      <c r="E9" s="1851"/>
      <c r="F9" s="1852"/>
    </row>
    <row r="10" spans="1:6" ht="14.25" thickBot="1">
      <c r="A10" s="1840" t="s">
        <v>1155</v>
      </c>
      <c r="B10" s="1841" t="s">
        <v>2089</v>
      </c>
      <c r="C10" s="1842">
        <v>8.8999999999999996E-2</v>
      </c>
      <c r="D10" s="1842">
        <v>7.2999999999999995E-2</v>
      </c>
      <c r="E10" s="1842">
        <v>8.2000000000000003E-2</v>
      </c>
      <c r="F10" s="1843">
        <v>0.1</v>
      </c>
    </row>
    <row r="11" spans="1:6" ht="14.25" thickBot="1">
      <c r="A11" s="1840" t="s">
        <v>1155</v>
      </c>
      <c r="B11" s="1847" t="s">
        <v>1071</v>
      </c>
      <c r="C11" s="1845">
        <v>8.8999999999999996E-2</v>
      </c>
      <c r="D11" s="1845">
        <v>7.2999999999999995E-2</v>
      </c>
      <c r="E11" s="1845">
        <v>8.2000000000000003E-2</v>
      </c>
      <c r="F11" s="1846">
        <v>0.1</v>
      </c>
    </row>
    <row r="12" spans="1:6" ht="14.25" thickBot="1">
      <c r="A12" s="1840" t="s">
        <v>1155</v>
      </c>
      <c r="B12" s="1847" t="s">
        <v>1085</v>
      </c>
      <c r="C12" s="1845">
        <v>6.0999999999999999E-2</v>
      </c>
      <c r="D12" s="1845">
        <v>7.0999999999999994E-2</v>
      </c>
      <c r="E12" s="1845">
        <v>9.6000000000000002E-2</v>
      </c>
      <c r="F12" s="1846">
        <v>0.1</v>
      </c>
    </row>
    <row r="13" spans="1:6" ht="14.25" thickBot="1">
      <c r="A13" s="1840" t="s">
        <v>1155</v>
      </c>
      <c r="B13" s="1847" t="s">
        <v>1098</v>
      </c>
      <c r="C13" s="1845">
        <v>6.9000000000000006E-2</v>
      </c>
      <c r="D13" s="1845">
        <v>6.5000000000000002E-2</v>
      </c>
      <c r="E13" s="1845">
        <v>6.6000000000000003E-2</v>
      </c>
      <c r="F13" s="1846">
        <v>0.1</v>
      </c>
    </row>
    <row r="14" spans="1:6" ht="14.25" thickBot="1">
      <c r="A14" s="1840" t="s">
        <v>1155</v>
      </c>
      <c r="B14" s="1847" t="s">
        <v>1112</v>
      </c>
      <c r="C14" s="1845">
        <v>0.1</v>
      </c>
      <c r="D14" s="1845">
        <v>6.5000000000000002E-2</v>
      </c>
      <c r="E14" s="1845">
        <v>7.0000000000000007E-2</v>
      </c>
      <c r="F14" s="1846">
        <v>0.1</v>
      </c>
    </row>
    <row r="15" spans="1:6" ht="14.25" thickBot="1">
      <c r="A15" s="1840" t="s">
        <v>1155</v>
      </c>
      <c r="B15" s="1847" t="s">
        <v>1123</v>
      </c>
      <c r="C15" s="1845">
        <v>9.8000000000000004E-2</v>
      </c>
      <c r="D15" s="1845">
        <v>8.8999999999999996E-2</v>
      </c>
      <c r="E15" s="1845">
        <v>8.8999999999999996E-2</v>
      </c>
      <c r="F15" s="1846">
        <v>0.1</v>
      </c>
    </row>
    <row r="16" spans="1:6" ht="14.25" thickBot="1">
      <c r="A16" s="1840" t="s">
        <v>1155</v>
      </c>
      <c r="B16" s="1847" t="s">
        <v>1134</v>
      </c>
      <c r="C16" s="1845">
        <v>7.0000000000000007E-2</v>
      </c>
      <c r="D16" s="1845">
        <v>9.2999999999999999E-2</v>
      </c>
      <c r="E16" s="1845">
        <v>9.6000000000000002E-2</v>
      </c>
      <c r="F16" s="1846">
        <v>0.1</v>
      </c>
    </row>
    <row r="17" spans="1:6" ht="14.25" thickBot="1">
      <c r="A17" s="1840" t="s">
        <v>1155</v>
      </c>
      <c r="B17" s="1847" t="s">
        <v>1145</v>
      </c>
      <c r="C17" s="1845">
        <v>9.5000000000000001E-2</v>
      </c>
      <c r="D17" s="1845">
        <v>0.1</v>
      </c>
      <c r="E17" s="1845">
        <v>0.1</v>
      </c>
      <c r="F17" s="1853"/>
    </row>
    <row r="18" spans="1:6" ht="14.25" thickBot="1">
      <c r="A18" s="1840" t="s">
        <v>1155</v>
      </c>
      <c r="B18" s="1847" t="s">
        <v>1157</v>
      </c>
      <c r="C18" s="1845">
        <v>7.3999999999999996E-2</v>
      </c>
      <c r="D18" s="1845">
        <v>9.9000000000000005E-2</v>
      </c>
      <c r="E18" s="1845">
        <v>0.1</v>
      </c>
      <c r="F18" s="1853"/>
    </row>
    <row r="19" spans="1:6" ht="14.25" thickBot="1">
      <c r="A19" s="1840" t="s">
        <v>1155</v>
      </c>
      <c r="B19" s="1847" t="s">
        <v>1167</v>
      </c>
      <c r="C19" s="1845">
        <v>9.9000000000000005E-2</v>
      </c>
      <c r="D19" s="1845">
        <v>7.5999999999999998E-2</v>
      </c>
      <c r="E19" s="1845">
        <v>8.6999999999999994E-2</v>
      </c>
      <c r="F19" s="1853"/>
    </row>
    <row r="20" spans="1:6" ht="14.25" thickBot="1">
      <c r="A20" s="1840" t="s">
        <v>1155</v>
      </c>
      <c r="B20" s="1847" t="s">
        <v>1177</v>
      </c>
      <c r="C20" s="1845">
        <v>9.8000000000000004E-2</v>
      </c>
      <c r="D20" s="1845">
        <v>8.5000000000000006E-2</v>
      </c>
      <c r="E20" s="1845">
        <v>8.2000000000000003E-2</v>
      </c>
      <c r="F20" s="1853"/>
    </row>
    <row r="21" spans="1:6" ht="14.25" thickBot="1">
      <c r="A21" s="1840" t="s">
        <v>1155</v>
      </c>
      <c r="B21" s="1847" t="s">
        <v>1187</v>
      </c>
      <c r="C21" s="1845">
        <v>6.6000000000000003E-2</v>
      </c>
      <c r="D21" s="1845">
        <v>6.4000000000000001E-2</v>
      </c>
      <c r="E21" s="1845">
        <v>6.5000000000000002E-2</v>
      </c>
      <c r="F21" s="1853"/>
    </row>
    <row r="22" spans="1:6" ht="14.25" thickBot="1">
      <c r="A22" s="1840" t="s">
        <v>1155</v>
      </c>
      <c r="B22" s="1847" t="s">
        <v>2090</v>
      </c>
      <c r="C22" s="1845">
        <v>0.08</v>
      </c>
      <c r="D22" s="1845">
        <v>9.8000000000000004E-2</v>
      </c>
      <c r="E22" s="1845">
        <v>9.8000000000000004E-2</v>
      </c>
      <c r="F22" s="1853"/>
    </row>
    <row r="23" spans="1:6" ht="14.25" thickBot="1">
      <c r="A23" s="1840" t="s">
        <v>1155</v>
      </c>
      <c r="B23" s="1847" t="s">
        <v>1207</v>
      </c>
      <c r="C23" s="1845">
        <v>9.9000000000000005E-2</v>
      </c>
      <c r="D23" s="1845">
        <v>9.8000000000000004E-2</v>
      </c>
      <c r="E23" s="1845">
        <v>9.0999999999999998E-2</v>
      </c>
      <c r="F23" s="1853"/>
    </row>
    <row r="24" spans="1:6" ht="14.25" thickBot="1">
      <c r="A24" s="1840" t="s">
        <v>1155</v>
      </c>
      <c r="B24" s="1847" t="s">
        <v>1217</v>
      </c>
      <c r="C24" s="1845">
        <v>8.8999999999999996E-2</v>
      </c>
      <c r="D24" s="1845">
        <v>9.7000000000000003E-2</v>
      </c>
      <c r="E24" s="1845">
        <v>7.0000000000000007E-2</v>
      </c>
      <c r="F24" s="1853"/>
    </row>
    <row r="25" spans="1:6" ht="14.25" thickBot="1">
      <c r="A25" s="1840" t="s">
        <v>1155</v>
      </c>
      <c r="B25" s="1847" t="s">
        <v>1227</v>
      </c>
      <c r="C25" s="1845">
        <v>8.8999999999999996E-2</v>
      </c>
      <c r="D25" s="1845">
        <v>0.1</v>
      </c>
      <c r="E25" s="1845">
        <v>8.1000000000000003E-2</v>
      </c>
      <c r="F25" s="1853"/>
    </row>
    <row r="26" spans="1:6" ht="14.25" thickBot="1">
      <c r="A26" s="1840" t="s">
        <v>1155</v>
      </c>
      <c r="B26" s="1847" t="s">
        <v>1237</v>
      </c>
      <c r="C26" s="1854"/>
      <c r="D26" s="1845">
        <v>9.6000000000000002E-2</v>
      </c>
      <c r="E26" s="1845">
        <v>9.2999999999999999E-2</v>
      </c>
      <c r="F26" s="1853"/>
    </row>
    <row r="27" spans="1:6" ht="14.25" thickBot="1">
      <c r="A27" s="1840" t="s">
        <v>1155</v>
      </c>
      <c r="B27" s="1847" t="s">
        <v>1247</v>
      </c>
      <c r="C27" s="1854"/>
      <c r="D27" s="1845">
        <v>7.5999999999999998E-2</v>
      </c>
      <c r="E27" s="1845">
        <v>9.1999999999999998E-2</v>
      </c>
      <c r="F27" s="1853"/>
    </row>
    <row r="28" spans="1:6" ht="14.25" thickBot="1">
      <c r="A28" s="1848" t="s">
        <v>1155</v>
      </c>
      <c r="B28" s="1849" t="s">
        <v>1257</v>
      </c>
      <c r="C28" s="1851"/>
      <c r="D28" s="1850">
        <v>7.5999999999999998E-2</v>
      </c>
      <c r="E28" s="1850">
        <v>9.1999999999999998E-2</v>
      </c>
      <c r="F28" s="1852"/>
    </row>
    <row r="29" spans="1:6" ht="14.25" thickBot="1">
      <c r="A29" s="1840" t="s">
        <v>1326</v>
      </c>
      <c r="B29" s="1841" t="s">
        <v>2091</v>
      </c>
      <c r="C29" s="1842">
        <v>6.4000000000000001E-2</v>
      </c>
      <c r="D29" s="1842">
        <v>6.5000000000000002E-2</v>
      </c>
      <c r="E29" s="1842">
        <v>6.9000000000000006E-2</v>
      </c>
      <c r="F29" s="1843">
        <v>0.1</v>
      </c>
    </row>
    <row r="30" spans="1:6" ht="14.25" thickBot="1">
      <c r="A30" s="1840" t="s">
        <v>1326</v>
      </c>
      <c r="B30" s="1847" t="s">
        <v>1072</v>
      </c>
      <c r="C30" s="1845">
        <v>6.4000000000000001E-2</v>
      </c>
      <c r="D30" s="1845">
        <v>9.9000000000000005E-2</v>
      </c>
      <c r="E30" s="1845">
        <v>0.1</v>
      </c>
      <c r="F30" s="1846">
        <v>0.1</v>
      </c>
    </row>
    <row r="31" spans="1:6" ht="14.25" thickBot="1">
      <c r="A31" s="1840" t="s">
        <v>1326</v>
      </c>
      <c r="B31" s="1847" t="s">
        <v>1086</v>
      </c>
      <c r="C31" s="1845">
        <v>0.1</v>
      </c>
      <c r="D31" s="1845">
        <v>9.5000000000000001E-2</v>
      </c>
      <c r="E31" s="1845">
        <v>8.8999999999999996E-2</v>
      </c>
      <c r="F31" s="1846">
        <v>0.1</v>
      </c>
    </row>
    <row r="32" spans="1:6" ht="14.25" thickBot="1">
      <c r="A32" s="1840" t="s">
        <v>1326</v>
      </c>
      <c r="B32" s="1847" t="s">
        <v>1099</v>
      </c>
      <c r="C32" s="1845">
        <v>0.05</v>
      </c>
      <c r="D32" s="1845">
        <v>0.05</v>
      </c>
      <c r="E32" s="1845">
        <v>8.7999999999999995E-2</v>
      </c>
      <c r="F32" s="1846">
        <v>0.1</v>
      </c>
    </row>
    <row r="33" spans="1:6" ht="14.25" thickBot="1">
      <c r="A33" s="1840" t="s">
        <v>1326</v>
      </c>
      <c r="B33" s="1847" t="s">
        <v>1113</v>
      </c>
      <c r="C33" s="1845">
        <v>7.4999999999999997E-2</v>
      </c>
      <c r="D33" s="1845">
        <v>9.4E-2</v>
      </c>
      <c r="E33" s="1845">
        <v>9.7000000000000003E-2</v>
      </c>
      <c r="F33" s="1846">
        <v>0.1</v>
      </c>
    </row>
    <row r="34" spans="1:6" ht="14.25" thickBot="1">
      <c r="A34" s="1840" t="s">
        <v>1326</v>
      </c>
      <c r="B34" s="1847" t="s">
        <v>1124</v>
      </c>
      <c r="C34" s="1845">
        <v>9.8000000000000004E-2</v>
      </c>
      <c r="D34" s="1845">
        <v>8.5999999999999993E-2</v>
      </c>
      <c r="E34" s="1845">
        <v>9.7000000000000003E-2</v>
      </c>
      <c r="F34" s="1846">
        <v>0.1</v>
      </c>
    </row>
    <row r="35" spans="1:6" ht="14.25" thickBot="1">
      <c r="A35" s="1840" t="s">
        <v>1326</v>
      </c>
      <c r="B35" s="1847" t="s">
        <v>1135</v>
      </c>
      <c r="C35" s="1845">
        <v>5.8999999999999997E-2</v>
      </c>
      <c r="D35" s="1845">
        <v>6.5000000000000002E-2</v>
      </c>
      <c r="E35" s="1845">
        <v>7.0000000000000007E-2</v>
      </c>
      <c r="F35" s="1846">
        <v>0.1</v>
      </c>
    </row>
    <row r="36" spans="1:6" ht="14.25" thickBot="1">
      <c r="A36" s="1840" t="s">
        <v>1326</v>
      </c>
      <c r="B36" s="1847" t="s">
        <v>1146</v>
      </c>
      <c r="C36" s="1845">
        <v>6.3E-2</v>
      </c>
      <c r="D36" s="1845">
        <v>0.1</v>
      </c>
      <c r="E36" s="1845">
        <v>0.1</v>
      </c>
      <c r="F36" s="1846">
        <v>0.1</v>
      </c>
    </row>
    <row r="37" spans="1:6" ht="14.25" thickBot="1">
      <c r="A37" s="1840" t="s">
        <v>1326</v>
      </c>
      <c r="B37" s="1847" t="s">
        <v>1158</v>
      </c>
      <c r="C37" s="1845">
        <v>7.3999999999999996E-2</v>
      </c>
      <c r="D37" s="1845">
        <v>0.1</v>
      </c>
      <c r="E37" s="1845">
        <v>0.1</v>
      </c>
      <c r="F37" s="1846">
        <v>0.1</v>
      </c>
    </row>
    <row r="38" spans="1:6" ht="14.25" thickBot="1">
      <c r="A38" s="1840" t="s">
        <v>1326</v>
      </c>
      <c r="B38" s="1847" t="s">
        <v>1168</v>
      </c>
      <c r="C38" s="1845">
        <v>0.1</v>
      </c>
      <c r="D38" s="1845">
        <v>9.6000000000000002E-2</v>
      </c>
      <c r="E38" s="1845">
        <v>9.6000000000000002E-2</v>
      </c>
      <c r="F38" s="1853"/>
    </row>
    <row r="39" spans="1:6" ht="14.25" thickBot="1">
      <c r="A39" s="1840" t="s">
        <v>1326</v>
      </c>
      <c r="B39" s="1847" t="s">
        <v>1178</v>
      </c>
      <c r="C39" s="1845">
        <v>0.1</v>
      </c>
      <c r="D39" s="1845">
        <v>9.6000000000000002E-2</v>
      </c>
      <c r="E39" s="1845">
        <v>9.6000000000000002E-2</v>
      </c>
      <c r="F39" s="1853"/>
    </row>
    <row r="40" spans="1:6" ht="14.25" thickBot="1">
      <c r="A40" s="1840" t="s">
        <v>1326</v>
      </c>
      <c r="B40" s="1847" t="s">
        <v>1188</v>
      </c>
      <c r="C40" s="1845">
        <v>9.6000000000000002E-2</v>
      </c>
      <c r="D40" s="1845">
        <v>0.1</v>
      </c>
      <c r="E40" s="1845">
        <v>9.9000000000000005E-2</v>
      </c>
      <c r="F40" s="1853"/>
    </row>
    <row r="41" spans="1:6" ht="14.25" thickBot="1">
      <c r="A41" s="1840" t="s">
        <v>1326</v>
      </c>
      <c r="B41" s="1847" t="s">
        <v>1198</v>
      </c>
      <c r="C41" s="1845">
        <v>9.6000000000000002E-2</v>
      </c>
      <c r="D41" s="1845">
        <v>9.8000000000000004E-2</v>
      </c>
      <c r="E41" s="1845">
        <v>9.8000000000000004E-2</v>
      </c>
      <c r="F41" s="1853"/>
    </row>
    <row r="42" spans="1:6" ht="14.25" thickBot="1">
      <c r="A42" s="1840" t="s">
        <v>1326</v>
      </c>
      <c r="B42" s="1847" t="s">
        <v>1208</v>
      </c>
      <c r="C42" s="1845">
        <v>0.1</v>
      </c>
      <c r="D42" s="1845">
        <v>8.7999999999999995E-2</v>
      </c>
      <c r="E42" s="1845">
        <v>0.1</v>
      </c>
      <c r="F42" s="1853"/>
    </row>
    <row r="43" spans="1:6" ht="14.25" thickBot="1">
      <c r="A43" s="1840" t="s">
        <v>1326</v>
      </c>
      <c r="B43" s="1847" t="s">
        <v>1218</v>
      </c>
      <c r="C43" s="1845">
        <v>9.8000000000000004E-2</v>
      </c>
      <c r="D43" s="1845">
        <v>9.7000000000000003E-2</v>
      </c>
      <c r="E43" s="1845">
        <v>9.6000000000000002E-2</v>
      </c>
      <c r="F43" s="1853"/>
    </row>
    <row r="44" spans="1:6" ht="14.25" thickBot="1">
      <c r="A44" s="1840" t="s">
        <v>1326</v>
      </c>
      <c r="B44" s="1847" t="s">
        <v>1228</v>
      </c>
      <c r="C44" s="1845">
        <v>8.5999999999999993E-2</v>
      </c>
      <c r="D44" s="1845">
        <v>7.9000000000000001E-2</v>
      </c>
      <c r="E44" s="1845">
        <v>7.0999999999999994E-2</v>
      </c>
      <c r="F44" s="1853"/>
    </row>
    <row r="45" spans="1:6" ht="14.25" thickBot="1">
      <c r="A45" s="1840" t="s">
        <v>1326</v>
      </c>
      <c r="B45" s="1847" t="s">
        <v>1238</v>
      </c>
      <c r="C45" s="1845">
        <v>9.8000000000000004E-2</v>
      </c>
      <c r="D45" s="1845">
        <v>9.6000000000000002E-2</v>
      </c>
      <c r="E45" s="1845">
        <v>9.6000000000000002E-2</v>
      </c>
      <c r="F45" s="1853"/>
    </row>
    <row r="46" spans="1:6" ht="14.25" thickBot="1">
      <c r="A46" s="1840" t="s">
        <v>1326</v>
      </c>
      <c r="B46" s="1847" t="s">
        <v>1248</v>
      </c>
      <c r="C46" s="1845">
        <v>8.5999999999999993E-2</v>
      </c>
      <c r="D46" s="1845">
        <v>9.8000000000000004E-2</v>
      </c>
      <c r="E46" s="1845">
        <v>8.7999999999999995E-2</v>
      </c>
      <c r="F46" s="1853"/>
    </row>
    <row r="47" spans="1:6" ht="14.25" thickBot="1">
      <c r="A47" s="1840" t="s">
        <v>1326</v>
      </c>
      <c r="B47" s="1847" t="s">
        <v>1258</v>
      </c>
      <c r="C47" s="1845">
        <v>9.6000000000000002E-2</v>
      </c>
      <c r="D47" s="1854"/>
      <c r="E47" s="1845">
        <v>6.9000000000000006E-2</v>
      </c>
      <c r="F47" s="1853"/>
    </row>
    <row r="48" spans="1:6" ht="14.25" thickBot="1">
      <c r="A48" s="1848" t="s">
        <v>1326</v>
      </c>
      <c r="B48" s="1849" t="s">
        <v>1267</v>
      </c>
      <c r="C48" s="1850">
        <v>9.8000000000000004E-2</v>
      </c>
      <c r="D48" s="1851"/>
      <c r="E48" s="1850">
        <v>9.5000000000000001E-2</v>
      </c>
      <c r="F48" s="1852"/>
    </row>
    <row r="49" spans="1:6" ht="14.25" thickBot="1">
      <c r="A49" s="1840" t="s">
        <v>925</v>
      </c>
      <c r="B49" s="1841" t="s">
        <v>2092</v>
      </c>
      <c r="C49" s="1842">
        <v>9.7000000000000003E-2</v>
      </c>
      <c r="D49" s="1842">
        <v>9.5000000000000001E-2</v>
      </c>
      <c r="E49" s="1842">
        <v>9.7000000000000003E-2</v>
      </c>
      <c r="F49" s="1843">
        <v>0.1</v>
      </c>
    </row>
    <row r="50" spans="1:6" ht="14.25" thickBot="1">
      <c r="A50" s="1840" t="s">
        <v>925</v>
      </c>
      <c r="B50" s="1844" t="s">
        <v>1073</v>
      </c>
      <c r="C50" s="1845">
        <v>7.4999999999999997E-2</v>
      </c>
      <c r="D50" s="1845">
        <v>9.5000000000000001E-2</v>
      </c>
      <c r="E50" s="1845">
        <v>0.1</v>
      </c>
      <c r="F50" s="1846">
        <v>0.1</v>
      </c>
    </row>
    <row r="51" spans="1:6" ht="14.25" thickBot="1">
      <c r="A51" s="1840" t="s">
        <v>925</v>
      </c>
      <c r="B51" s="1844" t="s">
        <v>1087</v>
      </c>
      <c r="C51" s="1845">
        <v>9.8000000000000004E-2</v>
      </c>
      <c r="D51" s="1845">
        <v>8.8999999999999996E-2</v>
      </c>
      <c r="E51" s="1845">
        <v>0.1</v>
      </c>
      <c r="F51" s="1846">
        <v>0.1</v>
      </c>
    </row>
    <row r="52" spans="1:6" ht="14.25" thickBot="1">
      <c r="A52" s="1840" t="s">
        <v>925</v>
      </c>
      <c r="B52" s="1844" t="s">
        <v>1100</v>
      </c>
      <c r="C52" s="1845">
        <v>9.8000000000000004E-2</v>
      </c>
      <c r="D52" s="1845">
        <v>9.7000000000000003E-2</v>
      </c>
      <c r="E52" s="1845">
        <v>8.1000000000000003E-2</v>
      </c>
      <c r="F52" s="1846">
        <v>0.1</v>
      </c>
    </row>
    <row r="53" spans="1:6" ht="14.25" thickBot="1">
      <c r="A53" s="1840" t="s">
        <v>925</v>
      </c>
      <c r="B53" s="1844" t="s">
        <v>1114</v>
      </c>
      <c r="C53" s="1845">
        <v>9.7000000000000003E-2</v>
      </c>
      <c r="D53" s="1845">
        <v>7.5999999999999998E-2</v>
      </c>
      <c r="E53" s="1845">
        <v>7.0999999999999994E-2</v>
      </c>
      <c r="F53" s="1846">
        <v>0.1</v>
      </c>
    </row>
    <row r="54" spans="1:6" ht="14.25" thickBot="1">
      <c r="A54" s="1840" t="s">
        <v>925</v>
      </c>
      <c r="B54" s="1844" t="s">
        <v>1125</v>
      </c>
      <c r="C54" s="1845">
        <v>7.5999999999999998E-2</v>
      </c>
      <c r="D54" s="1845">
        <v>0.1</v>
      </c>
      <c r="E54" s="1845">
        <v>9.9000000000000005E-2</v>
      </c>
      <c r="F54" s="1846">
        <v>0.1</v>
      </c>
    </row>
    <row r="55" spans="1:6" ht="14.25" thickBot="1">
      <c r="A55" s="1840" t="s">
        <v>925</v>
      </c>
      <c r="B55" s="1844" t="s">
        <v>1136</v>
      </c>
      <c r="C55" s="1845">
        <v>0.1</v>
      </c>
      <c r="D55" s="1845">
        <v>0.1</v>
      </c>
      <c r="E55" s="1845">
        <v>9.6000000000000002E-2</v>
      </c>
      <c r="F55" s="1846">
        <v>0.1</v>
      </c>
    </row>
    <row r="56" spans="1:6" ht="14.25" thickBot="1">
      <c r="A56" s="1840" t="s">
        <v>925</v>
      </c>
      <c r="B56" s="1844" t="s">
        <v>1147</v>
      </c>
      <c r="C56" s="1845">
        <v>0.1</v>
      </c>
      <c r="D56" s="1845">
        <v>9.6000000000000002E-2</v>
      </c>
      <c r="E56" s="1845">
        <v>5.1999999999999998E-2</v>
      </c>
      <c r="F56" s="1846">
        <v>0.1</v>
      </c>
    </row>
    <row r="57" spans="1:6" ht="14.25" thickBot="1">
      <c r="A57" s="1840" t="s">
        <v>925</v>
      </c>
      <c r="B57" s="1844" t="s">
        <v>1159</v>
      </c>
      <c r="C57" s="1845">
        <v>9.7000000000000003E-2</v>
      </c>
      <c r="D57" s="1845">
        <v>9.6000000000000002E-2</v>
      </c>
      <c r="E57" s="1845">
        <v>9.6000000000000002E-2</v>
      </c>
      <c r="F57" s="1846">
        <v>0.1</v>
      </c>
    </row>
    <row r="58" spans="1:6" ht="14.25" thickBot="1">
      <c r="A58" s="1840" t="s">
        <v>925</v>
      </c>
      <c r="B58" s="1844" t="s">
        <v>1169</v>
      </c>
      <c r="C58" s="1845">
        <v>9.6000000000000002E-2</v>
      </c>
      <c r="D58" s="1845">
        <v>9.9000000000000005E-2</v>
      </c>
      <c r="E58" s="1845">
        <v>9.6000000000000002E-2</v>
      </c>
      <c r="F58" s="1846">
        <v>0.1</v>
      </c>
    </row>
    <row r="59" spans="1:6" ht="14.25" thickBot="1">
      <c r="A59" s="1840" t="s">
        <v>925</v>
      </c>
      <c r="B59" s="1844" t="s">
        <v>1179</v>
      </c>
      <c r="C59" s="1845">
        <v>7.1999999999999995E-2</v>
      </c>
      <c r="D59" s="1845">
        <v>9.6000000000000002E-2</v>
      </c>
      <c r="E59" s="1845">
        <v>7.0999999999999994E-2</v>
      </c>
      <c r="F59" s="1846">
        <v>0.1</v>
      </c>
    </row>
    <row r="60" spans="1:6" ht="14.25" thickBot="1">
      <c r="A60" s="1840" t="s">
        <v>925</v>
      </c>
      <c r="B60" s="1844" t="s">
        <v>1189</v>
      </c>
      <c r="C60" s="1845">
        <v>9.6000000000000002E-2</v>
      </c>
      <c r="D60" s="1845">
        <v>8.8999999999999996E-2</v>
      </c>
      <c r="E60" s="1845">
        <v>9.6000000000000002E-2</v>
      </c>
      <c r="F60" s="1846">
        <v>0.1</v>
      </c>
    </row>
    <row r="61" spans="1:6" ht="14.25" thickBot="1">
      <c r="A61" s="1840" t="s">
        <v>925</v>
      </c>
      <c r="B61" s="1844" t="s">
        <v>1199</v>
      </c>
      <c r="C61" s="1845">
        <v>8.8999999999999996E-2</v>
      </c>
      <c r="D61" s="1845">
        <v>9.8000000000000004E-2</v>
      </c>
      <c r="E61" s="1845">
        <v>8.7999999999999995E-2</v>
      </c>
      <c r="F61" s="1853"/>
    </row>
    <row r="62" spans="1:6" ht="14.25" thickBot="1">
      <c r="A62" s="1840" t="s">
        <v>925</v>
      </c>
      <c r="B62" s="1844" t="s">
        <v>1209</v>
      </c>
      <c r="C62" s="1845">
        <v>9.8000000000000004E-2</v>
      </c>
      <c r="D62" s="1845">
        <v>9.2999999999999999E-2</v>
      </c>
      <c r="E62" s="1845">
        <v>9.7000000000000003E-2</v>
      </c>
      <c r="F62" s="1853"/>
    </row>
    <row r="63" spans="1:6" ht="14.25" thickBot="1">
      <c r="A63" s="1840" t="s">
        <v>925</v>
      </c>
      <c r="B63" s="1844" t="s">
        <v>1219</v>
      </c>
      <c r="C63" s="1845">
        <v>9.6000000000000002E-2</v>
      </c>
      <c r="D63" s="1845">
        <v>9.8000000000000004E-2</v>
      </c>
      <c r="E63" s="1845">
        <v>0.09</v>
      </c>
      <c r="F63" s="1853"/>
    </row>
    <row r="64" spans="1:6" ht="14.25" thickBot="1">
      <c r="A64" s="1840" t="s">
        <v>925</v>
      </c>
      <c r="B64" s="1844" t="s">
        <v>1229</v>
      </c>
      <c r="C64" s="1845">
        <v>9.9000000000000005E-2</v>
      </c>
      <c r="D64" s="1845">
        <v>9.7000000000000003E-2</v>
      </c>
      <c r="E64" s="1845">
        <v>9.9000000000000005E-2</v>
      </c>
      <c r="F64" s="1853"/>
    </row>
    <row r="65" spans="1:6" ht="14.25" thickBot="1">
      <c r="A65" s="1840" t="s">
        <v>925</v>
      </c>
      <c r="B65" s="1844" t="s">
        <v>1239</v>
      </c>
      <c r="C65" s="1845">
        <v>9.8000000000000004E-2</v>
      </c>
      <c r="D65" s="1845">
        <v>9.6000000000000002E-2</v>
      </c>
      <c r="E65" s="1845">
        <v>9.6000000000000002E-2</v>
      </c>
      <c r="F65" s="1853"/>
    </row>
    <row r="66" spans="1:6" ht="14.25" thickBot="1">
      <c r="A66" s="1840" t="s">
        <v>925</v>
      </c>
      <c r="B66" s="1844" t="s">
        <v>1249</v>
      </c>
      <c r="C66" s="1845">
        <v>9.6000000000000002E-2</v>
      </c>
      <c r="D66" s="1845">
        <v>9.1999999999999998E-2</v>
      </c>
      <c r="E66" s="1845">
        <v>9.6000000000000002E-2</v>
      </c>
      <c r="F66" s="1853"/>
    </row>
    <row r="67" spans="1:6" ht="14.25" thickBot="1">
      <c r="A67" s="1840" t="s">
        <v>925</v>
      </c>
      <c r="B67" s="1844" t="s">
        <v>1259</v>
      </c>
      <c r="C67" s="1845">
        <v>9.4E-2</v>
      </c>
      <c r="D67" s="1845">
        <v>0.1</v>
      </c>
      <c r="E67" s="1845">
        <v>8.7999999999999995E-2</v>
      </c>
      <c r="F67" s="1853"/>
    </row>
    <row r="68" spans="1:6" ht="14.25" thickBot="1">
      <c r="A68" s="1840" t="s">
        <v>925</v>
      </c>
      <c r="B68" s="1844" t="s">
        <v>1268</v>
      </c>
      <c r="C68" s="1845">
        <v>0.1</v>
      </c>
      <c r="D68" s="1845">
        <v>8.7999999999999995E-2</v>
      </c>
      <c r="E68" s="1845">
        <v>9.7000000000000003E-2</v>
      </c>
      <c r="F68" s="1853"/>
    </row>
    <row r="69" spans="1:6" ht="14.25" thickBot="1">
      <c r="A69" s="1840" t="s">
        <v>925</v>
      </c>
      <c r="B69" s="1844" t="s">
        <v>1277</v>
      </c>
      <c r="C69" s="1845">
        <v>6.4000000000000001E-2</v>
      </c>
      <c r="D69" s="1845">
        <v>0.1</v>
      </c>
      <c r="E69" s="1845">
        <v>0.1</v>
      </c>
      <c r="F69" s="1853"/>
    </row>
    <row r="70" spans="1:6" ht="14.25" thickBot="1">
      <c r="A70" s="1840" t="s">
        <v>925</v>
      </c>
      <c r="B70" s="1844" t="s">
        <v>1285</v>
      </c>
      <c r="C70" s="1845">
        <v>9.0999999999999998E-2</v>
      </c>
      <c r="D70" s="1854"/>
      <c r="E70" s="1854"/>
      <c r="F70" s="1853"/>
    </row>
    <row r="71" spans="1:6" ht="14.25" thickBot="1">
      <c r="A71" s="1840" t="s">
        <v>925</v>
      </c>
      <c r="B71" s="1844" t="s">
        <v>1292</v>
      </c>
      <c r="C71" s="1845">
        <v>0.1</v>
      </c>
      <c r="D71" s="1854"/>
      <c r="E71" s="1854"/>
      <c r="F71" s="1853"/>
    </row>
    <row r="72" spans="1:6" ht="14.25" thickBot="1">
      <c r="A72" s="1840" t="s">
        <v>925</v>
      </c>
      <c r="B72" s="1844" t="s">
        <v>2093</v>
      </c>
      <c r="C72" s="1854"/>
      <c r="D72" s="1854"/>
      <c r="E72" s="1854"/>
      <c r="F72" s="1846">
        <v>0.05</v>
      </c>
    </row>
    <row r="73" spans="1:6" ht="14.25" thickBot="1">
      <c r="A73" s="1840" t="s">
        <v>925</v>
      </c>
      <c r="B73" s="1844" t="s">
        <v>2094</v>
      </c>
      <c r="C73" s="1854"/>
      <c r="D73" s="1854"/>
      <c r="E73" s="1854"/>
      <c r="F73" s="1846">
        <v>0.05</v>
      </c>
    </row>
    <row r="74" spans="1:6" ht="14.25" thickBot="1">
      <c r="A74" s="1840" t="s">
        <v>925</v>
      </c>
      <c r="B74" s="1844" t="s">
        <v>2095</v>
      </c>
      <c r="C74" s="1854"/>
      <c r="D74" s="1854"/>
      <c r="E74" s="1854"/>
      <c r="F74" s="1846">
        <v>0.05</v>
      </c>
    </row>
    <row r="75" spans="1:6" ht="14.25" thickBot="1">
      <c r="A75" s="1848" t="s">
        <v>925</v>
      </c>
      <c r="B75" s="1855" t="s">
        <v>2096</v>
      </c>
      <c r="C75" s="1851"/>
      <c r="D75" s="1851"/>
      <c r="E75" s="1851"/>
      <c r="F75" s="1856">
        <v>0.05</v>
      </c>
    </row>
    <row r="76" spans="1:6" ht="14.25" thickBot="1">
      <c r="A76" s="1840" t="s">
        <v>1407</v>
      </c>
      <c r="B76" s="1841" t="s">
        <v>2097</v>
      </c>
      <c r="C76" s="1842">
        <v>0.1</v>
      </c>
      <c r="D76" s="1842">
        <v>0.1</v>
      </c>
      <c r="E76" s="1842">
        <v>0.1</v>
      </c>
      <c r="F76" s="1843">
        <v>0.1</v>
      </c>
    </row>
    <row r="77" spans="1:6" ht="14.25" thickBot="1">
      <c r="A77" s="1840" t="s">
        <v>1407</v>
      </c>
      <c r="B77" s="1844" t="s">
        <v>1074</v>
      </c>
      <c r="C77" s="1845">
        <v>8.7999999999999995E-2</v>
      </c>
      <c r="D77" s="1845">
        <v>8.6999999999999994E-2</v>
      </c>
      <c r="E77" s="1845">
        <v>7.9000000000000001E-2</v>
      </c>
      <c r="F77" s="1846">
        <v>0.1</v>
      </c>
    </row>
    <row r="78" spans="1:6" ht="14.25" thickBot="1">
      <c r="A78" s="1840" t="s">
        <v>1407</v>
      </c>
      <c r="B78" s="1844" t="s">
        <v>1088</v>
      </c>
      <c r="C78" s="1845">
        <v>8.6999999999999994E-2</v>
      </c>
      <c r="D78" s="1845">
        <v>8.4000000000000005E-2</v>
      </c>
      <c r="E78" s="1845">
        <v>9.6000000000000002E-2</v>
      </c>
      <c r="F78" s="1846">
        <v>0.1</v>
      </c>
    </row>
    <row r="79" spans="1:6" ht="14.25" thickBot="1">
      <c r="A79" s="1840" t="s">
        <v>1407</v>
      </c>
      <c r="B79" s="1844" t="s">
        <v>1101</v>
      </c>
      <c r="C79" s="1845">
        <v>9.8000000000000004E-2</v>
      </c>
      <c r="D79" s="1845">
        <v>9.8000000000000004E-2</v>
      </c>
      <c r="E79" s="1845">
        <v>9.0999999999999998E-2</v>
      </c>
      <c r="F79" s="1846">
        <v>0.1</v>
      </c>
    </row>
    <row r="80" spans="1:6" ht="14.25" thickBot="1">
      <c r="A80" s="1840" t="s">
        <v>1407</v>
      </c>
      <c r="B80" s="1844" t="s">
        <v>1115</v>
      </c>
      <c r="C80" s="1845">
        <v>9.6000000000000002E-2</v>
      </c>
      <c r="D80" s="1845">
        <v>9.6000000000000002E-2</v>
      </c>
      <c r="E80" s="1845">
        <v>0.1</v>
      </c>
      <c r="F80" s="1846">
        <v>0.1</v>
      </c>
    </row>
    <row r="81" spans="1:6" ht="14.25" thickBot="1">
      <c r="A81" s="1840" t="s">
        <v>1407</v>
      </c>
      <c r="B81" s="1844" t="s">
        <v>1126</v>
      </c>
      <c r="C81" s="1845">
        <v>9.9000000000000005E-2</v>
      </c>
      <c r="D81" s="1845">
        <v>9.9000000000000005E-2</v>
      </c>
      <c r="E81" s="1845">
        <v>9.8000000000000004E-2</v>
      </c>
      <c r="F81" s="1846">
        <v>0.1</v>
      </c>
    </row>
    <row r="82" spans="1:6" ht="14.25" thickBot="1">
      <c r="A82" s="1840" t="s">
        <v>1407</v>
      </c>
      <c r="B82" s="1844" t="s">
        <v>1137</v>
      </c>
      <c r="C82" s="1845">
        <v>9.9000000000000005E-2</v>
      </c>
      <c r="D82" s="1845">
        <v>9.9000000000000005E-2</v>
      </c>
      <c r="E82" s="1845">
        <v>9.7000000000000003E-2</v>
      </c>
      <c r="F82" s="1846">
        <v>0.1</v>
      </c>
    </row>
    <row r="83" spans="1:6" ht="14.25" thickBot="1">
      <c r="A83" s="1840" t="s">
        <v>1407</v>
      </c>
      <c r="B83" s="1844" t="s">
        <v>1148</v>
      </c>
      <c r="C83" s="1845">
        <v>9.8000000000000004E-2</v>
      </c>
      <c r="D83" s="1845">
        <v>9.8000000000000004E-2</v>
      </c>
      <c r="E83" s="1845">
        <v>9.8000000000000004E-2</v>
      </c>
      <c r="F83" s="1846">
        <v>0.1</v>
      </c>
    </row>
    <row r="84" spans="1:6" ht="14.25" thickBot="1">
      <c r="A84" s="1840" t="s">
        <v>1407</v>
      </c>
      <c r="B84" s="1844" t="s">
        <v>1160</v>
      </c>
      <c r="C84" s="1845">
        <v>9.9000000000000005E-2</v>
      </c>
      <c r="D84" s="1845">
        <v>9.9000000000000005E-2</v>
      </c>
      <c r="E84" s="1845">
        <v>9.9000000000000005E-2</v>
      </c>
      <c r="F84" s="1846">
        <v>0.1</v>
      </c>
    </row>
    <row r="85" spans="1:6" ht="14.25" thickBot="1">
      <c r="A85" s="1840" t="s">
        <v>1407</v>
      </c>
      <c r="B85" s="1844" t="s">
        <v>1170</v>
      </c>
      <c r="C85" s="1845">
        <v>9.9000000000000005E-2</v>
      </c>
      <c r="D85" s="1845">
        <v>9.9000000000000005E-2</v>
      </c>
      <c r="E85" s="1845">
        <v>9.9000000000000005E-2</v>
      </c>
      <c r="F85" s="1846">
        <v>0.1</v>
      </c>
    </row>
    <row r="86" spans="1:6" ht="14.25" thickBot="1">
      <c r="A86" s="1840" t="s">
        <v>1407</v>
      </c>
      <c r="B86" s="1844" t="s">
        <v>1180</v>
      </c>
      <c r="C86" s="1845">
        <v>0.1</v>
      </c>
      <c r="D86" s="1845">
        <v>0.1</v>
      </c>
      <c r="E86" s="1845">
        <v>7.6999999999999999E-2</v>
      </c>
      <c r="F86" s="1846">
        <v>0.1</v>
      </c>
    </row>
    <row r="87" spans="1:6" ht="14.25" thickBot="1">
      <c r="A87" s="1840" t="s">
        <v>1407</v>
      </c>
      <c r="B87" s="1844" t="s">
        <v>1190</v>
      </c>
      <c r="C87" s="1845">
        <v>0.1</v>
      </c>
      <c r="D87" s="1845">
        <v>0.1</v>
      </c>
      <c r="E87" s="1845">
        <v>9.8000000000000004E-2</v>
      </c>
      <c r="F87" s="1853"/>
    </row>
    <row r="88" spans="1:6" ht="14.25" thickBot="1">
      <c r="A88" s="1840" t="s">
        <v>1407</v>
      </c>
      <c r="B88" s="1844" t="s">
        <v>1200</v>
      </c>
      <c r="C88" s="1845">
        <v>9.1999999999999998E-2</v>
      </c>
      <c r="D88" s="1845">
        <v>8.5000000000000006E-2</v>
      </c>
      <c r="E88" s="1845">
        <v>9.6000000000000002E-2</v>
      </c>
      <c r="F88" s="1853"/>
    </row>
    <row r="89" spans="1:6" ht="14.25" thickBot="1">
      <c r="A89" s="1840" t="s">
        <v>1407</v>
      </c>
      <c r="B89" s="1844" t="s">
        <v>1210</v>
      </c>
      <c r="C89" s="1845">
        <v>0.1</v>
      </c>
      <c r="D89" s="1845">
        <v>0.1</v>
      </c>
      <c r="E89" s="1845">
        <v>9.7000000000000003E-2</v>
      </c>
      <c r="F89" s="1853"/>
    </row>
    <row r="90" spans="1:6" ht="14.25" thickBot="1">
      <c r="A90" s="1840" t="s">
        <v>1407</v>
      </c>
      <c r="B90" s="1844" t="s">
        <v>1220</v>
      </c>
      <c r="C90" s="1845">
        <v>9.8000000000000004E-2</v>
      </c>
      <c r="D90" s="1845">
        <v>9.8000000000000004E-2</v>
      </c>
      <c r="E90" s="1845">
        <v>8.7999999999999995E-2</v>
      </c>
      <c r="F90" s="1853"/>
    </row>
    <row r="91" spans="1:6" ht="14.25" thickBot="1">
      <c r="A91" s="1840" t="s">
        <v>1407</v>
      </c>
      <c r="B91" s="1844" t="s">
        <v>1230</v>
      </c>
      <c r="C91" s="1845">
        <v>9.9000000000000005E-2</v>
      </c>
      <c r="D91" s="1845">
        <v>9.9000000000000005E-2</v>
      </c>
      <c r="E91" s="1845">
        <v>9.0999999999999998E-2</v>
      </c>
      <c r="F91" s="1853"/>
    </row>
    <row r="92" spans="1:6" ht="14.25" thickBot="1">
      <c r="A92" s="1840" t="s">
        <v>1407</v>
      </c>
      <c r="B92" s="1844" t="s">
        <v>1240</v>
      </c>
      <c r="C92" s="1845">
        <v>9.6000000000000002E-2</v>
      </c>
      <c r="D92" s="1845">
        <v>9.6000000000000002E-2</v>
      </c>
      <c r="E92" s="1845">
        <v>7.2999999999999995E-2</v>
      </c>
      <c r="F92" s="1853"/>
    </row>
    <row r="93" spans="1:6" ht="14.25" thickBot="1">
      <c r="A93" s="1840" t="s">
        <v>1407</v>
      </c>
      <c r="B93" s="1844" t="s">
        <v>1250</v>
      </c>
      <c r="C93" s="1845">
        <v>9.6000000000000002E-2</v>
      </c>
      <c r="D93" s="1845">
        <v>9.6000000000000002E-2</v>
      </c>
      <c r="E93" s="1845">
        <v>9.9000000000000005E-2</v>
      </c>
      <c r="F93" s="1853"/>
    </row>
    <row r="94" spans="1:6" ht="14.25" thickBot="1">
      <c r="A94" s="1840" t="s">
        <v>1407</v>
      </c>
      <c r="B94" s="1844" t="s">
        <v>1260</v>
      </c>
      <c r="C94" s="1845">
        <v>7.5999999999999998E-2</v>
      </c>
      <c r="D94" s="1845">
        <v>7.3999999999999996E-2</v>
      </c>
      <c r="E94" s="1845">
        <v>9.7000000000000003E-2</v>
      </c>
      <c r="F94" s="1853"/>
    </row>
    <row r="95" spans="1:6" ht="14.25" thickBot="1">
      <c r="A95" s="1840" t="s">
        <v>1407</v>
      </c>
      <c r="B95" s="1844" t="s">
        <v>1269</v>
      </c>
      <c r="C95" s="1845">
        <v>9.9000000000000005E-2</v>
      </c>
      <c r="D95" s="1845">
        <v>9.4E-2</v>
      </c>
      <c r="E95" s="1845">
        <v>9.6000000000000002E-2</v>
      </c>
      <c r="F95" s="1853"/>
    </row>
    <row r="96" spans="1:6" ht="14.25" thickBot="1">
      <c r="A96" s="1840" t="s">
        <v>1407</v>
      </c>
      <c r="B96" s="1844" t="s">
        <v>1278</v>
      </c>
      <c r="C96" s="1845">
        <v>9.9000000000000005E-2</v>
      </c>
      <c r="D96" s="1845">
        <v>9.9000000000000005E-2</v>
      </c>
      <c r="E96" s="1845">
        <v>9.9000000000000005E-2</v>
      </c>
      <c r="F96" s="1853"/>
    </row>
    <row r="97" spans="1:6" ht="14.25" thickBot="1">
      <c r="A97" s="1840" t="s">
        <v>1407</v>
      </c>
      <c r="B97" s="1844" t="s">
        <v>1286</v>
      </c>
      <c r="C97" s="1845">
        <v>9.8000000000000004E-2</v>
      </c>
      <c r="D97" s="1845">
        <v>9.8000000000000004E-2</v>
      </c>
      <c r="E97" s="1845">
        <v>9.7000000000000003E-2</v>
      </c>
      <c r="F97" s="1853"/>
    </row>
    <row r="98" spans="1:6" ht="14.25" thickBot="1">
      <c r="A98" s="1840" t="s">
        <v>1407</v>
      </c>
      <c r="B98" s="1844" t="s">
        <v>1293</v>
      </c>
      <c r="C98" s="1845">
        <v>0.1</v>
      </c>
      <c r="D98" s="1845">
        <v>0.1</v>
      </c>
      <c r="E98" s="1845">
        <v>9.7000000000000003E-2</v>
      </c>
      <c r="F98" s="1853"/>
    </row>
    <row r="99" spans="1:6" ht="14.25" thickBot="1">
      <c r="A99" s="1840" t="s">
        <v>1407</v>
      </c>
      <c r="B99" s="1844" t="s">
        <v>1300</v>
      </c>
      <c r="C99" s="1845">
        <v>0.1</v>
      </c>
      <c r="D99" s="1845">
        <v>0.1</v>
      </c>
      <c r="E99" s="1854"/>
      <c r="F99" s="1853"/>
    </row>
    <row r="100" spans="1:6" ht="14.25" thickBot="1">
      <c r="A100" s="1840" t="s">
        <v>1407</v>
      </c>
      <c r="B100" s="1844" t="s">
        <v>1307</v>
      </c>
      <c r="C100" s="1845">
        <v>0.09</v>
      </c>
      <c r="D100" s="1845">
        <v>8.8999999999999996E-2</v>
      </c>
      <c r="E100" s="1854"/>
      <c r="F100" s="1853"/>
    </row>
    <row r="101" spans="1:6" ht="14.25" thickBot="1">
      <c r="A101" s="1840" t="s">
        <v>1407</v>
      </c>
      <c r="B101" s="1844" t="s">
        <v>1314</v>
      </c>
      <c r="C101" s="1845">
        <v>9.8000000000000004E-2</v>
      </c>
      <c r="D101" s="1845">
        <v>9.7000000000000003E-2</v>
      </c>
      <c r="E101" s="1854"/>
      <c r="F101" s="1853"/>
    </row>
    <row r="102" spans="1:6" ht="14.25" thickBot="1">
      <c r="A102" s="1840" t="s">
        <v>1407</v>
      </c>
      <c r="B102" s="1844" t="s">
        <v>2098</v>
      </c>
      <c r="C102" s="1854"/>
      <c r="D102" s="1854"/>
      <c r="E102" s="1854"/>
      <c r="F102" s="1846">
        <v>0.05</v>
      </c>
    </row>
    <row r="103" spans="1:6" ht="24.75" thickBot="1">
      <c r="A103" s="1840" t="s">
        <v>1407</v>
      </c>
      <c r="B103" s="1844" t="s">
        <v>2099</v>
      </c>
      <c r="C103" s="1854"/>
      <c r="D103" s="1854"/>
      <c r="E103" s="1854"/>
      <c r="F103" s="1846">
        <v>0.05</v>
      </c>
    </row>
    <row r="104" spans="1:6" ht="14.25" thickBot="1">
      <c r="A104" s="1840" t="s">
        <v>1407</v>
      </c>
      <c r="B104" s="1844" t="s">
        <v>2100</v>
      </c>
      <c r="C104" s="1854"/>
      <c r="D104" s="1854"/>
      <c r="E104" s="1854"/>
      <c r="F104" s="1846">
        <v>0.05</v>
      </c>
    </row>
    <row r="105" spans="1:6" ht="14.25" thickBot="1">
      <c r="A105" s="1840" t="s">
        <v>1407</v>
      </c>
      <c r="B105" s="1844" t="s">
        <v>2101</v>
      </c>
      <c r="C105" s="1854"/>
      <c r="D105" s="1854"/>
      <c r="E105" s="1854"/>
      <c r="F105" s="1846">
        <v>0.05</v>
      </c>
    </row>
    <row r="106" spans="1:6" ht="14.25" thickBot="1">
      <c r="A106" s="1840" t="s">
        <v>1407</v>
      </c>
      <c r="B106" s="1844" t="s">
        <v>2102</v>
      </c>
      <c r="C106" s="1854"/>
      <c r="D106" s="1854"/>
      <c r="E106" s="1854"/>
      <c r="F106" s="1846">
        <v>0.05</v>
      </c>
    </row>
    <row r="107" spans="1:6" ht="24.75" thickBot="1">
      <c r="A107" s="1840" t="s">
        <v>1407</v>
      </c>
      <c r="B107" s="1844" t="s">
        <v>2103</v>
      </c>
      <c r="C107" s="1854"/>
      <c r="D107" s="1854"/>
      <c r="E107" s="1854"/>
      <c r="F107" s="1846">
        <v>0.05</v>
      </c>
    </row>
    <row r="108" spans="1:6" ht="24.75" thickBot="1">
      <c r="A108" s="1840" t="s">
        <v>1407</v>
      </c>
      <c r="B108" s="1844" t="s">
        <v>2104</v>
      </c>
      <c r="C108" s="1854"/>
      <c r="D108" s="1854"/>
      <c r="E108" s="1854"/>
      <c r="F108" s="1846">
        <v>0.05</v>
      </c>
    </row>
    <row r="109" spans="1:6" ht="24.75" thickBot="1">
      <c r="A109" s="1848" t="s">
        <v>1407</v>
      </c>
      <c r="B109" s="1855" t="s">
        <v>2105</v>
      </c>
      <c r="C109" s="1851"/>
      <c r="D109" s="1851"/>
      <c r="E109" s="1851"/>
      <c r="F109" s="1856">
        <v>0.05</v>
      </c>
    </row>
    <row r="110" spans="1:6" ht="14.25" thickBot="1">
      <c r="A110" s="1840" t="s">
        <v>1409</v>
      </c>
      <c r="B110" s="1841" t="s">
        <v>2106</v>
      </c>
      <c r="C110" s="1842">
        <v>0.129</v>
      </c>
      <c r="D110" s="1842">
        <v>0.129</v>
      </c>
      <c r="E110" s="1842">
        <v>0.126</v>
      </c>
      <c r="F110" s="1843">
        <v>0.13</v>
      </c>
    </row>
    <row r="111" spans="1:6" ht="14.25" thickBot="1">
      <c r="A111" s="1840" t="s">
        <v>1409</v>
      </c>
      <c r="B111" s="1844" t="s">
        <v>1075</v>
      </c>
      <c r="C111" s="1845">
        <v>0.11</v>
      </c>
      <c r="D111" s="1845">
        <v>0.11</v>
      </c>
      <c r="E111" s="1845">
        <v>9.9000000000000005E-2</v>
      </c>
      <c r="F111" s="1846">
        <v>0.128</v>
      </c>
    </row>
    <row r="112" spans="1:6" ht="14.25" thickBot="1">
      <c r="A112" s="1840" t="s">
        <v>1409</v>
      </c>
      <c r="B112" s="1844" t="s">
        <v>1089</v>
      </c>
      <c r="C112" s="1845">
        <v>0.125</v>
      </c>
      <c r="D112" s="1845">
        <v>0.125</v>
      </c>
      <c r="E112" s="1845">
        <v>0.12</v>
      </c>
      <c r="F112" s="1846">
        <v>0.125</v>
      </c>
    </row>
    <row r="113" spans="1:6" ht="14.25" thickBot="1">
      <c r="A113" s="1840" t="s">
        <v>1409</v>
      </c>
      <c r="B113" s="1844" t="s">
        <v>1102</v>
      </c>
      <c r="C113" s="1845">
        <v>0.13</v>
      </c>
      <c r="D113" s="1845">
        <v>0.13</v>
      </c>
      <c r="E113" s="1845">
        <v>0.13</v>
      </c>
      <c r="F113" s="1846">
        <v>0.13</v>
      </c>
    </row>
    <row r="114" spans="1:6" ht="14.25" thickBot="1">
      <c r="A114" s="1840" t="s">
        <v>1409</v>
      </c>
      <c r="B114" s="1844" t="s">
        <v>1116</v>
      </c>
      <c r="C114" s="1845">
        <v>0.123</v>
      </c>
      <c r="D114" s="1845">
        <v>0.123</v>
      </c>
      <c r="E114" s="1845">
        <v>0.12</v>
      </c>
      <c r="F114" s="1846">
        <v>0.13</v>
      </c>
    </row>
    <row r="115" spans="1:6" ht="14.25" thickBot="1">
      <c r="A115" s="1840" t="s">
        <v>1409</v>
      </c>
      <c r="B115" s="1844" t="s">
        <v>1127</v>
      </c>
      <c r="C115" s="1845">
        <v>0.125</v>
      </c>
      <c r="D115" s="1845">
        <v>0.125</v>
      </c>
      <c r="E115" s="1845">
        <v>0.11700000000000001</v>
      </c>
      <c r="F115" s="1846">
        <v>0.13</v>
      </c>
    </row>
    <row r="116" spans="1:6" ht="14.25" thickBot="1">
      <c r="A116" s="1840" t="s">
        <v>1409</v>
      </c>
      <c r="B116" s="1844" t="s">
        <v>1138</v>
      </c>
      <c r="C116" s="1845">
        <v>0.11700000000000001</v>
      </c>
      <c r="D116" s="1845">
        <v>0.11700000000000001</v>
      </c>
      <c r="E116" s="1845">
        <v>8.7999999999999995E-2</v>
      </c>
      <c r="F116" s="1846">
        <v>0.13</v>
      </c>
    </row>
    <row r="117" spans="1:6" ht="14.25" thickBot="1">
      <c r="A117" s="1840" t="s">
        <v>1409</v>
      </c>
      <c r="B117" s="1844" t="s">
        <v>1149</v>
      </c>
      <c r="C117" s="1845">
        <v>0.13</v>
      </c>
      <c r="D117" s="1845">
        <v>0.13</v>
      </c>
      <c r="E117" s="1845">
        <v>0.129</v>
      </c>
      <c r="F117" s="1846">
        <v>0.13</v>
      </c>
    </row>
    <row r="118" spans="1:6" ht="14.25" thickBot="1">
      <c r="A118" s="1840" t="s">
        <v>1409</v>
      </c>
      <c r="B118" s="1844" t="s">
        <v>1161</v>
      </c>
      <c r="C118" s="1845">
        <v>0.123</v>
      </c>
      <c r="D118" s="1845">
        <v>0.123</v>
      </c>
      <c r="E118" s="1845">
        <v>0.11600000000000001</v>
      </c>
      <c r="F118" s="1846">
        <v>0.13</v>
      </c>
    </row>
    <row r="119" spans="1:6" ht="14.25" thickBot="1">
      <c r="A119" s="1840" t="s">
        <v>1409</v>
      </c>
      <c r="B119" s="1844" t="s">
        <v>1171</v>
      </c>
      <c r="C119" s="1845">
        <v>0.127</v>
      </c>
      <c r="D119" s="1845">
        <v>0.127</v>
      </c>
      <c r="E119" s="1845">
        <v>0.124</v>
      </c>
      <c r="F119" s="1846">
        <v>0.13</v>
      </c>
    </row>
    <row r="120" spans="1:6" ht="14.25" thickBot="1">
      <c r="A120" s="1840" t="s">
        <v>1409</v>
      </c>
      <c r="B120" s="1844" t="s">
        <v>1181</v>
      </c>
      <c r="C120" s="1845">
        <v>0.125</v>
      </c>
      <c r="D120" s="1845">
        <v>0.125</v>
      </c>
      <c r="E120" s="1845">
        <v>0.122</v>
      </c>
      <c r="F120" s="1846">
        <v>0.13</v>
      </c>
    </row>
    <row r="121" spans="1:6" ht="14.25" thickBot="1">
      <c r="A121" s="1840" t="s">
        <v>1409</v>
      </c>
      <c r="B121" s="1844" t="s">
        <v>1191</v>
      </c>
      <c r="C121" s="1845">
        <v>0.13</v>
      </c>
      <c r="D121" s="1845">
        <v>0.13</v>
      </c>
      <c r="E121" s="1845">
        <v>0.13</v>
      </c>
      <c r="F121" s="1846">
        <v>0.13</v>
      </c>
    </row>
    <row r="122" spans="1:6" ht="14.25" thickBot="1">
      <c r="A122" s="1840" t="s">
        <v>1409</v>
      </c>
      <c r="B122" s="1844" t="s">
        <v>1201</v>
      </c>
      <c r="C122" s="1845">
        <v>0.13</v>
      </c>
      <c r="D122" s="1845">
        <v>0.13</v>
      </c>
      <c r="E122" s="1845">
        <v>0.125</v>
      </c>
      <c r="F122" s="1846">
        <v>0.13</v>
      </c>
    </row>
    <row r="123" spans="1:6" ht="14.25" thickBot="1">
      <c r="A123" s="1840" t="s">
        <v>1409</v>
      </c>
      <c r="B123" s="1844" t="s">
        <v>1211</v>
      </c>
      <c r="C123" s="1845">
        <v>0.129</v>
      </c>
      <c r="D123" s="1845">
        <v>0.129</v>
      </c>
      <c r="E123" s="1845">
        <v>0.123</v>
      </c>
      <c r="F123" s="1846">
        <v>0.13</v>
      </c>
    </row>
    <row r="124" spans="1:6" ht="14.25" thickBot="1">
      <c r="A124" s="1840" t="s">
        <v>1409</v>
      </c>
      <c r="B124" s="1844" t="s">
        <v>1221</v>
      </c>
      <c r="C124" s="1845">
        <v>0.10199999999999999</v>
      </c>
      <c r="D124" s="1845">
        <v>0.10100000000000001</v>
      </c>
      <c r="E124" s="1845">
        <v>0.08</v>
      </c>
      <c r="F124" s="1853"/>
    </row>
    <row r="125" spans="1:6" ht="14.25" thickBot="1">
      <c r="A125" s="1840" t="s">
        <v>1409</v>
      </c>
      <c r="B125" s="1844" t="s">
        <v>1231</v>
      </c>
      <c r="C125" s="1845">
        <v>0.13</v>
      </c>
      <c r="D125" s="1845">
        <v>0.13</v>
      </c>
      <c r="E125" s="1845">
        <v>0.129</v>
      </c>
      <c r="F125" s="1853"/>
    </row>
    <row r="126" spans="1:6" ht="14.25" thickBot="1">
      <c r="A126" s="1840" t="s">
        <v>1409</v>
      </c>
      <c r="B126" s="1844" t="s">
        <v>1241</v>
      </c>
      <c r="C126" s="1845">
        <v>0.13</v>
      </c>
      <c r="D126" s="1845">
        <v>0.13</v>
      </c>
      <c r="E126" s="1845">
        <v>0.126</v>
      </c>
      <c r="F126" s="1853"/>
    </row>
    <row r="127" spans="1:6" ht="14.25" thickBot="1">
      <c r="A127" s="1840" t="s">
        <v>1409</v>
      </c>
      <c r="B127" s="1844" t="s">
        <v>1251</v>
      </c>
      <c r="C127" s="1845">
        <v>0.125</v>
      </c>
      <c r="D127" s="1845">
        <v>0.125</v>
      </c>
      <c r="E127" s="1845">
        <v>0.121</v>
      </c>
      <c r="F127" s="1853"/>
    </row>
    <row r="128" spans="1:6" ht="14.25" thickBot="1">
      <c r="A128" s="1840" t="s">
        <v>1409</v>
      </c>
      <c r="B128" s="1844" t="s">
        <v>1261</v>
      </c>
      <c r="C128" s="1845">
        <v>0.12</v>
      </c>
      <c r="D128" s="1845">
        <v>0.12</v>
      </c>
      <c r="E128" s="1845">
        <v>0.105</v>
      </c>
      <c r="F128" s="1853"/>
    </row>
    <row r="129" spans="1:6" ht="14.25" thickBot="1">
      <c r="A129" s="1840" t="s">
        <v>1409</v>
      </c>
      <c r="B129" s="1844" t="s">
        <v>1270</v>
      </c>
      <c r="C129" s="1845">
        <v>0.13</v>
      </c>
      <c r="D129" s="1845">
        <v>0.13</v>
      </c>
      <c r="E129" s="1845">
        <v>0.126</v>
      </c>
      <c r="F129" s="1853"/>
    </row>
    <row r="130" spans="1:6" ht="14.25" thickBot="1">
      <c r="A130" s="1840" t="s">
        <v>1409</v>
      </c>
      <c r="B130" s="1844" t="s">
        <v>1279</v>
      </c>
      <c r="C130" s="1845">
        <v>0.125</v>
      </c>
      <c r="D130" s="1845">
        <v>0.125</v>
      </c>
      <c r="E130" s="1845">
        <v>0.122</v>
      </c>
      <c r="F130" s="1853"/>
    </row>
    <row r="131" spans="1:6" ht="14.25" thickBot="1">
      <c r="A131" s="1840" t="s">
        <v>1409</v>
      </c>
      <c r="B131" s="1844" t="s">
        <v>1287</v>
      </c>
      <c r="C131" s="1845">
        <v>0.127</v>
      </c>
      <c r="D131" s="1845">
        <v>0.126</v>
      </c>
      <c r="E131" s="1845">
        <v>0.123</v>
      </c>
      <c r="F131" s="1853"/>
    </row>
    <row r="132" spans="1:6" ht="14.25" thickBot="1">
      <c r="A132" s="1840" t="s">
        <v>1409</v>
      </c>
      <c r="B132" s="1844" t="s">
        <v>1294</v>
      </c>
      <c r="C132" s="1845">
        <v>9.0999999999999998E-2</v>
      </c>
      <c r="D132" s="1845">
        <v>0.121</v>
      </c>
      <c r="E132" s="1845">
        <v>9.9000000000000005E-2</v>
      </c>
      <c r="F132" s="1853"/>
    </row>
    <row r="133" spans="1:6" ht="14.25" thickBot="1">
      <c r="A133" s="1840" t="s">
        <v>1409</v>
      </c>
      <c r="B133" s="1844" t="s">
        <v>1301</v>
      </c>
      <c r="C133" s="1845">
        <v>0.13</v>
      </c>
      <c r="D133" s="1845">
        <v>0.13</v>
      </c>
      <c r="E133" s="1845">
        <v>0.129</v>
      </c>
      <c r="F133" s="1853"/>
    </row>
    <row r="134" spans="1:6" ht="14.25" thickBot="1">
      <c r="A134" s="1840" t="s">
        <v>1409</v>
      </c>
      <c r="B134" s="1844" t="s">
        <v>2107</v>
      </c>
      <c r="C134" s="1845">
        <v>6.8000000000000005E-2</v>
      </c>
      <c r="D134" s="1845">
        <v>6.5000000000000002E-2</v>
      </c>
      <c r="E134" s="1845">
        <v>6.5000000000000002E-2</v>
      </c>
      <c r="F134" s="1846">
        <v>0.13</v>
      </c>
    </row>
    <row r="135" spans="1:6" ht="14.25" thickBot="1">
      <c r="A135" s="1840" t="s">
        <v>1409</v>
      </c>
      <c r="B135" s="1844" t="s">
        <v>1315</v>
      </c>
      <c r="C135" s="1845">
        <v>0.123</v>
      </c>
      <c r="D135" s="1845">
        <v>0.123</v>
      </c>
      <c r="E135" s="1845">
        <v>0.11</v>
      </c>
      <c r="F135" s="1853"/>
    </row>
    <row r="136" spans="1:6" ht="14.25" thickBot="1">
      <c r="A136" s="1840" t="s">
        <v>1409</v>
      </c>
      <c r="B136" s="1844" t="s">
        <v>1322</v>
      </c>
      <c r="C136" s="1845">
        <v>0.13</v>
      </c>
      <c r="D136" s="1845">
        <v>0.13</v>
      </c>
      <c r="E136" s="1845">
        <v>0.125</v>
      </c>
      <c r="F136" s="1853"/>
    </row>
    <row r="137" spans="1:6" ht="14.25" thickBot="1">
      <c r="A137" s="1840" t="s">
        <v>1409</v>
      </c>
      <c r="B137" s="1844" t="s">
        <v>1329</v>
      </c>
      <c r="C137" s="1845">
        <v>0.121</v>
      </c>
      <c r="D137" s="1845">
        <v>0.122</v>
      </c>
      <c r="E137" s="1845">
        <v>0.115</v>
      </c>
      <c r="F137" s="1853"/>
    </row>
    <row r="138" spans="1:6" ht="14.25" thickBot="1">
      <c r="A138" s="1840" t="s">
        <v>1409</v>
      </c>
      <c r="B138" s="1844" t="s">
        <v>2108</v>
      </c>
      <c r="C138" s="1845">
        <v>0.105</v>
      </c>
      <c r="D138" s="1845">
        <v>0.125</v>
      </c>
      <c r="E138" s="1845">
        <v>0.112</v>
      </c>
      <c r="F138" s="1853"/>
    </row>
    <row r="139" spans="1:6" ht="14.25" thickBot="1">
      <c r="A139" s="1840" t="s">
        <v>1409</v>
      </c>
      <c r="B139" s="1844" t="s">
        <v>2109</v>
      </c>
      <c r="C139" s="1845">
        <v>0.127</v>
      </c>
      <c r="D139" s="1845">
        <v>0.127</v>
      </c>
      <c r="E139" s="1845">
        <v>0.122</v>
      </c>
      <c r="F139" s="1846">
        <v>0.13</v>
      </c>
    </row>
    <row r="140" spans="1:6" ht="14.25" thickBot="1">
      <c r="A140" s="1840" t="s">
        <v>1409</v>
      </c>
      <c r="B140" s="1844" t="s">
        <v>2110</v>
      </c>
      <c r="C140" s="1845">
        <v>0.125</v>
      </c>
      <c r="D140" s="1845">
        <v>0.125</v>
      </c>
      <c r="E140" s="1845">
        <v>0.11899999999999999</v>
      </c>
      <c r="F140" s="1846">
        <v>0.13</v>
      </c>
    </row>
    <row r="141" spans="1:6" ht="14.25" thickBot="1">
      <c r="A141" s="1840" t="s">
        <v>1409</v>
      </c>
      <c r="B141" s="1844" t="s">
        <v>1348</v>
      </c>
      <c r="C141" s="1845">
        <v>0.125</v>
      </c>
      <c r="D141" s="1845">
        <v>0.125</v>
      </c>
      <c r="E141" s="1845">
        <v>0.11700000000000001</v>
      </c>
      <c r="F141" s="1853"/>
    </row>
    <row r="142" spans="1:6" ht="14.25" thickBot="1">
      <c r="A142" s="1840" t="s">
        <v>1409</v>
      </c>
      <c r="B142" s="1844" t="s">
        <v>1353</v>
      </c>
      <c r="C142" s="1845">
        <v>0.125</v>
      </c>
      <c r="D142" s="1845">
        <v>0.125</v>
      </c>
      <c r="E142" s="1845">
        <v>0.115</v>
      </c>
      <c r="F142" s="1853"/>
    </row>
    <row r="143" spans="1:6" ht="14.25" thickBot="1">
      <c r="A143" s="1840" t="s">
        <v>1409</v>
      </c>
      <c r="B143" s="1844" t="s">
        <v>1358</v>
      </c>
      <c r="C143" s="1845">
        <v>0.121</v>
      </c>
      <c r="D143" s="1845">
        <v>0.121</v>
      </c>
      <c r="E143" s="1845">
        <v>0.108</v>
      </c>
      <c r="F143" s="1853"/>
    </row>
    <row r="144" spans="1:6" ht="14.25" thickBot="1">
      <c r="A144" s="1840" t="s">
        <v>1409</v>
      </c>
      <c r="B144" s="1857" t="s">
        <v>2111</v>
      </c>
      <c r="C144" s="1858">
        <v>0.126</v>
      </c>
      <c r="D144" s="1858">
        <v>0.126</v>
      </c>
      <c r="E144" s="1858">
        <v>0.121</v>
      </c>
      <c r="F144" s="1853"/>
    </row>
    <row r="145" spans="1:6" ht="14.25" thickBot="1">
      <c r="A145" s="1848" t="s">
        <v>1409</v>
      </c>
      <c r="B145" s="1859" t="s">
        <v>2112</v>
      </c>
      <c r="C145" s="1860"/>
      <c r="D145" s="1860"/>
      <c r="E145" s="1860"/>
      <c r="F145" s="1861">
        <v>0.05</v>
      </c>
    </row>
    <row r="146" spans="1:6" ht="24.75" thickBot="1">
      <c r="A146" s="1862" t="s">
        <v>1409</v>
      </c>
      <c r="B146" s="1847" t="s">
        <v>2113</v>
      </c>
      <c r="C146" s="1854"/>
      <c r="D146" s="1854"/>
      <c r="E146" s="1854"/>
      <c r="F146" s="1863">
        <v>0.05</v>
      </c>
    </row>
    <row r="147" spans="1:6" ht="24.75" thickBot="1">
      <c r="A147" s="1840" t="s">
        <v>1409</v>
      </c>
      <c r="B147" s="1844" t="s">
        <v>2114</v>
      </c>
      <c r="C147" s="1854"/>
      <c r="D147" s="1854"/>
      <c r="E147" s="1854"/>
      <c r="F147" s="1846">
        <v>0.05</v>
      </c>
    </row>
    <row r="148" spans="1:6" ht="24.75" thickBot="1">
      <c r="A148" s="1840" t="s">
        <v>1409</v>
      </c>
      <c r="B148" s="1844" t="s">
        <v>2115</v>
      </c>
      <c r="C148" s="1854"/>
      <c r="D148" s="1854"/>
      <c r="E148" s="1854"/>
      <c r="F148" s="1846">
        <v>0.05</v>
      </c>
    </row>
    <row r="149" spans="1:6" ht="24.75" thickBot="1">
      <c r="A149" s="1840" t="s">
        <v>1409</v>
      </c>
      <c r="B149" s="1844" t="s">
        <v>2116</v>
      </c>
      <c r="C149" s="1854"/>
      <c r="D149" s="1854"/>
      <c r="E149" s="1854"/>
      <c r="F149" s="1846">
        <v>0.05</v>
      </c>
    </row>
    <row r="150" spans="1:6" ht="24.75" thickBot="1">
      <c r="A150" s="1840" t="s">
        <v>1409</v>
      </c>
      <c r="B150" s="1844" t="s">
        <v>2117</v>
      </c>
      <c r="C150" s="1854"/>
      <c r="D150" s="1854"/>
      <c r="E150" s="1854"/>
      <c r="F150" s="1846">
        <v>0.05</v>
      </c>
    </row>
    <row r="151" spans="1:6" ht="24.75" thickBot="1">
      <c r="A151" s="1840" t="s">
        <v>1409</v>
      </c>
      <c r="B151" s="1844" t="s">
        <v>2118</v>
      </c>
      <c r="C151" s="1854"/>
      <c r="D151" s="1854"/>
      <c r="E151" s="1854"/>
      <c r="F151" s="1846">
        <v>0.05</v>
      </c>
    </row>
    <row r="152" spans="1:6" ht="24.75" thickBot="1">
      <c r="A152" s="1840" t="s">
        <v>1409</v>
      </c>
      <c r="B152" s="1844" t="s">
        <v>1391</v>
      </c>
      <c r="C152" s="1854"/>
      <c r="D152" s="1854"/>
      <c r="E152" s="1854"/>
      <c r="F152" s="1846">
        <v>0.05</v>
      </c>
    </row>
    <row r="153" spans="1:6" ht="14.25" thickBot="1">
      <c r="A153" s="1840" t="s">
        <v>1409</v>
      </c>
      <c r="B153" s="1844" t="s">
        <v>2119</v>
      </c>
      <c r="C153" s="1854"/>
      <c r="D153" s="1854"/>
      <c r="E153" s="1854"/>
      <c r="F153" s="1846">
        <v>0.05</v>
      </c>
    </row>
    <row r="154" spans="1:6" ht="14.25" thickBot="1">
      <c r="A154" s="1840" t="s">
        <v>1409</v>
      </c>
      <c r="B154" s="1844" t="s">
        <v>2120</v>
      </c>
      <c r="C154" s="1854"/>
      <c r="D154" s="1854"/>
      <c r="E154" s="1854"/>
      <c r="F154" s="1846">
        <v>0.05</v>
      </c>
    </row>
    <row r="155" spans="1:6" ht="24.75" thickBot="1">
      <c r="A155" s="1840" t="s">
        <v>1409</v>
      </c>
      <c r="B155" s="1844" t="s">
        <v>2121</v>
      </c>
      <c r="C155" s="1854"/>
      <c r="D155" s="1854"/>
      <c r="E155" s="1854"/>
      <c r="F155" s="1846">
        <v>0.05</v>
      </c>
    </row>
    <row r="156" spans="1:6" ht="24.75" thickBot="1">
      <c r="A156" s="1840" t="s">
        <v>1409</v>
      </c>
      <c r="B156" s="1844" t="s">
        <v>2122</v>
      </c>
      <c r="C156" s="1854"/>
      <c r="D156" s="1854"/>
      <c r="E156" s="1854"/>
      <c r="F156" s="1846">
        <v>0.05</v>
      </c>
    </row>
    <row r="157" spans="1:6" ht="14.25" thickBot="1">
      <c r="A157" s="1848" t="s">
        <v>1409</v>
      </c>
      <c r="B157" s="1855" t="s">
        <v>2123</v>
      </c>
      <c r="C157" s="1851"/>
      <c r="D157" s="1851"/>
      <c r="E157" s="1851"/>
      <c r="F157" s="1856">
        <v>0.05</v>
      </c>
    </row>
    <row r="158" spans="1:6" ht="14.25" thickBot="1">
      <c r="A158" s="1840" t="s">
        <v>1411</v>
      </c>
      <c r="B158" s="1841" t="s">
        <v>2124</v>
      </c>
      <c r="C158" s="1842">
        <v>0.13</v>
      </c>
      <c r="D158" s="1842">
        <v>0.13</v>
      </c>
      <c r="E158" s="1842">
        <v>0.13</v>
      </c>
      <c r="F158" s="1843">
        <v>0.13</v>
      </c>
    </row>
    <row r="159" spans="1:6" ht="14.25" thickBot="1">
      <c r="A159" s="1840" t="s">
        <v>1411</v>
      </c>
      <c r="B159" s="1844" t="s">
        <v>1076</v>
      </c>
      <c r="C159" s="1845">
        <v>0.13</v>
      </c>
      <c r="D159" s="1845">
        <v>0.13</v>
      </c>
      <c r="E159" s="1845">
        <v>0.13</v>
      </c>
      <c r="F159" s="1846">
        <v>0.13</v>
      </c>
    </row>
    <row r="160" spans="1:6" ht="14.25" thickBot="1">
      <c r="A160" s="1840" t="s">
        <v>1411</v>
      </c>
      <c r="B160" s="1844" t="s">
        <v>1090</v>
      </c>
      <c r="C160" s="1845">
        <v>0.13</v>
      </c>
      <c r="D160" s="1845">
        <v>0.13</v>
      </c>
      <c r="E160" s="1845">
        <v>0.129</v>
      </c>
      <c r="F160" s="1846">
        <v>0.13</v>
      </c>
    </row>
    <row r="161" spans="1:6" ht="14.25" thickBot="1">
      <c r="A161" s="1840" t="s">
        <v>1411</v>
      </c>
      <c r="B161" s="1844" t="s">
        <v>1103</v>
      </c>
      <c r="C161" s="1845">
        <v>0.128</v>
      </c>
      <c r="D161" s="1845">
        <v>0.128</v>
      </c>
      <c r="E161" s="1845">
        <v>0.125</v>
      </c>
      <c r="F161" s="1846">
        <v>0.13</v>
      </c>
    </row>
    <row r="162" spans="1:6" ht="14.25" thickBot="1">
      <c r="A162" s="1840" t="s">
        <v>1411</v>
      </c>
      <c r="B162" s="1844" t="s">
        <v>1117</v>
      </c>
      <c r="C162" s="1845">
        <v>0.122</v>
      </c>
      <c r="D162" s="1845">
        <v>0.122</v>
      </c>
      <c r="E162" s="1845">
        <v>0.126</v>
      </c>
      <c r="F162" s="1846">
        <v>0.122</v>
      </c>
    </row>
    <row r="163" spans="1:6" ht="14.25" thickBot="1">
      <c r="A163" s="1840" t="s">
        <v>1411</v>
      </c>
      <c r="B163" s="1844" t="s">
        <v>1128</v>
      </c>
      <c r="C163" s="1845">
        <v>0.13</v>
      </c>
      <c r="D163" s="1845">
        <v>0.13</v>
      </c>
      <c r="E163" s="1845">
        <v>0.125</v>
      </c>
      <c r="F163" s="1846">
        <v>0.13</v>
      </c>
    </row>
    <row r="164" spans="1:6" ht="14.25" thickBot="1">
      <c r="A164" s="1840" t="s">
        <v>1411</v>
      </c>
      <c r="B164" s="1844" t="s">
        <v>1139</v>
      </c>
      <c r="C164" s="1845">
        <v>0.13</v>
      </c>
      <c r="D164" s="1845">
        <v>0.13</v>
      </c>
      <c r="E164" s="1845">
        <v>0.13</v>
      </c>
      <c r="F164" s="1846">
        <v>0.13</v>
      </c>
    </row>
    <row r="165" spans="1:6" ht="14.25" thickBot="1">
      <c r="A165" s="1840" t="s">
        <v>1411</v>
      </c>
      <c r="B165" s="1844" t="s">
        <v>1150</v>
      </c>
      <c r="C165" s="1845">
        <v>0.13</v>
      </c>
      <c r="D165" s="1845">
        <v>0.13</v>
      </c>
      <c r="E165" s="1845">
        <v>0.124</v>
      </c>
      <c r="F165" s="1846">
        <v>0.13</v>
      </c>
    </row>
    <row r="166" spans="1:6" ht="14.25" thickBot="1">
      <c r="A166" s="1840" t="s">
        <v>1411</v>
      </c>
      <c r="B166" s="1844" t="s">
        <v>1162</v>
      </c>
      <c r="C166" s="1845">
        <v>0.13</v>
      </c>
      <c r="D166" s="1845">
        <v>0.13</v>
      </c>
      <c r="E166" s="1845">
        <v>0.13</v>
      </c>
      <c r="F166" s="1846">
        <v>0.13</v>
      </c>
    </row>
    <row r="167" spans="1:6" ht="14.25" thickBot="1">
      <c r="A167" s="1840" t="s">
        <v>1411</v>
      </c>
      <c r="B167" s="1844" t="s">
        <v>1172</v>
      </c>
      <c r="C167" s="1845">
        <v>0.125</v>
      </c>
      <c r="D167" s="1845">
        <v>0.125</v>
      </c>
      <c r="E167" s="1845">
        <v>0.121</v>
      </c>
      <c r="F167" s="1853"/>
    </row>
    <row r="168" spans="1:6" ht="14.25" thickBot="1">
      <c r="A168" s="1840" t="s">
        <v>1411</v>
      </c>
      <c r="B168" s="1844" t="s">
        <v>1182</v>
      </c>
      <c r="C168" s="1845">
        <v>0.13</v>
      </c>
      <c r="D168" s="1845">
        <v>0.13</v>
      </c>
      <c r="E168" s="1845">
        <v>0.126</v>
      </c>
      <c r="F168" s="1853"/>
    </row>
    <row r="169" spans="1:6" ht="14.25" thickBot="1">
      <c r="A169" s="1840" t="s">
        <v>1411</v>
      </c>
      <c r="B169" s="1844" t="s">
        <v>1192</v>
      </c>
      <c r="C169" s="1845">
        <v>0.128</v>
      </c>
      <c r="D169" s="1845">
        <v>0.129</v>
      </c>
      <c r="E169" s="1845">
        <v>0.13</v>
      </c>
      <c r="F169" s="1853"/>
    </row>
    <row r="170" spans="1:6" ht="14.25" thickBot="1">
      <c r="A170" s="1840" t="s">
        <v>1411</v>
      </c>
      <c r="B170" s="1844" t="s">
        <v>1202</v>
      </c>
      <c r="C170" s="1845">
        <v>0.14099999999999999</v>
      </c>
      <c r="D170" s="1845">
        <v>0.13</v>
      </c>
      <c r="E170" s="1845">
        <v>0.125</v>
      </c>
      <c r="F170" s="1853"/>
    </row>
    <row r="171" spans="1:6" ht="14.25" thickBot="1">
      <c r="A171" s="1840" t="s">
        <v>1411</v>
      </c>
      <c r="B171" s="1844" t="s">
        <v>2125</v>
      </c>
      <c r="C171" s="1845">
        <v>0.127</v>
      </c>
      <c r="D171" s="1845">
        <v>0.126</v>
      </c>
      <c r="E171" s="1845">
        <v>0.126</v>
      </c>
      <c r="F171" s="1846">
        <v>0.11799999999999999</v>
      </c>
    </row>
    <row r="172" spans="1:6" ht="14.25" thickBot="1">
      <c r="A172" s="1840" t="s">
        <v>1411</v>
      </c>
      <c r="B172" s="1844" t="s">
        <v>2126</v>
      </c>
      <c r="C172" s="1845">
        <v>0.13</v>
      </c>
      <c r="D172" s="1845">
        <v>0.13</v>
      </c>
      <c r="E172" s="1845">
        <v>0.13</v>
      </c>
      <c r="F172" s="1853"/>
    </row>
    <row r="173" spans="1:6" ht="14.25" thickBot="1">
      <c r="A173" s="1840" t="s">
        <v>1411</v>
      </c>
      <c r="B173" s="1844" t="s">
        <v>1232</v>
      </c>
      <c r="C173" s="1845">
        <v>0.13</v>
      </c>
      <c r="D173" s="1845">
        <v>0.13</v>
      </c>
      <c r="E173" s="1845">
        <v>0.13</v>
      </c>
      <c r="F173" s="1853"/>
    </row>
    <row r="174" spans="1:6" ht="14.25" thickBot="1">
      <c r="A174" s="1840" t="s">
        <v>1411</v>
      </c>
      <c r="B174" s="1844" t="s">
        <v>2127</v>
      </c>
      <c r="C174" s="1845">
        <v>0.13</v>
      </c>
      <c r="D174" s="1845">
        <v>0.13</v>
      </c>
      <c r="E174" s="1845">
        <v>0.13</v>
      </c>
      <c r="F174" s="1846">
        <v>0.13</v>
      </c>
    </row>
    <row r="175" spans="1:6" ht="14.25" thickBot="1">
      <c r="A175" s="1840" t="s">
        <v>1411</v>
      </c>
      <c r="B175" s="1844" t="s">
        <v>2128</v>
      </c>
      <c r="C175" s="1845">
        <v>0.13</v>
      </c>
      <c r="D175" s="1845">
        <v>0.13</v>
      </c>
      <c r="E175" s="1845">
        <v>0.13</v>
      </c>
      <c r="F175" s="1846">
        <v>0.13</v>
      </c>
    </row>
    <row r="176" spans="1:6" ht="14.25" thickBot="1">
      <c r="A176" s="1840" t="s">
        <v>1411</v>
      </c>
      <c r="B176" s="1844" t="s">
        <v>1262</v>
      </c>
      <c r="C176" s="1845">
        <v>0.13</v>
      </c>
      <c r="D176" s="1845">
        <v>0.13</v>
      </c>
      <c r="E176" s="1845">
        <v>0.13</v>
      </c>
      <c r="F176" s="1846">
        <v>0.13</v>
      </c>
    </row>
    <row r="177" spans="1:6" ht="14.25" thickBot="1">
      <c r="A177" s="1840" t="s">
        <v>1411</v>
      </c>
      <c r="B177" s="1844" t="s">
        <v>2129</v>
      </c>
      <c r="C177" s="1845">
        <v>0.13</v>
      </c>
      <c r="D177" s="1845">
        <v>0.13</v>
      </c>
      <c r="E177" s="1845">
        <v>0.13</v>
      </c>
      <c r="F177" s="1846">
        <v>0.13</v>
      </c>
    </row>
    <row r="178" spans="1:6" ht="14.25" thickBot="1">
      <c r="A178" s="1840" t="s">
        <v>1411</v>
      </c>
      <c r="B178" s="1844" t="s">
        <v>1280</v>
      </c>
      <c r="C178" s="1845">
        <v>0.13</v>
      </c>
      <c r="D178" s="1845">
        <v>0.13</v>
      </c>
      <c r="E178" s="1845">
        <v>0.13</v>
      </c>
      <c r="F178" s="1846">
        <v>0.127</v>
      </c>
    </row>
    <row r="179" spans="1:6" ht="14.25" thickBot="1">
      <c r="A179" s="1840" t="s">
        <v>1411</v>
      </c>
      <c r="B179" s="1844" t="s">
        <v>1288</v>
      </c>
      <c r="C179" s="1845">
        <v>0.13</v>
      </c>
      <c r="D179" s="1845">
        <v>0.13</v>
      </c>
      <c r="E179" s="1845">
        <v>0.13</v>
      </c>
      <c r="F179" s="1853"/>
    </row>
    <row r="180" spans="1:6" ht="14.25" thickBot="1">
      <c r="A180" s="1840" t="s">
        <v>1411</v>
      </c>
      <c r="B180" s="1844" t="s">
        <v>2130</v>
      </c>
      <c r="C180" s="1845">
        <v>0.13</v>
      </c>
      <c r="D180" s="1845">
        <v>0.13</v>
      </c>
      <c r="E180" s="1845">
        <v>0.125</v>
      </c>
      <c r="F180" s="1846">
        <v>0.13</v>
      </c>
    </row>
    <row r="181" spans="1:6" ht="14.25" thickBot="1">
      <c r="A181" s="1840" t="s">
        <v>1411</v>
      </c>
      <c r="B181" s="1844" t="s">
        <v>1302</v>
      </c>
      <c r="C181" s="1845">
        <v>0.122</v>
      </c>
      <c r="D181" s="1845">
        <v>0.123</v>
      </c>
      <c r="E181" s="1845">
        <v>0.126</v>
      </c>
      <c r="F181" s="1846">
        <v>0.121</v>
      </c>
    </row>
    <row r="182" spans="1:6" ht="14.25" thickBot="1">
      <c r="A182" s="1840" t="s">
        <v>1411</v>
      </c>
      <c r="B182" s="1844" t="s">
        <v>1309</v>
      </c>
      <c r="C182" s="1845">
        <v>0.125</v>
      </c>
      <c r="D182" s="1845">
        <v>0.125</v>
      </c>
      <c r="E182" s="1845">
        <v>0.11700000000000001</v>
      </c>
      <c r="F182" s="1846">
        <v>0.13</v>
      </c>
    </row>
    <row r="183" spans="1:6" ht="14.25" thickBot="1">
      <c r="A183" s="1840" t="s">
        <v>1411</v>
      </c>
      <c r="B183" s="1844" t="s">
        <v>1316</v>
      </c>
      <c r="C183" s="1845">
        <v>0.127</v>
      </c>
      <c r="D183" s="1845">
        <v>0.127</v>
      </c>
      <c r="E183" s="1845">
        <v>0.128</v>
      </c>
      <c r="F183" s="1853"/>
    </row>
    <row r="184" spans="1:6" ht="14.25" thickBot="1">
      <c r="A184" s="1840" t="s">
        <v>1411</v>
      </c>
      <c r="B184" s="1844" t="s">
        <v>1323</v>
      </c>
      <c r="C184" s="1845">
        <v>0.125</v>
      </c>
      <c r="D184" s="1845">
        <v>0.125</v>
      </c>
      <c r="E184" s="1845">
        <v>0.127</v>
      </c>
      <c r="F184" s="1853"/>
    </row>
    <row r="185" spans="1:6" ht="14.25" thickBot="1">
      <c r="A185" s="1840" t="s">
        <v>1411</v>
      </c>
      <c r="B185" s="1844" t="s">
        <v>2131</v>
      </c>
      <c r="C185" s="1845">
        <v>0.127</v>
      </c>
      <c r="D185" s="1845">
        <v>0.127</v>
      </c>
      <c r="E185" s="1845">
        <v>0.128</v>
      </c>
      <c r="F185" s="1846">
        <v>0.13</v>
      </c>
    </row>
    <row r="186" spans="1:6" ht="24.75" thickBot="1">
      <c r="A186" s="1840" t="s">
        <v>1411</v>
      </c>
      <c r="B186" s="1844" t="s">
        <v>2132</v>
      </c>
      <c r="C186" s="1854"/>
      <c r="D186" s="1854"/>
      <c r="E186" s="1854"/>
      <c r="F186" s="1846">
        <v>0.05</v>
      </c>
    </row>
    <row r="187" spans="1:6" ht="14.25" thickBot="1">
      <c r="A187" s="1840" t="s">
        <v>1411</v>
      </c>
      <c r="B187" s="1844" t="s">
        <v>2133</v>
      </c>
      <c r="C187" s="1854"/>
      <c r="D187" s="1854"/>
      <c r="E187" s="1854"/>
      <c r="F187" s="1846">
        <v>0.05</v>
      </c>
    </row>
    <row r="188" spans="1:6" ht="14.25" thickBot="1">
      <c r="A188" s="1840" t="s">
        <v>1411</v>
      </c>
      <c r="B188" s="1844" t="s">
        <v>2134</v>
      </c>
      <c r="C188" s="1854"/>
      <c r="D188" s="1854"/>
      <c r="E188" s="1854"/>
      <c r="F188" s="1846">
        <v>0.05</v>
      </c>
    </row>
    <row r="189" spans="1:6" ht="24.75" thickBot="1">
      <c r="A189" s="1840" t="s">
        <v>1411</v>
      </c>
      <c r="B189" s="1844" t="s">
        <v>2135</v>
      </c>
      <c r="C189" s="1854"/>
      <c r="D189" s="1854"/>
      <c r="E189" s="1854"/>
      <c r="F189" s="1846">
        <v>0.05</v>
      </c>
    </row>
    <row r="190" spans="1:6" ht="24.75" thickBot="1">
      <c r="A190" s="1840" t="s">
        <v>1411</v>
      </c>
      <c r="B190" s="1844" t="s">
        <v>2136</v>
      </c>
      <c r="C190" s="1854"/>
      <c r="D190" s="1854"/>
      <c r="E190" s="1854"/>
      <c r="F190" s="1846">
        <v>0.05</v>
      </c>
    </row>
    <row r="191" spans="1:6" ht="24.75" thickBot="1">
      <c r="A191" s="1840" t="s">
        <v>1411</v>
      </c>
      <c r="B191" s="1844" t="s">
        <v>2137</v>
      </c>
      <c r="C191" s="1854"/>
      <c r="D191" s="1854"/>
      <c r="E191" s="1854"/>
      <c r="F191" s="1846">
        <v>0.05</v>
      </c>
    </row>
    <row r="192" spans="1:6" ht="24.75" thickBot="1">
      <c r="A192" s="1840" t="s">
        <v>1411</v>
      </c>
      <c r="B192" s="1844" t="s">
        <v>2138</v>
      </c>
      <c r="C192" s="1854"/>
      <c r="D192" s="1854"/>
      <c r="E192" s="1854"/>
      <c r="F192" s="1846">
        <v>0.05</v>
      </c>
    </row>
    <row r="193" spans="1:6" ht="24.75" thickBot="1">
      <c r="A193" s="1840" t="s">
        <v>1411</v>
      </c>
      <c r="B193" s="1844" t="s">
        <v>2139</v>
      </c>
      <c r="C193" s="1854"/>
      <c r="D193" s="1854"/>
      <c r="E193" s="1854"/>
      <c r="F193" s="1846">
        <v>0.05</v>
      </c>
    </row>
    <row r="194" spans="1:6" ht="24.75" thickBot="1">
      <c r="A194" s="1840" t="s">
        <v>1411</v>
      </c>
      <c r="B194" s="1844" t="s">
        <v>2140</v>
      </c>
      <c r="C194" s="1854"/>
      <c r="D194" s="1854"/>
      <c r="E194" s="1854"/>
      <c r="F194" s="1846">
        <v>0.05</v>
      </c>
    </row>
    <row r="195" spans="1:6" ht="14.25" thickBot="1">
      <c r="A195" s="1840" t="s">
        <v>1411</v>
      </c>
      <c r="B195" s="1844" t="s">
        <v>2141</v>
      </c>
      <c r="C195" s="1854"/>
      <c r="D195" s="1854"/>
      <c r="E195" s="1854"/>
      <c r="F195" s="1846">
        <v>0.05</v>
      </c>
    </row>
    <row r="196" spans="1:6" ht="24.75" thickBot="1">
      <c r="A196" s="1840" t="s">
        <v>1411</v>
      </c>
      <c r="B196" s="1844" t="s">
        <v>2142</v>
      </c>
      <c r="C196" s="1854"/>
      <c r="D196" s="1854"/>
      <c r="E196" s="1854"/>
      <c r="F196" s="1846">
        <v>0.05</v>
      </c>
    </row>
    <row r="197" spans="1:6" ht="24.75" thickBot="1">
      <c r="A197" s="1840" t="s">
        <v>1411</v>
      </c>
      <c r="B197" s="1844" t="s">
        <v>2143</v>
      </c>
      <c r="C197" s="1854"/>
      <c r="D197" s="1854"/>
      <c r="E197" s="1854"/>
      <c r="F197" s="1846">
        <v>0.05</v>
      </c>
    </row>
    <row r="198" spans="1:6" ht="24.75" thickBot="1">
      <c r="A198" s="1840" t="s">
        <v>1411</v>
      </c>
      <c r="B198" s="1844" t="s">
        <v>2144</v>
      </c>
      <c r="C198" s="1854"/>
      <c r="D198" s="1854"/>
      <c r="E198" s="1854"/>
      <c r="F198" s="1846">
        <v>0.05</v>
      </c>
    </row>
    <row r="199" spans="1:6" ht="24.75" thickBot="1">
      <c r="A199" s="1840" t="s">
        <v>1411</v>
      </c>
      <c r="B199" s="1844" t="s">
        <v>2145</v>
      </c>
      <c r="C199" s="1854"/>
      <c r="D199" s="1854"/>
      <c r="E199" s="1854"/>
      <c r="F199" s="1846">
        <v>0.05</v>
      </c>
    </row>
    <row r="200" spans="1:6" ht="24.75" thickBot="1">
      <c r="A200" s="1840" t="s">
        <v>1411</v>
      </c>
      <c r="B200" s="1844" t="s">
        <v>2146</v>
      </c>
      <c r="C200" s="1854"/>
      <c r="D200" s="1854"/>
      <c r="E200" s="1854"/>
      <c r="F200" s="1846">
        <v>0.05</v>
      </c>
    </row>
    <row r="201" spans="1:6" ht="24.75" thickBot="1">
      <c r="A201" s="1840" t="s">
        <v>1411</v>
      </c>
      <c r="B201" s="1844" t="s">
        <v>2147</v>
      </c>
      <c r="C201" s="1854"/>
      <c r="D201" s="1854"/>
      <c r="E201" s="1854"/>
      <c r="F201" s="1846">
        <v>0.05</v>
      </c>
    </row>
    <row r="202" spans="1:6" ht="24.75" thickBot="1">
      <c r="A202" s="1840" t="s">
        <v>1411</v>
      </c>
      <c r="B202" s="1844" t="s">
        <v>2148</v>
      </c>
      <c r="C202" s="1854"/>
      <c r="D202" s="1854"/>
      <c r="E202" s="1854"/>
      <c r="F202" s="1846">
        <v>0.05</v>
      </c>
    </row>
    <row r="203" spans="1:6" ht="24.75" thickBot="1">
      <c r="A203" s="1840" t="s">
        <v>1411</v>
      </c>
      <c r="B203" s="1844" t="s">
        <v>2149</v>
      </c>
      <c r="C203" s="1854"/>
      <c r="D203" s="1854"/>
      <c r="E203" s="1854"/>
      <c r="F203" s="1846">
        <v>0.05</v>
      </c>
    </row>
    <row r="204" spans="1:6" ht="14.25" thickBot="1">
      <c r="A204" s="1840" t="s">
        <v>1411</v>
      </c>
      <c r="B204" s="1844" t="s">
        <v>2150</v>
      </c>
      <c r="C204" s="1854"/>
      <c r="D204" s="1854"/>
      <c r="E204" s="1854"/>
      <c r="F204" s="1846">
        <v>0.05</v>
      </c>
    </row>
    <row r="205" spans="1:6" ht="14.25" thickBot="1">
      <c r="A205" s="1848" t="s">
        <v>1411</v>
      </c>
      <c r="B205" s="1855" t="s">
        <v>2151</v>
      </c>
      <c r="C205" s="1851"/>
      <c r="D205" s="1851"/>
      <c r="E205" s="1851"/>
      <c r="F205" s="1856">
        <v>0.05</v>
      </c>
    </row>
    <row r="206" spans="1:6" ht="14.25" thickBot="1">
      <c r="A206" s="1840" t="s">
        <v>1413</v>
      </c>
      <c r="B206" s="1841" t="s">
        <v>2152</v>
      </c>
      <c r="C206" s="1842">
        <v>0.15</v>
      </c>
      <c r="D206" s="1842">
        <v>0.15</v>
      </c>
      <c r="E206" s="1842">
        <v>0.15</v>
      </c>
      <c r="F206" s="1843">
        <v>0.15</v>
      </c>
    </row>
    <row r="207" spans="1:6" ht="14.25" thickBot="1">
      <c r="A207" s="1840" t="s">
        <v>1413</v>
      </c>
      <c r="B207" s="1844" t="s">
        <v>1077</v>
      </c>
      <c r="C207" s="1845">
        <v>0.15</v>
      </c>
      <c r="D207" s="1845">
        <v>0.15</v>
      </c>
      <c r="E207" s="1845">
        <v>0.15</v>
      </c>
      <c r="F207" s="1846">
        <v>0.14399999999999999</v>
      </c>
    </row>
    <row r="208" spans="1:6" ht="14.25" thickBot="1">
      <c r="A208" s="1840" t="s">
        <v>1413</v>
      </c>
      <c r="B208" s="1844" t="s">
        <v>1091</v>
      </c>
      <c r="C208" s="1845">
        <v>0.15</v>
      </c>
      <c r="D208" s="1845">
        <v>0.15</v>
      </c>
      <c r="E208" s="1845">
        <v>0.15</v>
      </c>
      <c r="F208" s="1846">
        <v>0.15</v>
      </c>
    </row>
    <row r="209" spans="1:6" ht="14.25" thickBot="1">
      <c r="A209" s="1840" t="s">
        <v>1413</v>
      </c>
      <c r="B209" s="1844" t="s">
        <v>1104</v>
      </c>
      <c r="C209" s="1845">
        <v>0.13700000000000001</v>
      </c>
      <c r="D209" s="1845">
        <v>0.13700000000000001</v>
      </c>
      <c r="E209" s="1845">
        <v>0.14000000000000001</v>
      </c>
      <c r="F209" s="1846">
        <v>0.11700000000000001</v>
      </c>
    </row>
    <row r="210" spans="1:6" ht="14.25" thickBot="1">
      <c r="A210" s="1840" t="s">
        <v>1413</v>
      </c>
      <c r="B210" s="1844" t="s">
        <v>2153</v>
      </c>
      <c r="C210" s="1845">
        <v>0.15</v>
      </c>
      <c r="D210" s="1845">
        <v>0.15</v>
      </c>
      <c r="E210" s="1845">
        <v>0.15</v>
      </c>
      <c r="F210" s="1846">
        <v>0.13800000000000001</v>
      </c>
    </row>
    <row r="211" spans="1:6" ht="14.25" thickBot="1">
      <c r="A211" s="1840" t="s">
        <v>1413</v>
      </c>
      <c r="B211" s="1844" t="s">
        <v>2154</v>
      </c>
      <c r="C211" s="1845">
        <v>0.13700000000000001</v>
      </c>
      <c r="D211" s="1845">
        <v>0.13500000000000001</v>
      </c>
      <c r="E211" s="1845">
        <v>0.13600000000000001</v>
      </c>
      <c r="F211" s="1846">
        <v>0.1</v>
      </c>
    </row>
    <row r="212" spans="1:6" ht="14.25" thickBot="1">
      <c r="A212" s="1840" t="s">
        <v>1413</v>
      </c>
      <c r="B212" s="1844" t="s">
        <v>2155</v>
      </c>
      <c r="C212" s="1845">
        <v>0.15</v>
      </c>
      <c r="D212" s="1845">
        <v>0.15</v>
      </c>
      <c r="E212" s="1845">
        <v>0.14799999999999999</v>
      </c>
      <c r="F212" s="1846">
        <v>0.13600000000000001</v>
      </c>
    </row>
    <row r="213" spans="1:6" ht="14.25" thickBot="1">
      <c r="A213" s="1840" t="s">
        <v>1413</v>
      </c>
      <c r="B213" s="1844" t="s">
        <v>1151</v>
      </c>
      <c r="C213" s="1845">
        <v>0.15</v>
      </c>
      <c r="D213" s="1845">
        <v>0.15</v>
      </c>
      <c r="E213" s="1845">
        <v>0.15</v>
      </c>
      <c r="F213" s="1846">
        <v>0.13800000000000001</v>
      </c>
    </row>
    <row r="214" spans="1:6" ht="14.25" thickBot="1">
      <c r="A214" s="1840" t="s">
        <v>1413</v>
      </c>
      <c r="B214" s="1844" t="s">
        <v>1163</v>
      </c>
      <c r="C214" s="1845">
        <v>9.0999999999999998E-2</v>
      </c>
      <c r="D214" s="1845">
        <v>0.09</v>
      </c>
      <c r="E214" s="1845">
        <v>9.1999999999999998E-2</v>
      </c>
      <c r="F214" s="1853"/>
    </row>
    <row r="215" spans="1:6" ht="14.25" thickBot="1">
      <c r="A215" s="1840" t="s">
        <v>1413</v>
      </c>
      <c r="B215" s="1844" t="s">
        <v>2156</v>
      </c>
      <c r="C215" s="1845">
        <v>0.15</v>
      </c>
      <c r="D215" s="1845">
        <v>0.15</v>
      </c>
      <c r="E215" s="1845">
        <v>0.15</v>
      </c>
      <c r="F215" s="1846">
        <v>0.15</v>
      </c>
    </row>
    <row r="216" spans="1:6" ht="14.25" thickBot="1">
      <c r="A216" s="1840" t="s">
        <v>1413</v>
      </c>
      <c r="B216" s="1844" t="s">
        <v>1183</v>
      </c>
      <c r="C216" s="1845">
        <v>0.14699999999999999</v>
      </c>
      <c r="D216" s="1845">
        <v>0.14699999999999999</v>
      </c>
      <c r="E216" s="1845">
        <v>0.15</v>
      </c>
      <c r="F216" s="1846">
        <v>0.14000000000000001</v>
      </c>
    </row>
    <row r="217" spans="1:6" ht="14.25" thickBot="1">
      <c r="A217" s="1840" t="s">
        <v>1413</v>
      </c>
      <c r="B217" s="1844" t="s">
        <v>1193</v>
      </c>
      <c r="C217" s="1845">
        <v>0.15</v>
      </c>
      <c r="D217" s="1845">
        <v>0.15</v>
      </c>
      <c r="E217" s="1845">
        <v>0.15</v>
      </c>
      <c r="F217" s="1846">
        <v>0.15</v>
      </c>
    </row>
    <row r="218" spans="1:6" ht="14.25" thickBot="1">
      <c r="A218" s="1840" t="s">
        <v>1413</v>
      </c>
      <c r="B218" s="1844" t="s">
        <v>2157</v>
      </c>
      <c r="C218" s="1845">
        <v>0.15</v>
      </c>
      <c r="D218" s="1845">
        <v>0.15</v>
      </c>
      <c r="E218" s="1845">
        <v>0.15</v>
      </c>
      <c r="F218" s="1846">
        <v>0.15</v>
      </c>
    </row>
    <row r="219" spans="1:6" ht="14.25" thickBot="1">
      <c r="A219" s="1840" t="s">
        <v>1413</v>
      </c>
      <c r="B219" s="1844" t="s">
        <v>1213</v>
      </c>
      <c r="C219" s="1845">
        <v>0.15</v>
      </c>
      <c r="D219" s="1845">
        <v>0.15</v>
      </c>
      <c r="E219" s="1845">
        <v>0.15</v>
      </c>
      <c r="F219" s="1846">
        <v>0.14799999999999999</v>
      </c>
    </row>
    <row r="220" spans="1:6" ht="14.25" thickBot="1">
      <c r="A220" s="1840" t="s">
        <v>1413</v>
      </c>
      <c r="B220" s="1844" t="s">
        <v>2158</v>
      </c>
      <c r="C220" s="1845">
        <v>0.15</v>
      </c>
      <c r="D220" s="1845">
        <v>0.15</v>
      </c>
      <c r="E220" s="1845">
        <v>0.15</v>
      </c>
      <c r="F220" s="1846">
        <v>0.15</v>
      </c>
    </row>
    <row r="221" spans="1:6" ht="14.25" thickBot="1">
      <c r="A221" s="1840" t="s">
        <v>1413</v>
      </c>
      <c r="B221" s="1844" t="s">
        <v>1233</v>
      </c>
      <c r="C221" s="1845"/>
      <c r="D221" s="1854"/>
      <c r="E221" s="1854"/>
      <c r="F221" s="1846">
        <v>0.14799999999999999</v>
      </c>
    </row>
    <row r="222" spans="1:6" ht="14.25" thickBot="1">
      <c r="A222" s="1840" t="s">
        <v>1413</v>
      </c>
      <c r="B222" s="1844" t="s">
        <v>1243</v>
      </c>
      <c r="C222" s="1845"/>
      <c r="D222" s="1854"/>
      <c r="E222" s="1854"/>
      <c r="F222" s="1846">
        <v>0.1</v>
      </c>
    </row>
    <row r="223" spans="1:6" ht="14.25" thickBot="1">
      <c r="A223" s="1840" t="s">
        <v>1413</v>
      </c>
      <c r="B223" s="1844" t="s">
        <v>1253</v>
      </c>
      <c r="C223" s="1845"/>
      <c r="D223" s="1854"/>
      <c r="E223" s="1854"/>
      <c r="F223" s="1846">
        <v>0.15</v>
      </c>
    </row>
    <row r="224" spans="1:6" ht="14.25" thickBot="1">
      <c r="A224" s="1840" t="s">
        <v>1413</v>
      </c>
      <c r="B224" s="1844" t="s">
        <v>1263</v>
      </c>
      <c r="C224" s="1845"/>
      <c r="D224" s="1854"/>
      <c r="E224" s="1854"/>
      <c r="F224" s="1846">
        <v>0.15</v>
      </c>
    </row>
    <row r="225" spans="1:6" ht="14.25" thickBot="1">
      <c r="A225" s="1840" t="s">
        <v>1413</v>
      </c>
      <c r="B225" s="1844" t="s">
        <v>2159</v>
      </c>
      <c r="C225" s="1845">
        <v>0.15</v>
      </c>
      <c r="D225" s="1845">
        <v>0.15</v>
      </c>
      <c r="E225" s="1845">
        <v>0.15</v>
      </c>
      <c r="F225" s="1846">
        <v>0.15</v>
      </c>
    </row>
    <row r="226" spans="1:6" ht="14.25" thickBot="1">
      <c r="A226" s="1840" t="s">
        <v>1413</v>
      </c>
      <c r="B226" s="1844" t="s">
        <v>1281</v>
      </c>
      <c r="C226" s="1845">
        <v>0.15</v>
      </c>
      <c r="D226" s="1845">
        <v>0.15</v>
      </c>
      <c r="E226" s="1845">
        <v>0.15</v>
      </c>
      <c r="F226" s="1846">
        <v>0.14799999999999999</v>
      </c>
    </row>
    <row r="227" spans="1:6" ht="14.25" thickBot="1">
      <c r="A227" s="1840" t="s">
        <v>1413</v>
      </c>
      <c r="B227" s="1844" t="s">
        <v>2160</v>
      </c>
      <c r="C227" s="1845">
        <v>0.15</v>
      </c>
      <c r="D227" s="1845">
        <v>0.15</v>
      </c>
      <c r="E227" s="1845">
        <v>0.15</v>
      </c>
      <c r="F227" s="1846">
        <v>0.15</v>
      </c>
    </row>
    <row r="228" spans="1:6" ht="14.25" thickBot="1">
      <c r="A228" s="1840" t="s">
        <v>1413</v>
      </c>
      <c r="B228" s="1844" t="s">
        <v>1296</v>
      </c>
      <c r="C228" s="1845">
        <v>0.15</v>
      </c>
      <c r="D228" s="1845">
        <v>0.15</v>
      </c>
      <c r="E228" s="1845">
        <v>0.15</v>
      </c>
      <c r="F228" s="1846">
        <v>0.15</v>
      </c>
    </row>
    <row r="229" spans="1:6" ht="14.25" thickBot="1">
      <c r="A229" s="1840" t="s">
        <v>1413</v>
      </c>
      <c r="B229" s="1844" t="s">
        <v>1303</v>
      </c>
      <c r="C229" s="1845">
        <v>0.15</v>
      </c>
      <c r="D229" s="1845">
        <v>0.15</v>
      </c>
      <c r="E229" s="1845">
        <v>0.15</v>
      </c>
      <c r="F229" s="1853"/>
    </row>
    <row r="230" spans="1:6" ht="14.25" thickBot="1">
      <c r="A230" s="1840" t="s">
        <v>1413</v>
      </c>
      <c r="B230" s="1844" t="s">
        <v>1310</v>
      </c>
      <c r="C230" s="1845">
        <v>0.14499999999999999</v>
      </c>
      <c r="D230" s="1845">
        <v>0.14499999999999999</v>
      </c>
      <c r="E230" s="1845">
        <v>0.14399999999999999</v>
      </c>
      <c r="F230" s="1853"/>
    </row>
    <row r="231" spans="1:6" ht="14.25" thickBot="1">
      <c r="A231" s="1840" t="s">
        <v>1413</v>
      </c>
      <c r="B231" s="1844" t="s">
        <v>2161</v>
      </c>
      <c r="C231" s="1845">
        <v>0.128</v>
      </c>
      <c r="D231" s="1845">
        <v>0.125</v>
      </c>
      <c r="E231" s="1845">
        <v>0.13200000000000001</v>
      </c>
      <c r="F231" s="1853"/>
    </row>
    <row r="232" spans="1:6" ht="14.25" thickBot="1">
      <c r="A232" s="1840" t="s">
        <v>1413</v>
      </c>
      <c r="B232" s="1844" t="s">
        <v>2162</v>
      </c>
      <c r="C232" s="1845">
        <v>0.14499999999999999</v>
      </c>
      <c r="D232" s="1845">
        <v>0.14399999999999999</v>
      </c>
      <c r="E232" s="1845">
        <v>0.14599999999999999</v>
      </c>
      <c r="F232" s="1846">
        <v>0.13800000000000001</v>
      </c>
    </row>
    <row r="233" spans="1:6" ht="14.25" thickBot="1">
      <c r="A233" s="1840" t="s">
        <v>1413</v>
      </c>
      <c r="B233" s="1844" t="s">
        <v>2163</v>
      </c>
      <c r="C233" s="1845">
        <v>0.14499999999999999</v>
      </c>
      <c r="D233" s="1845">
        <v>0.14299999999999999</v>
      </c>
      <c r="E233" s="1845">
        <v>0.14199999999999999</v>
      </c>
      <c r="F233" s="1853"/>
    </row>
    <row r="234" spans="1:6" ht="14.25" thickBot="1">
      <c r="A234" s="1840" t="s">
        <v>1413</v>
      </c>
      <c r="B234" s="1844" t="s">
        <v>2164</v>
      </c>
      <c r="C234" s="1845">
        <v>0.14000000000000001</v>
      </c>
      <c r="D234" s="1845">
        <v>0.14000000000000001</v>
      </c>
      <c r="E234" s="1845">
        <v>0.14399999999999999</v>
      </c>
      <c r="F234" s="1853"/>
    </row>
    <row r="235" spans="1:6" ht="14.25" thickBot="1">
      <c r="A235" s="1840" t="s">
        <v>1413</v>
      </c>
      <c r="B235" s="1844" t="s">
        <v>2165</v>
      </c>
      <c r="C235" s="1845">
        <v>0.14099999999999999</v>
      </c>
      <c r="D235" s="1845">
        <v>0.14199999999999999</v>
      </c>
      <c r="E235" s="1845">
        <v>0.14499999999999999</v>
      </c>
      <c r="F235" s="1846">
        <v>0.15</v>
      </c>
    </row>
    <row r="236" spans="1:6" ht="14.25" thickBot="1">
      <c r="A236" s="1840" t="s">
        <v>1413</v>
      </c>
      <c r="B236" s="1844" t="s">
        <v>1345</v>
      </c>
      <c r="C236" s="1854"/>
      <c r="D236" s="1854"/>
      <c r="E236" s="1854"/>
      <c r="F236" s="1846">
        <v>0.14299999999999999</v>
      </c>
    </row>
    <row r="237" spans="1:6" ht="24.75" thickBot="1">
      <c r="A237" s="1840" t="s">
        <v>1413</v>
      </c>
      <c r="B237" s="1844" t="s">
        <v>2166</v>
      </c>
      <c r="C237" s="1854"/>
      <c r="D237" s="1854"/>
      <c r="E237" s="1854"/>
      <c r="F237" s="1846">
        <v>0.05</v>
      </c>
    </row>
    <row r="238" spans="1:6" ht="24.75" thickBot="1">
      <c r="A238" s="1840" t="s">
        <v>1413</v>
      </c>
      <c r="B238" s="1844" t="s">
        <v>2167</v>
      </c>
      <c r="C238" s="1854"/>
      <c r="D238" s="1854"/>
      <c r="E238" s="1854"/>
      <c r="F238" s="1846">
        <v>0.05</v>
      </c>
    </row>
    <row r="239" spans="1:6" ht="24.75" thickBot="1">
      <c r="A239" s="1840" t="s">
        <v>1413</v>
      </c>
      <c r="B239" s="1844" t="s">
        <v>2168</v>
      </c>
      <c r="C239" s="1854"/>
      <c r="D239" s="1854"/>
      <c r="E239" s="1854"/>
      <c r="F239" s="1846">
        <v>0.05</v>
      </c>
    </row>
    <row r="240" spans="1:6" ht="24.75" thickBot="1">
      <c r="A240" s="1840" t="s">
        <v>1413</v>
      </c>
      <c r="B240" s="1844" t="s">
        <v>2169</v>
      </c>
      <c r="C240" s="1854"/>
      <c r="D240" s="1854"/>
      <c r="E240" s="1854"/>
      <c r="F240" s="1846">
        <v>0.05</v>
      </c>
    </row>
    <row r="241" spans="1:6" ht="24.75" thickBot="1">
      <c r="A241" s="1840" t="s">
        <v>1413</v>
      </c>
      <c r="B241" s="1844" t="s">
        <v>2170</v>
      </c>
      <c r="C241" s="1854"/>
      <c r="D241" s="1854"/>
      <c r="E241" s="1854"/>
      <c r="F241" s="1846">
        <v>0.05</v>
      </c>
    </row>
    <row r="242" spans="1:6" ht="24.75" thickBot="1">
      <c r="A242" s="1840" t="s">
        <v>1413</v>
      </c>
      <c r="B242" s="1844" t="s">
        <v>2171</v>
      </c>
      <c r="C242" s="1854"/>
      <c r="D242" s="1854"/>
      <c r="E242" s="1854"/>
      <c r="F242" s="1846">
        <v>0.05</v>
      </c>
    </row>
    <row r="243" spans="1:6" ht="24.75" thickBot="1">
      <c r="A243" s="1840" t="s">
        <v>1413</v>
      </c>
      <c r="B243" s="1844" t="s">
        <v>2172</v>
      </c>
      <c r="C243" s="1854"/>
      <c r="D243" s="1854"/>
      <c r="E243" s="1854"/>
      <c r="F243" s="1846">
        <v>0.05</v>
      </c>
    </row>
    <row r="244" spans="1:6" ht="24.75" thickBot="1">
      <c r="A244" s="1848" t="s">
        <v>1413</v>
      </c>
      <c r="B244" s="1855" t="s">
        <v>2173</v>
      </c>
      <c r="C244" s="1851"/>
      <c r="D244" s="1851"/>
      <c r="E244" s="1851"/>
      <c r="F244" s="1856">
        <v>0.05</v>
      </c>
    </row>
    <row r="245" spans="1:6" ht="14.25" thickBot="1">
      <c r="A245" s="1840" t="s">
        <v>1415</v>
      </c>
      <c r="B245" s="1841" t="s">
        <v>2174</v>
      </c>
      <c r="C245" s="1842">
        <v>0.15</v>
      </c>
      <c r="D245" s="1842">
        <v>0.15</v>
      </c>
      <c r="E245" s="1842">
        <v>0.15</v>
      </c>
      <c r="F245" s="1843">
        <v>0.14299999999999999</v>
      </c>
    </row>
    <row r="246" spans="1:6" ht="14.25" thickBot="1">
      <c r="A246" s="1840" t="s">
        <v>1415</v>
      </c>
      <c r="B246" s="1844" t="s">
        <v>1078</v>
      </c>
      <c r="C246" s="1845">
        <v>0.15</v>
      </c>
      <c r="D246" s="1845">
        <v>0.15</v>
      </c>
      <c r="E246" s="1845">
        <v>0.15</v>
      </c>
      <c r="F246" s="1846">
        <v>0.114</v>
      </c>
    </row>
    <row r="247" spans="1:6" ht="14.25" thickBot="1">
      <c r="A247" s="1840" t="s">
        <v>1415</v>
      </c>
      <c r="B247" s="1844" t="s">
        <v>2175</v>
      </c>
      <c r="C247" s="1845">
        <v>0.15</v>
      </c>
      <c r="D247" s="1845">
        <v>0.15</v>
      </c>
      <c r="E247" s="1845">
        <v>0.15</v>
      </c>
      <c r="F247" s="1846">
        <v>0.15</v>
      </c>
    </row>
    <row r="248" spans="1:6" ht="14.25" thickBot="1">
      <c r="A248" s="1840" t="s">
        <v>1415</v>
      </c>
      <c r="B248" s="1844" t="s">
        <v>2176</v>
      </c>
      <c r="C248" s="1845">
        <v>0.15</v>
      </c>
      <c r="D248" s="1845">
        <v>0.15</v>
      </c>
      <c r="E248" s="1845">
        <v>0.15</v>
      </c>
      <c r="F248" s="1846">
        <v>0.14000000000000001</v>
      </c>
    </row>
    <row r="249" spans="1:6" ht="14.25" thickBot="1">
      <c r="A249" s="1840" t="s">
        <v>1415</v>
      </c>
      <c r="B249" s="1844" t="s">
        <v>2177</v>
      </c>
      <c r="C249" s="1845">
        <v>0.15</v>
      </c>
      <c r="D249" s="1845">
        <v>0.14899999999999999</v>
      </c>
      <c r="E249" s="1845">
        <v>0.15</v>
      </c>
      <c r="F249" s="1846">
        <v>0.1</v>
      </c>
    </row>
    <row r="250" spans="1:6" ht="14.25" thickBot="1">
      <c r="A250" s="1840" t="s">
        <v>1415</v>
      </c>
      <c r="B250" s="1844" t="s">
        <v>2178</v>
      </c>
      <c r="C250" s="1845">
        <v>0.15</v>
      </c>
      <c r="D250" s="1845">
        <v>0.15</v>
      </c>
      <c r="E250" s="1845">
        <v>0.15</v>
      </c>
      <c r="F250" s="1846">
        <v>0.14399999999999999</v>
      </c>
    </row>
    <row r="251" spans="1:6" ht="14.25" thickBot="1">
      <c r="A251" s="1840" t="s">
        <v>1415</v>
      </c>
      <c r="B251" s="1844" t="s">
        <v>1141</v>
      </c>
      <c r="C251" s="1845">
        <v>0.15</v>
      </c>
      <c r="D251" s="1845">
        <v>0.15</v>
      </c>
      <c r="E251" s="1845">
        <v>0.15</v>
      </c>
      <c r="F251" s="1846">
        <v>0.14299999999999999</v>
      </c>
    </row>
    <row r="252" spans="1:6" ht="14.25" thickBot="1">
      <c r="A252" s="1840" t="s">
        <v>1415</v>
      </c>
      <c r="B252" s="1844" t="s">
        <v>1152</v>
      </c>
      <c r="C252" s="1845">
        <v>0.15</v>
      </c>
      <c r="D252" s="1845">
        <v>0.15</v>
      </c>
      <c r="E252" s="1845">
        <v>0.15</v>
      </c>
      <c r="F252" s="1846">
        <v>0.1</v>
      </c>
    </row>
    <row r="253" spans="1:6" ht="14.25" thickBot="1">
      <c r="A253" s="1840" t="s">
        <v>1415</v>
      </c>
      <c r="B253" s="1844" t="s">
        <v>1164</v>
      </c>
      <c r="C253" s="1845">
        <v>0.15</v>
      </c>
      <c r="D253" s="1845">
        <v>0.15</v>
      </c>
      <c r="E253" s="1845">
        <v>0.15</v>
      </c>
      <c r="F253" s="1846">
        <v>0.1</v>
      </c>
    </row>
    <row r="254" spans="1:6" ht="14.25" thickBot="1">
      <c r="A254" s="1840" t="s">
        <v>1415</v>
      </c>
      <c r="B254" s="1844" t="s">
        <v>1174</v>
      </c>
      <c r="C254" s="1854"/>
      <c r="D254" s="1854"/>
      <c r="E254" s="1854"/>
      <c r="F254" s="1846">
        <v>0.15</v>
      </c>
    </row>
    <row r="255" spans="1:6" ht="14.25" thickBot="1">
      <c r="A255" s="1840" t="s">
        <v>1415</v>
      </c>
      <c r="B255" s="1844" t="s">
        <v>1184</v>
      </c>
      <c r="C255" s="1854"/>
      <c r="D255" s="1854"/>
      <c r="E255" s="1854"/>
      <c r="F255" s="1846">
        <v>0.14299999999999999</v>
      </c>
    </row>
    <row r="256" spans="1:6" ht="14.25" thickBot="1">
      <c r="A256" s="1840" t="s">
        <v>1415</v>
      </c>
      <c r="B256" s="1844" t="s">
        <v>2179</v>
      </c>
      <c r="C256" s="1845">
        <v>0.14599999999999999</v>
      </c>
      <c r="D256" s="1845">
        <v>0.14699999999999999</v>
      </c>
      <c r="E256" s="1845">
        <v>0.15</v>
      </c>
      <c r="F256" s="1846">
        <v>0.13200000000000001</v>
      </c>
    </row>
    <row r="257" spans="1:6" ht="14.25" thickBot="1">
      <c r="A257" s="1840" t="s">
        <v>1415</v>
      </c>
      <c r="B257" s="1844" t="s">
        <v>1204</v>
      </c>
      <c r="C257" s="1845">
        <v>0.15</v>
      </c>
      <c r="D257" s="1845">
        <v>0.15</v>
      </c>
      <c r="E257" s="1845">
        <v>0.15</v>
      </c>
      <c r="F257" s="1846">
        <v>0.13900000000000001</v>
      </c>
    </row>
    <row r="258" spans="1:6" ht="14.25" thickBot="1">
      <c r="A258" s="1840" t="s">
        <v>1415</v>
      </c>
      <c r="B258" s="1844" t="s">
        <v>1214</v>
      </c>
      <c r="C258" s="1845">
        <v>0.15</v>
      </c>
      <c r="D258" s="1845">
        <v>0.15</v>
      </c>
      <c r="E258" s="1845">
        <v>0.15</v>
      </c>
      <c r="F258" s="1846">
        <v>0.13</v>
      </c>
    </row>
    <row r="259" spans="1:6" ht="14.25" thickBot="1">
      <c r="A259" s="1840" t="s">
        <v>1415</v>
      </c>
      <c r="B259" s="1844" t="s">
        <v>2180</v>
      </c>
      <c r="C259" s="1845">
        <v>0.14799999999999999</v>
      </c>
      <c r="D259" s="1845">
        <v>0.14899999999999999</v>
      </c>
      <c r="E259" s="1845">
        <v>0.15</v>
      </c>
      <c r="F259" s="1846">
        <v>0.13700000000000001</v>
      </c>
    </row>
    <row r="260" spans="1:6" ht="14.25" thickBot="1">
      <c r="A260" s="1840" t="s">
        <v>1415</v>
      </c>
      <c r="B260" s="1844" t="s">
        <v>1234</v>
      </c>
      <c r="C260" s="1845">
        <v>0.15</v>
      </c>
      <c r="D260" s="1845">
        <v>0.15</v>
      </c>
      <c r="E260" s="1845">
        <v>0.15</v>
      </c>
      <c r="F260" s="1846">
        <v>0.14199999999999999</v>
      </c>
    </row>
    <row r="261" spans="1:6" ht="14.25" thickBot="1">
      <c r="A261" s="1840" t="s">
        <v>1415</v>
      </c>
      <c r="B261" s="1844" t="s">
        <v>1244</v>
      </c>
      <c r="C261" s="1845">
        <v>0.15</v>
      </c>
      <c r="D261" s="1845">
        <v>0.15</v>
      </c>
      <c r="E261" s="1845">
        <v>0.14899999999999999</v>
      </c>
      <c r="F261" s="1846">
        <v>0.14799999999999999</v>
      </c>
    </row>
    <row r="262" spans="1:6" ht="14.25" thickBot="1">
      <c r="A262" s="1840" t="s">
        <v>1415</v>
      </c>
      <c r="B262" s="1844" t="s">
        <v>1254</v>
      </c>
      <c r="C262" s="1845">
        <v>0.15</v>
      </c>
      <c r="D262" s="1845">
        <v>0.15</v>
      </c>
      <c r="E262" s="1845">
        <v>0.15</v>
      </c>
      <c r="F262" s="1853"/>
    </row>
    <row r="263" spans="1:6" ht="14.25" thickBot="1">
      <c r="A263" s="1840" t="s">
        <v>1415</v>
      </c>
      <c r="B263" s="1844" t="s">
        <v>2181</v>
      </c>
      <c r="C263" s="1845">
        <v>0.14899999999999999</v>
      </c>
      <c r="D263" s="1845">
        <v>0.14899999999999999</v>
      </c>
      <c r="E263" s="1845">
        <v>0.15</v>
      </c>
      <c r="F263" s="1846">
        <v>0.13</v>
      </c>
    </row>
    <row r="264" spans="1:6" ht="14.25" thickBot="1">
      <c r="A264" s="1840" t="s">
        <v>1415</v>
      </c>
      <c r="B264" s="1844" t="s">
        <v>1273</v>
      </c>
      <c r="C264" s="1845">
        <v>0.14799999999999999</v>
      </c>
      <c r="D264" s="1845">
        <v>0.14699999999999999</v>
      </c>
      <c r="E264" s="1845">
        <v>0.15</v>
      </c>
      <c r="F264" s="1846">
        <v>7.8E-2</v>
      </c>
    </row>
    <row r="265" spans="1:6" ht="14.25" thickBot="1">
      <c r="A265" s="1840" t="s">
        <v>1415</v>
      </c>
      <c r="B265" s="1844" t="s">
        <v>1282</v>
      </c>
      <c r="C265" s="1845">
        <v>0.15</v>
      </c>
      <c r="D265" s="1845">
        <v>0.15</v>
      </c>
      <c r="E265" s="1845">
        <v>0.15</v>
      </c>
      <c r="F265" s="1846">
        <v>7.3999999999999996E-2</v>
      </c>
    </row>
    <row r="266" spans="1:6" ht="14.25" thickBot="1">
      <c r="A266" s="1840" t="s">
        <v>1415</v>
      </c>
      <c r="B266" s="1844" t="s">
        <v>1290</v>
      </c>
      <c r="C266" s="1845">
        <v>0.14699999999999999</v>
      </c>
      <c r="D266" s="1845">
        <v>0.14699999999999999</v>
      </c>
      <c r="E266" s="1845">
        <v>0.15</v>
      </c>
      <c r="F266" s="1846">
        <v>0.14299999999999999</v>
      </c>
    </row>
    <row r="267" spans="1:6" ht="14.25" thickBot="1">
      <c r="A267" s="1840" t="s">
        <v>1415</v>
      </c>
      <c r="B267" s="1844" t="s">
        <v>1297</v>
      </c>
      <c r="C267" s="1845">
        <v>0.14199999999999999</v>
      </c>
      <c r="D267" s="1845">
        <v>0.14299999999999999</v>
      </c>
      <c r="E267" s="1845">
        <v>0.15</v>
      </c>
      <c r="F267" s="1853"/>
    </row>
    <row r="268" spans="1:6" ht="14.25" thickBot="1">
      <c r="A268" s="1840" t="s">
        <v>1415</v>
      </c>
      <c r="B268" s="1844" t="s">
        <v>2182</v>
      </c>
      <c r="C268" s="1845">
        <v>0.15</v>
      </c>
      <c r="D268" s="1845">
        <v>0.15</v>
      </c>
      <c r="E268" s="1845">
        <v>0.15</v>
      </c>
      <c r="F268" s="1846">
        <v>0.13</v>
      </c>
    </row>
    <row r="269" spans="1:6" ht="14.25" thickBot="1">
      <c r="A269" s="1840" t="s">
        <v>1415</v>
      </c>
      <c r="B269" s="1844" t="s">
        <v>1311</v>
      </c>
      <c r="C269" s="1845">
        <v>0.15</v>
      </c>
      <c r="D269" s="1845">
        <v>0.15</v>
      </c>
      <c r="E269" s="1845">
        <v>0.15</v>
      </c>
      <c r="F269" s="1846">
        <v>0.14299999999999999</v>
      </c>
    </row>
    <row r="270" spans="1:6" ht="14.25" thickBot="1">
      <c r="A270" s="1840" t="s">
        <v>1415</v>
      </c>
      <c r="B270" s="1844" t="s">
        <v>1318</v>
      </c>
      <c r="C270" s="1845">
        <v>0.14499999999999999</v>
      </c>
      <c r="D270" s="1845">
        <v>0.14499999999999999</v>
      </c>
      <c r="E270" s="1845">
        <v>0.15</v>
      </c>
      <c r="F270" s="1846">
        <v>0.14699999999999999</v>
      </c>
    </row>
    <row r="271" spans="1:6" ht="14.25" thickBot="1">
      <c r="A271" s="1840" t="s">
        <v>1415</v>
      </c>
      <c r="B271" s="1844" t="s">
        <v>1325</v>
      </c>
      <c r="C271" s="1845">
        <v>0.15</v>
      </c>
      <c r="D271" s="1845">
        <v>0.15</v>
      </c>
      <c r="E271" s="1845">
        <v>0.15</v>
      </c>
      <c r="F271" s="1846">
        <v>0.13800000000000001</v>
      </c>
    </row>
    <row r="272" spans="1:6" ht="14.25" thickBot="1">
      <c r="A272" s="1840" t="s">
        <v>1415</v>
      </c>
      <c r="B272" s="1844" t="s">
        <v>1332</v>
      </c>
      <c r="C272" s="1854"/>
      <c r="D272" s="1854"/>
      <c r="E272" s="1854"/>
      <c r="F272" s="1846">
        <v>0.14000000000000001</v>
      </c>
    </row>
    <row r="273" spans="1:6" ht="14.25" thickBot="1">
      <c r="A273" s="1840" t="s">
        <v>1415</v>
      </c>
      <c r="B273" s="1844" t="s">
        <v>2183</v>
      </c>
      <c r="C273" s="1845">
        <v>0.14199999999999999</v>
      </c>
      <c r="D273" s="1845">
        <v>0.14299999999999999</v>
      </c>
      <c r="E273" s="1845">
        <v>0.15</v>
      </c>
      <c r="F273" s="1846">
        <v>0.1</v>
      </c>
    </row>
    <row r="274" spans="1:6" ht="14.25" thickBot="1">
      <c r="A274" s="1840" t="s">
        <v>1415</v>
      </c>
      <c r="B274" s="1844" t="s">
        <v>2184</v>
      </c>
      <c r="C274" s="1845">
        <v>0.14799999999999999</v>
      </c>
      <c r="D274" s="1845">
        <v>0.14799999999999999</v>
      </c>
      <c r="E274" s="1845">
        <v>0.15</v>
      </c>
      <c r="F274" s="1846">
        <v>6.7000000000000004E-2</v>
      </c>
    </row>
    <row r="275" spans="1:6" ht="14.25" thickBot="1">
      <c r="A275" s="1840" t="s">
        <v>1415</v>
      </c>
      <c r="B275" s="1844" t="s">
        <v>2185</v>
      </c>
      <c r="C275" s="1845">
        <v>0.15</v>
      </c>
      <c r="D275" s="1845">
        <v>0.15</v>
      </c>
      <c r="E275" s="1845">
        <v>0.15</v>
      </c>
      <c r="F275" s="1846">
        <v>0.15</v>
      </c>
    </row>
    <row r="276" spans="1:6" ht="14.25" thickBot="1">
      <c r="A276" s="1840" t="s">
        <v>1415</v>
      </c>
      <c r="B276" s="1844" t="s">
        <v>2186</v>
      </c>
      <c r="C276" s="1845">
        <v>0.14499999999999999</v>
      </c>
      <c r="D276" s="1845">
        <v>0.14299999999999999</v>
      </c>
      <c r="E276" s="1845">
        <v>0.15</v>
      </c>
      <c r="F276" s="1846">
        <v>5.8999999999999997E-2</v>
      </c>
    </row>
    <row r="277" spans="1:6" ht="14.25" thickBot="1">
      <c r="A277" s="1840" t="s">
        <v>1415</v>
      </c>
      <c r="B277" s="1844" t="s">
        <v>2187</v>
      </c>
      <c r="C277" s="1845">
        <v>0.15</v>
      </c>
      <c r="D277" s="1845">
        <v>0.15</v>
      </c>
      <c r="E277" s="1845">
        <v>0.15</v>
      </c>
      <c r="F277" s="1846">
        <v>0.121</v>
      </c>
    </row>
    <row r="278" spans="1:6" ht="14.25" thickBot="1">
      <c r="A278" s="1840" t="s">
        <v>1415</v>
      </c>
      <c r="B278" s="1844" t="s">
        <v>2188</v>
      </c>
      <c r="C278" s="1845">
        <v>0.15</v>
      </c>
      <c r="D278" s="1845">
        <v>0.15</v>
      </c>
      <c r="E278" s="1845">
        <v>0.15</v>
      </c>
      <c r="F278" s="1846">
        <v>0.13800000000000001</v>
      </c>
    </row>
    <row r="279" spans="1:6" ht="24.75" thickBot="1">
      <c r="A279" s="1840" t="s">
        <v>1415</v>
      </c>
      <c r="B279" s="1844" t="s">
        <v>2189</v>
      </c>
      <c r="C279" s="1854"/>
      <c r="D279" s="1854"/>
      <c r="E279" s="1854"/>
      <c r="F279" s="1846">
        <v>0.05</v>
      </c>
    </row>
    <row r="280" spans="1:6" ht="24.75" thickBot="1">
      <c r="A280" s="1840" t="s">
        <v>1415</v>
      </c>
      <c r="B280" s="1844" t="s">
        <v>2190</v>
      </c>
      <c r="C280" s="1854"/>
      <c r="D280" s="1854"/>
      <c r="E280" s="1854"/>
      <c r="F280" s="1846">
        <v>0.05</v>
      </c>
    </row>
    <row r="281" spans="1:6" ht="24.75" thickBot="1">
      <c r="A281" s="1840" t="s">
        <v>1415</v>
      </c>
      <c r="B281" s="1844" t="s">
        <v>2191</v>
      </c>
      <c r="C281" s="1854"/>
      <c r="D281" s="1854"/>
      <c r="E281" s="1854"/>
      <c r="F281" s="1846">
        <v>0.05</v>
      </c>
    </row>
    <row r="282" spans="1:6" ht="24.75" thickBot="1">
      <c r="A282" s="1840" t="s">
        <v>1415</v>
      </c>
      <c r="B282" s="1844" t="s">
        <v>2192</v>
      </c>
      <c r="C282" s="1854"/>
      <c r="D282" s="1854"/>
      <c r="E282" s="1854"/>
      <c r="F282" s="1846">
        <v>0.05</v>
      </c>
    </row>
    <row r="283" spans="1:6" ht="24.75" thickBot="1">
      <c r="A283" s="1840" t="s">
        <v>1415</v>
      </c>
      <c r="B283" s="1844" t="s">
        <v>2193</v>
      </c>
      <c r="C283" s="1854"/>
      <c r="D283" s="1854"/>
      <c r="E283" s="1854"/>
      <c r="F283" s="1846">
        <v>0.05</v>
      </c>
    </row>
    <row r="284" spans="1:6" ht="24.75" thickBot="1">
      <c r="A284" s="1840" t="s">
        <v>1415</v>
      </c>
      <c r="B284" s="1844" t="s">
        <v>2194</v>
      </c>
      <c r="C284" s="1854"/>
      <c r="D284" s="1854"/>
      <c r="E284" s="1854"/>
      <c r="F284" s="1846">
        <v>0.05</v>
      </c>
    </row>
    <row r="285" spans="1:6" ht="24.75" thickBot="1">
      <c r="A285" s="1840" t="s">
        <v>1415</v>
      </c>
      <c r="B285" s="1844" t="s">
        <v>2195</v>
      </c>
      <c r="C285" s="1854"/>
      <c r="D285" s="1854"/>
      <c r="E285" s="1854"/>
      <c r="F285" s="1846">
        <v>0.05</v>
      </c>
    </row>
    <row r="286" spans="1:6" ht="24.75" thickBot="1">
      <c r="A286" s="1840" t="s">
        <v>1415</v>
      </c>
      <c r="B286" s="1844" t="s">
        <v>2196</v>
      </c>
      <c r="C286" s="1854"/>
      <c r="D286" s="1854"/>
      <c r="E286" s="1854"/>
      <c r="F286" s="1846">
        <v>0.05</v>
      </c>
    </row>
    <row r="287" spans="1:6" ht="24.75" thickBot="1">
      <c r="A287" s="1840" t="s">
        <v>1415</v>
      </c>
      <c r="B287" s="1844" t="s">
        <v>2197</v>
      </c>
      <c r="C287" s="1854"/>
      <c r="D287" s="1854"/>
      <c r="E287" s="1854"/>
      <c r="F287" s="1846">
        <v>0.05</v>
      </c>
    </row>
    <row r="288" spans="1:6" ht="24.75" thickBot="1">
      <c r="A288" s="1840" t="s">
        <v>1415</v>
      </c>
      <c r="B288" s="1844" t="s">
        <v>2198</v>
      </c>
      <c r="C288" s="1854"/>
      <c r="D288" s="1854"/>
      <c r="E288" s="1854"/>
      <c r="F288" s="1846">
        <v>0.05</v>
      </c>
    </row>
    <row r="289" spans="1:6" ht="24.75" thickBot="1">
      <c r="A289" s="1848" t="s">
        <v>1415</v>
      </c>
      <c r="B289" s="1855" t="s">
        <v>2199</v>
      </c>
      <c r="C289" s="1851"/>
      <c r="D289" s="1851"/>
      <c r="E289" s="1851"/>
      <c r="F289" s="1856">
        <v>0.05</v>
      </c>
    </row>
    <row r="290" spans="1:6" ht="14.25" thickBot="1">
      <c r="A290" s="1840" t="s">
        <v>1419</v>
      </c>
      <c r="B290" s="1841" t="s">
        <v>2200</v>
      </c>
      <c r="C290" s="1842">
        <v>0.15</v>
      </c>
      <c r="D290" s="1842">
        <v>0.15</v>
      </c>
      <c r="E290" s="1842">
        <v>0.15</v>
      </c>
      <c r="F290" s="1864"/>
    </row>
    <row r="291" spans="1:6" ht="14.25" thickBot="1">
      <c r="A291" s="1840" t="s">
        <v>1419</v>
      </c>
      <c r="B291" s="1844" t="s">
        <v>1079</v>
      </c>
      <c r="C291" s="1845">
        <v>0.15</v>
      </c>
      <c r="D291" s="1845">
        <v>0.15</v>
      </c>
      <c r="E291" s="1845">
        <v>0.15</v>
      </c>
      <c r="F291" s="1853"/>
    </row>
    <row r="292" spans="1:6" ht="14.25" thickBot="1">
      <c r="A292" s="1840" t="s">
        <v>1419</v>
      </c>
      <c r="B292" s="1844" t="s">
        <v>2201</v>
      </c>
      <c r="C292" s="1845">
        <v>0.15</v>
      </c>
      <c r="D292" s="1845">
        <v>0.15</v>
      </c>
      <c r="E292" s="1845">
        <v>0.15</v>
      </c>
      <c r="F292" s="1846">
        <v>0.14699999999999999</v>
      </c>
    </row>
    <row r="293" spans="1:6" ht="14.25" thickBot="1">
      <c r="A293" s="1840" t="s">
        <v>1419</v>
      </c>
      <c r="B293" s="1844" t="s">
        <v>2202</v>
      </c>
      <c r="C293" s="1854"/>
      <c r="D293" s="1854"/>
      <c r="E293" s="1854"/>
      <c r="F293" s="1846">
        <v>0.1</v>
      </c>
    </row>
    <row r="294" spans="1:6" ht="14.25" thickBot="1">
      <c r="A294" s="1840" t="s">
        <v>1419</v>
      </c>
      <c r="B294" s="1844" t="s">
        <v>2203</v>
      </c>
      <c r="C294" s="1845">
        <v>0.15</v>
      </c>
      <c r="D294" s="1845">
        <v>0.15</v>
      </c>
      <c r="E294" s="1845">
        <v>0.15</v>
      </c>
      <c r="F294" s="1846">
        <v>0.15</v>
      </c>
    </row>
    <row r="295" spans="1:6" ht="14.25" thickBot="1">
      <c r="A295" s="1840" t="s">
        <v>1419</v>
      </c>
      <c r="B295" s="1844" t="s">
        <v>1120</v>
      </c>
      <c r="C295" s="1845">
        <v>0.15</v>
      </c>
      <c r="D295" s="1845">
        <v>0.15</v>
      </c>
      <c r="E295" s="1845">
        <v>0.15</v>
      </c>
      <c r="F295" s="1846">
        <v>0.15</v>
      </c>
    </row>
    <row r="296" spans="1:6" ht="14.25" thickBot="1">
      <c r="A296" s="1840" t="s">
        <v>1419</v>
      </c>
      <c r="B296" s="1844" t="s">
        <v>2204</v>
      </c>
      <c r="C296" s="1845">
        <v>0.15</v>
      </c>
      <c r="D296" s="1845">
        <v>0.15</v>
      </c>
      <c r="E296" s="1845">
        <v>0.15</v>
      </c>
      <c r="F296" s="1846">
        <v>0.15</v>
      </c>
    </row>
    <row r="297" spans="1:6" ht="14.25" thickBot="1">
      <c r="A297" s="1840" t="s">
        <v>1419</v>
      </c>
      <c r="B297" s="1844" t="s">
        <v>2205</v>
      </c>
      <c r="C297" s="1845">
        <v>0.14799999999999999</v>
      </c>
      <c r="D297" s="1845">
        <v>0.14899999999999999</v>
      </c>
      <c r="E297" s="1845">
        <v>0.15</v>
      </c>
      <c r="F297" s="1846">
        <v>0.13700000000000001</v>
      </c>
    </row>
    <row r="298" spans="1:6" ht="14.25" thickBot="1">
      <c r="A298" s="1840" t="s">
        <v>1419</v>
      </c>
      <c r="B298" s="1844" t="s">
        <v>1153</v>
      </c>
      <c r="C298" s="1845">
        <v>0.13400000000000001</v>
      </c>
      <c r="D298" s="1845">
        <v>0.13400000000000001</v>
      </c>
      <c r="E298" s="1845">
        <v>0.14499999999999999</v>
      </c>
      <c r="F298" s="1846">
        <v>0.14799999999999999</v>
      </c>
    </row>
    <row r="299" spans="1:6" ht="14.25" thickBot="1">
      <c r="A299" s="1840" t="s">
        <v>1419</v>
      </c>
      <c r="B299" s="1844" t="s">
        <v>1165</v>
      </c>
      <c r="C299" s="1845">
        <v>0.15</v>
      </c>
      <c r="D299" s="1845">
        <v>0.15</v>
      </c>
      <c r="E299" s="1845">
        <v>0.15</v>
      </c>
      <c r="F299" s="1853"/>
    </row>
    <row r="300" spans="1:6" ht="14.25" thickBot="1">
      <c r="A300" s="1840" t="s">
        <v>1419</v>
      </c>
      <c r="B300" s="1844" t="s">
        <v>2206</v>
      </c>
      <c r="C300" s="1845">
        <v>0.15</v>
      </c>
      <c r="D300" s="1845">
        <v>0.15</v>
      </c>
      <c r="E300" s="1845">
        <v>0.15</v>
      </c>
      <c r="F300" s="1846">
        <v>0.15</v>
      </c>
    </row>
    <row r="301" spans="1:6" ht="14.25" thickBot="1">
      <c r="A301" s="1840" t="s">
        <v>1419</v>
      </c>
      <c r="B301" s="1844" t="s">
        <v>1185</v>
      </c>
      <c r="C301" s="1845">
        <v>0.15</v>
      </c>
      <c r="D301" s="1845">
        <v>0.15</v>
      </c>
      <c r="E301" s="1845">
        <v>0.15</v>
      </c>
      <c r="F301" s="1853"/>
    </row>
    <row r="302" spans="1:6" ht="14.25" thickBot="1">
      <c r="A302" s="1840" t="s">
        <v>1419</v>
      </c>
      <c r="B302" s="1844" t="s">
        <v>2207</v>
      </c>
      <c r="C302" s="1845">
        <v>0.15</v>
      </c>
      <c r="D302" s="1845">
        <v>0.15</v>
      </c>
      <c r="E302" s="1845">
        <v>0.15</v>
      </c>
      <c r="F302" s="1846">
        <v>0.15</v>
      </c>
    </row>
    <row r="303" spans="1:6" ht="14.25" thickBot="1">
      <c r="A303" s="1840" t="s">
        <v>1419</v>
      </c>
      <c r="B303" s="1844" t="s">
        <v>1205</v>
      </c>
      <c r="C303" s="1845">
        <v>0.15</v>
      </c>
      <c r="D303" s="1845">
        <v>0.15</v>
      </c>
      <c r="E303" s="1845">
        <v>0.15</v>
      </c>
      <c r="F303" s="1846">
        <v>0.15</v>
      </c>
    </row>
    <row r="304" spans="1:6" ht="14.25" thickBot="1">
      <c r="A304" s="1840" t="s">
        <v>1419</v>
      </c>
      <c r="B304" s="1844" t="s">
        <v>1215</v>
      </c>
      <c r="C304" s="1845">
        <v>0.15</v>
      </c>
      <c r="D304" s="1845">
        <v>0.15</v>
      </c>
      <c r="E304" s="1845">
        <v>0.15</v>
      </c>
      <c r="F304" s="1853"/>
    </row>
    <row r="305" spans="1:6" ht="14.25" thickBot="1">
      <c r="A305" s="1840" t="s">
        <v>1419</v>
      </c>
      <c r="B305" s="1844" t="s">
        <v>2208</v>
      </c>
      <c r="C305" s="1845">
        <v>0.15</v>
      </c>
      <c r="D305" s="1845">
        <v>0.15</v>
      </c>
      <c r="E305" s="1845">
        <v>0.15</v>
      </c>
      <c r="F305" s="1846">
        <v>0.14000000000000001</v>
      </c>
    </row>
    <row r="306" spans="1:6" ht="14.25" thickBot="1">
      <c r="A306" s="1840" t="s">
        <v>1419</v>
      </c>
      <c r="B306" s="1844" t="s">
        <v>1235</v>
      </c>
      <c r="C306" s="1845">
        <v>0.15</v>
      </c>
      <c r="D306" s="1845">
        <v>0.15</v>
      </c>
      <c r="E306" s="1845">
        <v>0.15</v>
      </c>
      <c r="F306" s="1853"/>
    </row>
    <row r="307" spans="1:6" ht="14.25" thickBot="1">
      <c r="A307" s="1840" t="s">
        <v>1419</v>
      </c>
      <c r="B307" s="1844" t="s">
        <v>2209</v>
      </c>
      <c r="C307" s="1845">
        <v>0.15</v>
      </c>
      <c r="D307" s="1845">
        <v>0.15</v>
      </c>
      <c r="E307" s="1845">
        <v>0.15</v>
      </c>
      <c r="F307" s="1846">
        <v>0.14299999999999999</v>
      </c>
    </row>
    <row r="308" spans="1:6" ht="14.25" thickBot="1">
      <c r="A308" s="1840" t="s">
        <v>1419</v>
      </c>
      <c r="B308" s="1844" t="s">
        <v>1255</v>
      </c>
      <c r="C308" s="1845">
        <v>0.15</v>
      </c>
      <c r="D308" s="1845">
        <v>0.15</v>
      </c>
      <c r="E308" s="1845">
        <v>0.15</v>
      </c>
      <c r="F308" s="1846">
        <v>0.15</v>
      </c>
    </row>
    <row r="309" spans="1:6" ht="14.25" thickBot="1">
      <c r="A309" s="1840" t="s">
        <v>1419</v>
      </c>
      <c r="B309" s="1844" t="s">
        <v>1265</v>
      </c>
      <c r="C309" s="1845">
        <v>0.15</v>
      </c>
      <c r="D309" s="1845">
        <v>0.15</v>
      </c>
      <c r="E309" s="1845">
        <v>0.15</v>
      </c>
      <c r="F309" s="1853"/>
    </row>
    <row r="310" spans="1:6" ht="14.25" thickBot="1">
      <c r="A310" s="1840" t="s">
        <v>1419</v>
      </c>
      <c r="B310" s="1844" t="s">
        <v>2210</v>
      </c>
      <c r="C310" s="1845">
        <v>0.15</v>
      </c>
      <c r="D310" s="1845">
        <v>0.15</v>
      </c>
      <c r="E310" s="1845">
        <v>0.15</v>
      </c>
      <c r="F310" s="1846">
        <v>0.13700000000000001</v>
      </c>
    </row>
    <row r="311" spans="1:6" ht="14.25" thickBot="1">
      <c r="A311" s="1840" t="s">
        <v>1419</v>
      </c>
      <c r="B311" s="1844" t="s">
        <v>2211</v>
      </c>
      <c r="C311" s="1845">
        <v>0.15</v>
      </c>
      <c r="D311" s="1845">
        <v>0.15</v>
      </c>
      <c r="E311" s="1845">
        <v>0.15</v>
      </c>
      <c r="F311" s="1846">
        <v>0.15</v>
      </c>
    </row>
    <row r="312" spans="1:6" ht="14.25" thickBot="1">
      <c r="A312" s="1840" t="s">
        <v>1419</v>
      </c>
      <c r="B312" s="1844" t="s">
        <v>1291</v>
      </c>
      <c r="C312" s="1845">
        <v>0.15</v>
      </c>
      <c r="D312" s="1845">
        <v>0.15</v>
      </c>
      <c r="E312" s="1845">
        <v>0.15</v>
      </c>
      <c r="F312" s="1846">
        <v>0.1</v>
      </c>
    </row>
    <row r="313" spans="1:6" ht="14.25" thickBot="1">
      <c r="A313" s="1840" t="s">
        <v>1419</v>
      </c>
      <c r="B313" s="1844" t="s">
        <v>2212</v>
      </c>
      <c r="C313" s="1845">
        <v>0.15</v>
      </c>
      <c r="D313" s="1845">
        <v>0.15</v>
      </c>
      <c r="E313" s="1845">
        <v>0.15</v>
      </c>
      <c r="F313" s="1846">
        <v>0.15</v>
      </c>
    </row>
    <row r="314" spans="1:6" ht="24.75" thickBot="1">
      <c r="A314" s="1840" t="s">
        <v>1419</v>
      </c>
      <c r="B314" s="1844" t="s">
        <v>2213</v>
      </c>
      <c r="C314" s="1854"/>
      <c r="D314" s="1854"/>
      <c r="E314" s="1854"/>
      <c r="F314" s="1846">
        <v>0.05</v>
      </c>
    </row>
    <row r="315" spans="1:6" ht="24.75" thickBot="1">
      <c r="A315" s="1840" t="s">
        <v>1419</v>
      </c>
      <c r="B315" s="1844" t="s">
        <v>2214</v>
      </c>
      <c r="C315" s="1854"/>
      <c r="D315" s="1854"/>
      <c r="E315" s="1854"/>
      <c r="F315" s="1846">
        <v>0.05</v>
      </c>
    </row>
    <row r="316" spans="1:6" ht="24.75" thickBot="1">
      <c r="A316" s="1848" t="s">
        <v>1419</v>
      </c>
      <c r="B316" s="1855" t="s">
        <v>2215</v>
      </c>
      <c r="C316" s="1851"/>
      <c r="D316" s="1851"/>
      <c r="E316" s="1851"/>
      <c r="F316" s="1856">
        <v>0.05</v>
      </c>
    </row>
    <row r="317" spans="1:6" ht="14.25" thickBot="1">
      <c r="A317" s="1840" t="s">
        <v>2216</v>
      </c>
      <c r="B317" s="1841" t="s">
        <v>2217</v>
      </c>
      <c r="C317" s="1842">
        <v>0.15</v>
      </c>
      <c r="D317" s="1842">
        <v>0.15</v>
      </c>
      <c r="E317" s="1842">
        <v>0.15</v>
      </c>
      <c r="F317" s="1843">
        <v>0.15</v>
      </c>
    </row>
    <row r="318" spans="1:6" ht="14.25" thickBot="1">
      <c r="A318" s="1840" t="s">
        <v>2216</v>
      </c>
      <c r="B318" s="1844" t="s">
        <v>2218</v>
      </c>
      <c r="C318" s="1845">
        <v>0.107</v>
      </c>
      <c r="D318" s="1845">
        <v>0.11</v>
      </c>
      <c r="E318" s="1845">
        <v>0.112</v>
      </c>
      <c r="F318" s="1853"/>
    </row>
    <row r="319" spans="1:6" ht="14.25" thickBot="1">
      <c r="A319" s="1840" t="s">
        <v>2216</v>
      </c>
      <c r="B319" s="1844" t="s">
        <v>2219</v>
      </c>
      <c r="C319" s="1845">
        <v>0.15</v>
      </c>
      <c r="D319" s="1845">
        <v>0.15</v>
      </c>
      <c r="E319" s="1845">
        <v>0.15</v>
      </c>
      <c r="F319" s="1846">
        <v>0.15</v>
      </c>
    </row>
    <row r="320" spans="1:6" ht="14.25" thickBot="1">
      <c r="A320" s="1840" t="s">
        <v>2216</v>
      </c>
      <c r="B320" s="1844" t="s">
        <v>1107</v>
      </c>
      <c r="C320" s="1845">
        <v>0.15</v>
      </c>
      <c r="D320" s="1845">
        <v>0.15</v>
      </c>
      <c r="E320" s="1845">
        <v>0.15</v>
      </c>
      <c r="F320" s="1853"/>
    </row>
    <row r="321" spans="1:6" ht="14.25" thickBot="1">
      <c r="A321" s="1840" t="s">
        <v>2216</v>
      </c>
      <c r="B321" s="1844" t="s">
        <v>2220</v>
      </c>
      <c r="C321" s="1845">
        <v>0.15</v>
      </c>
      <c r="D321" s="1845">
        <v>0.15</v>
      </c>
      <c r="E321" s="1845">
        <v>0.15</v>
      </c>
      <c r="F321" s="1853"/>
    </row>
    <row r="322" spans="1:6" ht="14.25" thickBot="1">
      <c r="A322" s="1840" t="s">
        <v>2216</v>
      </c>
      <c r="B322" s="1844" t="s">
        <v>2221</v>
      </c>
      <c r="C322" s="1845">
        <v>0.15</v>
      </c>
      <c r="D322" s="1845">
        <v>0.15</v>
      </c>
      <c r="E322" s="1845">
        <v>0.15</v>
      </c>
      <c r="F322" s="1846">
        <v>0.15</v>
      </c>
    </row>
    <row r="323" spans="1:6" ht="14.25" thickBot="1">
      <c r="A323" s="1840" t="s">
        <v>2216</v>
      </c>
      <c r="B323" s="1844" t="s">
        <v>2222</v>
      </c>
      <c r="C323" s="1845">
        <v>0.15</v>
      </c>
      <c r="D323" s="1845">
        <v>0.15</v>
      </c>
      <c r="E323" s="1845">
        <v>0.15</v>
      </c>
      <c r="F323" s="1853"/>
    </row>
    <row r="324" spans="1:6" ht="14.25" thickBot="1">
      <c r="A324" s="1840" t="s">
        <v>2216</v>
      </c>
      <c r="B324" s="1844" t="s">
        <v>2223</v>
      </c>
      <c r="C324" s="1845">
        <v>0.15</v>
      </c>
      <c r="D324" s="1845">
        <v>0.15</v>
      </c>
      <c r="E324" s="1845">
        <v>0.15</v>
      </c>
      <c r="F324" s="1853"/>
    </row>
    <row r="325" spans="1:6" ht="14.25" thickBot="1">
      <c r="A325" s="1840" t="s">
        <v>2216</v>
      </c>
      <c r="B325" s="1844" t="s">
        <v>2224</v>
      </c>
      <c r="C325" s="1845">
        <v>0.15</v>
      </c>
      <c r="D325" s="1845">
        <v>0.15</v>
      </c>
      <c r="E325" s="1845">
        <v>0.15</v>
      </c>
      <c r="F325" s="1846">
        <v>0.14699999999999999</v>
      </c>
    </row>
    <row r="326" spans="1:6" ht="14.25" thickBot="1">
      <c r="A326" s="1840" t="s">
        <v>2216</v>
      </c>
      <c r="B326" s="1844" t="s">
        <v>1176</v>
      </c>
      <c r="C326" s="1845">
        <v>0.15</v>
      </c>
      <c r="D326" s="1845">
        <v>0.15</v>
      </c>
      <c r="E326" s="1845">
        <v>0.15</v>
      </c>
      <c r="F326" s="1853"/>
    </row>
    <row r="327" spans="1:6" ht="14.25" thickBot="1">
      <c r="A327" s="1840" t="s">
        <v>2216</v>
      </c>
      <c r="B327" s="1844" t="s">
        <v>2225</v>
      </c>
      <c r="C327" s="1845">
        <v>0.15</v>
      </c>
      <c r="D327" s="1845">
        <v>0.15</v>
      </c>
      <c r="E327" s="1845">
        <v>0.15</v>
      </c>
      <c r="F327" s="1846">
        <v>0.15</v>
      </c>
    </row>
    <row r="328" spans="1:6" ht="14.25" thickBot="1">
      <c r="A328" s="1840" t="s">
        <v>2216</v>
      </c>
      <c r="B328" s="1844" t="s">
        <v>1196</v>
      </c>
      <c r="C328" s="1845">
        <v>0.15</v>
      </c>
      <c r="D328" s="1845">
        <v>0.15</v>
      </c>
      <c r="E328" s="1845">
        <v>0.15</v>
      </c>
      <c r="F328" s="1846">
        <v>0.14099999999999999</v>
      </c>
    </row>
    <row r="329" spans="1:6" ht="14.25" thickBot="1">
      <c r="A329" s="1840" t="s">
        <v>2216</v>
      </c>
      <c r="B329" s="1844" t="s">
        <v>1206</v>
      </c>
      <c r="C329" s="1845">
        <v>0.15</v>
      </c>
      <c r="D329" s="1845">
        <v>0.15</v>
      </c>
      <c r="E329" s="1845">
        <v>0.15</v>
      </c>
      <c r="F329" s="1846">
        <v>0.15</v>
      </c>
    </row>
    <row r="330" spans="1:6" ht="14.25" thickBot="1">
      <c r="A330" s="1840" t="s">
        <v>2216</v>
      </c>
      <c r="B330" s="1844" t="s">
        <v>1216</v>
      </c>
      <c r="C330" s="1845">
        <v>0.15</v>
      </c>
      <c r="D330" s="1845">
        <v>0.15</v>
      </c>
      <c r="E330" s="1845">
        <v>0.15</v>
      </c>
      <c r="F330" s="1853"/>
    </row>
    <row r="331" spans="1:6" ht="14.25" thickBot="1">
      <c r="A331" s="1840" t="s">
        <v>2216</v>
      </c>
      <c r="B331" s="1844" t="s">
        <v>2226</v>
      </c>
      <c r="C331" s="1845">
        <v>0.15</v>
      </c>
      <c r="D331" s="1845">
        <v>0.15</v>
      </c>
      <c r="E331" s="1845">
        <v>0.15</v>
      </c>
      <c r="F331" s="1846">
        <v>0.15</v>
      </c>
    </row>
    <row r="332" spans="1:6" ht="14.25" thickBot="1">
      <c r="A332" s="1840" t="s">
        <v>2216</v>
      </c>
      <c r="B332" s="1844" t="s">
        <v>1236</v>
      </c>
      <c r="C332" s="1845">
        <v>0.15</v>
      </c>
      <c r="D332" s="1845">
        <v>0.15</v>
      </c>
      <c r="E332" s="1845">
        <v>0.15</v>
      </c>
      <c r="F332" s="1846">
        <v>0.15</v>
      </c>
    </row>
    <row r="333" spans="1:6" ht="14.25" thickBot="1">
      <c r="A333" s="1840" t="s">
        <v>2216</v>
      </c>
      <c r="B333" s="1844" t="s">
        <v>2227</v>
      </c>
      <c r="C333" s="1845">
        <v>0.15</v>
      </c>
      <c r="D333" s="1845">
        <v>0.15</v>
      </c>
      <c r="E333" s="1845">
        <v>0.15</v>
      </c>
      <c r="F333" s="1846">
        <v>0.14099999999999999</v>
      </c>
    </row>
    <row r="334" spans="1:6" ht="14.25" thickBot="1">
      <c r="A334" s="1840" t="s">
        <v>2216</v>
      </c>
      <c r="B334" s="1844" t="s">
        <v>1256</v>
      </c>
      <c r="C334" s="1845">
        <v>0.15</v>
      </c>
      <c r="D334" s="1845">
        <v>0.15</v>
      </c>
      <c r="E334" s="1845">
        <v>0.15</v>
      </c>
      <c r="F334" s="1846">
        <v>0.15</v>
      </c>
    </row>
    <row r="335" spans="1:6" ht="14.25" thickBot="1">
      <c r="A335" s="1840" t="s">
        <v>2216</v>
      </c>
      <c r="B335" s="1844" t="s">
        <v>1266</v>
      </c>
      <c r="C335" s="1845">
        <v>0.15</v>
      </c>
      <c r="D335" s="1845">
        <v>0.15</v>
      </c>
      <c r="E335" s="1845">
        <v>0.15</v>
      </c>
      <c r="F335" s="1853"/>
    </row>
    <row r="336" spans="1:6" ht="14.25" thickBot="1">
      <c r="A336" s="1840" t="s">
        <v>2216</v>
      </c>
      <c r="B336" s="1844" t="s">
        <v>2228</v>
      </c>
      <c r="C336" s="1845">
        <v>0.15</v>
      </c>
      <c r="D336" s="1845">
        <v>0.15</v>
      </c>
      <c r="E336" s="1845">
        <v>0.15</v>
      </c>
      <c r="F336" s="1846">
        <v>0.11799999999999999</v>
      </c>
    </row>
    <row r="337" spans="1:6" ht="14.25" thickBot="1">
      <c r="A337" s="1848" t="s">
        <v>2216</v>
      </c>
      <c r="B337" s="1855" t="s">
        <v>1284</v>
      </c>
      <c r="C337" s="1851"/>
      <c r="D337" s="1851"/>
      <c r="E337" s="1851"/>
      <c r="F337" s="1856">
        <v>0.14299999999999999</v>
      </c>
    </row>
    <row r="338" spans="1:6" ht="14.25" thickBot="1">
      <c r="A338" s="1840" t="s">
        <v>2229</v>
      </c>
      <c r="B338" s="1841" t="s">
        <v>2230</v>
      </c>
      <c r="C338" s="1842">
        <v>0.15</v>
      </c>
      <c r="D338" s="1842">
        <v>0.15</v>
      </c>
      <c r="E338" s="1842">
        <v>0.15</v>
      </c>
      <c r="F338" s="1864"/>
    </row>
    <row r="339" spans="1:6" ht="14.25" thickBot="1">
      <c r="A339" s="1840" t="s">
        <v>2229</v>
      </c>
      <c r="B339" s="1844" t="s">
        <v>2231</v>
      </c>
      <c r="C339" s="1845">
        <v>0.15</v>
      </c>
      <c r="D339" s="1845">
        <v>0.15</v>
      </c>
      <c r="E339" s="1845">
        <v>0.15</v>
      </c>
      <c r="F339" s="1853"/>
    </row>
    <row r="340" spans="1:6" ht="14.25" thickBot="1">
      <c r="A340" s="1840" t="s">
        <v>2229</v>
      </c>
      <c r="B340" s="1844" t="s">
        <v>2232</v>
      </c>
      <c r="C340" s="1845">
        <v>0.15</v>
      </c>
      <c r="D340" s="1845">
        <v>0.15</v>
      </c>
      <c r="E340" s="1845">
        <v>0.15</v>
      </c>
      <c r="F340" s="1853"/>
    </row>
    <row r="341" spans="1:6" ht="14.25" thickBot="1">
      <c r="A341" s="1840" t="s">
        <v>2233</v>
      </c>
      <c r="B341" s="1844" t="s">
        <v>2234</v>
      </c>
      <c r="C341" s="1845">
        <v>0.15</v>
      </c>
      <c r="D341" s="1845">
        <v>0.15</v>
      </c>
      <c r="E341" s="1845">
        <v>0.15</v>
      </c>
      <c r="F341" s="1846">
        <v>0.15</v>
      </c>
    </row>
    <row r="342" spans="1:6" ht="14.25" thickBot="1">
      <c r="A342" s="1840" t="s">
        <v>2229</v>
      </c>
      <c r="B342" s="1844" t="s">
        <v>2235</v>
      </c>
      <c r="C342" s="1845">
        <v>0.15</v>
      </c>
      <c r="D342" s="1845">
        <v>0.15</v>
      </c>
      <c r="E342" s="1845">
        <v>0.15</v>
      </c>
      <c r="F342" s="1846">
        <v>0.15</v>
      </c>
    </row>
    <row r="343" spans="1:6" ht="14.25" thickBot="1">
      <c r="A343" s="1840" t="s">
        <v>2229</v>
      </c>
      <c r="B343" s="1844" t="s">
        <v>2236</v>
      </c>
      <c r="C343" s="1845">
        <v>0.15</v>
      </c>
      <c r="D343" s="1845">
        <v>0.15</v>
      </c>
      <c r="E343" s="1845">
        <v>0.15</v>
      </c>
      <c r="F343" s="1846">
        <v>0.15</v>
      </c>
    </row>
    <row r="344" spans="1:6" ht="14.25" thickBot="1">
      <c r="A344" s="1848" t="s">
        <v>2229</v>
      </c>
      <c r="B344" s="1855" t="s">
        <v>2237</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C126" sqref="C126:F131"/>
    </sheetView>
  </sheetViews>
  <sheetFormatPr defaultColWidth="9" defaultRowHeight="12.75"/>
  <cols>
    <col min="1" max="1" width="9" style="2626"/>
    <col min="2" max="6" width="9" style="2626" customWidth="1"/>
    <col min="7" max="7" width="9" style="2642" customWidth="1"/>
    <col min="8" max="12" width="9" style="2626" customWidth="1"/>
    <col min="13" max="13" width="2.25" style="2626" customWidth="1"/>
    <col min="14" max="14" width="9" style="2642" customWidth="1"/>
    <col min="15" max="17" width="9" style="2626" customWidth="1"/>
    <col min="18" max="18" width="2.375" style="2626" customWidth="1"/>
    <col min="19" max="19" width="7.125" style="2642" customWidth="1"/>
    <col min="20" max="22" width="7.125" style="2626" customWidth="1"/>
    <col min="23" max="23" width="24" style="2626" customWidth="1"/>
    <col min="24" max="25" width="9" style="2626"/>
    <col min="26" max="27" width="11.625" style="2626" customWidth="1"/>
    <col min="28" max="28" width="9" style="2626"/>
    <col min="29" max="29" width="2" style="2626" customWidth="1"/>
    <col min="30" max="16384" width="9" style="2626"/>
  </cols>
  <sheetData>
    <row r="1" spans="1:34" s="2617" customFormat="1">
      <c r="B1" s="3508" t="s">
        <v>2573</v>
      </c>
      <c r="C1" s="3508"/>
      <c r="D1" s="3508"/>
      <c r="E1" s="3508"/>
      <c r="F1" s="3508"/>
      <c r="G1" s="3507" t="s">
        <v>2574</v>
      </c>
      <c r="H1" s="3507"/>
      <c r="I1" s="3507"/>
      <c r="J1" s="3507"/>
      <c r="K1" s="3507"/>
      <c r="L1" s="3507"/>
      <c r="N1" s="3507" t="s">
        <v>2575</v>
      </c>
      <c r="O1" s="3507"/>
      <c r="P1" s="3507"/>
      <c r="Q1" s="3507"/>
      <c r="R1" s="2618"/>
      <c r="S1" s="3507" t="s">
        <v>2576</v>
      </c>
      <c r="T1" s="3507"/>
      <c r="U1" s="3507"/>
      <c r="V1" s="3507"/>
      <c r="X1" s="3506" t="s">
        <v>2636</v>
      </c>
      <c r="Y1" s="3507"/>
      <c r="Z1" s="3507"/>
      <c r="AA1" s="3507"/>
      <c r="AB1" s="3507"/>
      <c r="AD1" s="3506" t="s">
        <v>2640</v>
      </c>
      <c r="AE1" s="3507"/>
      <c r="AF1" s="3507"/>
      <c r="AG1" s="3507"/>
      <c r="AH1" s="3507"/>
    </row>
    <row r="2" spans="1:34" s="2719" customFormat="1" ht="14.25" thickBot="1">
      <c r="B2" s="2727" t="s">
        <v>2577</v>
      </c>
      <c r="C2" s="2727" t="s">
        <v>2638</v>
      </c>
      <c r="D2" s="2720" t="s">
        <v>1644</v>
      </c>
      <c r="E2" s="2720" t="s">
        <v>1949</v>
      </c>
      <c r="F2" s="2727" t="s">
        <v>2639</v>
      </c>
      <c r="G2" s="2723"/>
      <c r="H2" s="2722"/>
      <c r="I2" s="2727" t="s">
        <v>2948</v>
      </c>
      <c r="J2" s="2720" t="s">
        <v>2950</v>
      </c>
      <c r="K2" s="2720" t="s">
        <v>2951</v>
      </c>
      <c r="L2" s="2727" t="s">
        <v>2952</v>
      </c>
      <c r="N2" s="2727" t="s">
        <v>2577</v>
      </c>
      <c r="O2" s="2720" t="s">
        <v>2949</v>
      </c>
      <c r="P2" s="2720" t="s">
        <v>1949</v>
      </c>
      <c r="Q2" s="2727" t="s">
        <v>2639</v>
      </c>
      <c r="R2" s="2721"/>
      <c r="S2" s="2727" t="s">
        <v>2577</v>
      </c>
      <c r="T2" s="2720" t="s">
        <v>2949</v>
      </c>
      <c r="U2" s="2720" t="s">
        <v>1949</v>
      </c>
      <c r="V2" s="2727" t="s">
        <v>2639</v>
      </c>
      <c r="X2" s="2727" t="s">
        <v>2577</v>
      </c>
      <c r="Y2" s="2727" t="s">
        <v>2638</v>
      </c>
      <c r="Z2" s="2720" t="s">
        <v>1644</v>
      </c>
      <c r="AA2" s="2720" t="s">
        <v>1949</v>
      </c>
      <c r="AB2" s="2727" t="s">
        <v>2639</v>
      </c>
      <c r="AD2" s="2727" t="s">
        <v>2577</v>
      </c>
      <c r="AE2" s="2727" t="s">
        <v>2638</v>
      </c>
      <c r="AF2" s="2720" t="s">
        <v>1644</v>
      </c>
      <c r="AG2" s="2720" t="s">
        <v>1949</v>
      </c>
      <c r="AH2" s="2727" t="s">
        <v>2639</v>
      </c>
    </row>
    <row r="3" spans="1:34" s="3079" customFormat="1" ht="14.25">
      <c r="A3" s="3091" t="s">
        <v>2961</v>
      </c>
      <c r="B3" s="3080"/>
      <c r="C3" s="3080"/>
      <c r="D3" s="3081"/>
      <c r="E3" s="3081"/>
      <c r="F3" s="3080"/>
      <c r="G3" s="3082"/>
      <c r="H3" s="3083"/>
      <c r="I3" s="3090">
        <f>ROUND(AVERAGE($I4:$I27),2)</f>
        <v>2.04</v>
      </c>
      <c r="J3" s="3090">
        <f>ROUND(AVERAGE($J4:$J27),2)</f>
        <v>1.44</v>
      </c>
      <c r="K3" s="3090">
        <f>ROUND(AVERAGE($K4:$K27),2)</f>
        <v>2.23</v>
      </c>
      <c r="L3" s="3090">
        <f>ROUND(AVERAGE($L4:$L27),2)</f>
        <v>1.4</v>
      </c>
      <c r="N3" s="3082"/>
      <c r="O3" s="3084"/>
      <c r="P3" s="3084"/>
      <c r="Q3" s="3084"/>
      <c r="R3" s="3084"/>
      <c r="S3" s="3082"/>
      <c r="T3" s="3084"/>
      <c r="U3" s="3084"/>
      <c r="V3" s="3084"/>
      <c r="W3" s="3087"/>
      <c r="X3" s="3085">
        <f>ROUND(SUMPRODUCT(PRODUCT(1+N3:N$26)),4)</f>
        <v>1.5422</v>
      </c>
      <c r="Y3" s="3085">
        <f>ROUND(SUMPRODUCT(PRODUCT(1+O3:O$26)),4)</f>
        <v>1.3557999999999999</v>
      </c>
      <c r="Z3" s="3085">
        <f t="shared" ref="Z3:Z24" si="0">Y3</f>
        <v>1.3557999999999999</v>
      </c>
      <c r="AA3" s="3085">
        <f>ROUND(SUMPRODUCT(PRODUCT(1+P3:P$26)),4)</f>
        <v>1.6036999999999999</v>
      </c>
      <c r="AB3" s="3085">
        <f>ROUND(SUMPRODUCT(PRODUCT(1+Q3:Q$26)),4)</f>
        <v>1.3573</v>
      </c>
      <c r="AD3" s="3086">
        <f>ROUND(AVERAGE(I3:I$27)/100,4)</f>
        <v>2.0400000000000001E-2</v>
      </c>
      <c r="AE3" s="3086">
        <f>ROUND(AVERAGE(J3:J$27)/100,4)</f>
        <v>1.44E-2</v>
      </c>
      <c r="AF3" s="3086">
        <f t="shared" ref="AF3:AF25" si="1">AE3</f>
        <v>1.44E-2</v>
      </c>
      <c r="AG3" s="3086">
        <f>ROUND(AVERAGE(K3:K$27)/100,4)</f>
        <v>2.23E-2</v>
      </c>
      <c r="AH3" s="3086">
        <f>ROUND(AVERAGE(L3:L$27)/100,4)</f>
        <v>1.4E-2</v>
      </c>
    </row>
    <row r="4" spans="1:34" s="2712" customFormat="1" ht="14.25">
      <c r="B4" s="2713"/>
      <c r="C4" s="2713"/>
      <c r="D4" s="2714"/>
      <c r="E4" s="2714"/>
      <c r="F4" s="2713"/>
      <c r="G4" s="2718"/>
      <c r="H4" s="2715"/>
      <c r="I4" s="3075"/>
      <c r="J4" s="3075"/>
      <c r="K4" s="3075"/>
      <c r="L4" s="3075"/>
      <c r="N4" s="2718"/>
      <c r="O4" s="2716"/>
      <c r="P4" s="2716"/>
      <c r="Q4" s="2716"/>
      <c r="R4" s="2716"/>
      <c r="S4" s="2718"/>
      <c r="T4" s="2716"/>
      <c r="U4" s="2716"/>
      <c r="V4" s="2716"/>
      <c r="W4" s="3088"/>
      <c r="X4" s="2717"/>
      <c r="Y4" s="2717"/>
      <c r="Z4" s="2717"/>
      <c r="AA4" s="2717"/>
      <c r="AB4" s="2717"/>
      <c r="AD4" s="2637"/>
      <c r="AE4" s="2637"/>
      <c r="AF4" s="2637"/>
      <c r="AG4" s="2637"/>
      <c r="AH4" s="2637"/>
    </row>
    <row r="5" spans="1:34" s="3063" customFormat="1" ht="13.5" thickBot="1">
      <c r="A5" s="3061" t="s">
        <v>2987</v>
      </c>
      <c r="B5" s="2751">
        <f t="shared" ref="B5" si="2">B6*(1+N5)</f>
        <v>474.30670301923408</v>
      </c>
      <c r="C5" s="2751">
        <f t="shared" ref="C5" si="3">C6*(1+O5)</f>
        <v>349.50705005996491</v>
      </c>
      <c r="D5" s="2751">
        <f t="shared" ref="D5" si="4">C5</f>
        <v>349.50705005996491</v>
      </c>
      <c r="E5" s="2751">
        <f t="shared" ref="E5" si="5">E6*(1+P5)</f>
        <v>678.22831959706957</v>
      </c>
      <c r="F5" s="2751">
        <f t="shared" ref="F5" si="6">F6*(1+Q5)</f>
        <v>312.0556832169558</v>
      </c>
      <c r="G5" s="2718">
        <v>2019</v>
      </c>
      <c r="H5" s="3062">
        <v>3</v>
      </c>
      <c r="I5" s="3076">
        <v>0</v>
      </c>
      <c r="J5" s="3076">
        <v>0</v>
      </c>
      <c r="K5" s="3076">
        <v>0</v>
      </c>
      <c r="L5" s="3076">
        <v>0</v>
      </c>
      <c r="N5" s="2725">
        <f t="shared" ref="N5" si="7">I5/100</f>
        <v>0</v>
      </c>
      <c r="O5" s="2725">
        <f t="shared" ref="O5" si="8">J5/100</f>
        <v>0</v>
      </c>
      <c r="P5" s="2725">
        <f t="shared" ref="P5" si="9">K5/100</f>
        <v>0</v>
      </c>
      <c r="Q5" s="2725">
        <f t="shared" ref="Q5" si="10">L5/100</f>
        <v>0</v>
      </c>
      <c r="R5" s="3064"/>
      <c r="S5" s="3065"/>
      <c r="T5" s="3064"/>
      <c r="U5" s="3064"/>
      <c r="V5" s="3064"/>
      <c r="W5" s="3089" t="s">
        <v>2962</v>
      </c>
      <c r="X5" s="3066">
        <f>ROUND(IF(项目基本情况!B8="出让",SUMPRODUCT(PRODUCT(1+N5:N$27)),SUMPRODUCT(PRODUCT(1+N5:N$26))),4)</f>
        <v>1.5422</v>
      </c>
      <c r="Y5" s="3066">
        <f>ROUND(IF(项目基本情况!B8="出让",SUMPRODUCT(PRODUCT(1+O5:O$27)),SUMPRODUCT(PRODUCT(1+O5:O$26))),4)</f>
        <v>1.3557999999999999</v>
      </c>
      <c r="Z5" s="3066">
        <f t="shared" ref="Z5" si="11">Y5</f>
        <v>1.3557999999999999</v>
      </c>
      <c r="AA5" s="3066">
        <f>ROUND(IF(项目基本情况!B8="出让",SUMPRODUCT(PRODUCT(1+P5:P$27)),SUMPRODUCT(PRODUCT(1+P5:P$26))),4)</f>
        <v>1.6036999999999999</v>
      </c>
      <c r="AB5" s="3066">
        <f>ROUND(IF(项目基本情况!B8="出让",SUMPRODUCT(PRODUCT(1+Q5:Q$27)),SUMPRODUCT(PRODUCT(1+Q5:Q$26))),4)</f>
        <v>1.3573</v>
      </c>
      <c r="AD5" s="3067">
        <f>ROUND(AVERAGE(I5:I$27)/100,4)</f>
        <v>2.0400000000000001E-2</v>
      </c>
      <c r="AE5" s="3067">
        <f>ROUND(AVERAGE(J5:J$27)/100,4)</f>
        <v>1.44E-2</v>
      </c>
      <c r="AF5" s="3067">
        <f t="shared" ref="AF5" si="12">AE5</f>
        <v>1.44E-2</v>
      </c>
      <c r="AG5" s="3067">
        <f>ROUND(AVERAGE(K5:K$27)/100,4)</f>
        <v>2.23E-2</v>
      </c>
      <c r="AH5" s="3067">
        <f>ROUND(AVERAGE(L5:L$27)/100,4)</f>
        <v>1.4E-2</v>
      </c>
    </row>
    <row r="6" spans="1:34" s="2724" customFormat="1">
      <c r="A6" s="2619" t="s">
        <v>2986</v>
      </c>
      <c r="B6" s="2632">
        <f t="shared" ref="B6:B11" si="13">B7*(1+N6)</f>
        <v>474.30670301923408</v>
      </c>
      <c r="C6" s="2632">
        <f t="shared" ref="C6" si="14">C7*(1+O6)</f>
        <v>349.50705005996491</v>
      </c>
      <c r="D6" s="2632">
        <f t="shared" ref="D6" si="15">C6</f>
        <v>349.50705005996491</v>
      </c>
      <c r="E6" s="2632">
        <f t="shared" ref="E6" si="16">E7*(1+P6)</f>
        <v>678.22831959706957</v>
      </c>
      <c r="F6" s="2632">
        <f t="shared" ref="F6" si="17">F7*(1+Q6)</f>
        <v>312.0556832169558</v>
      </c>
      <c r="G6" s="2718">
        <v>2019</v>
      </c>
      <c r="H6" s="2620">
        <v>2</v>
      </c>
      <c r="I6" s="3178">
        <v>1.53</v>
      </c>
      <c r="J6" s="3178">
        <v>1.01</v>
      </c>
      <c r="K6" s="3178">
        <v>1.62</v>
      </c>
      <c r="L6" s="3179">
        <v>1.25</v>
      </c>
      <c r="M6" s="2626"/>
      <c r="N6" s="2627">
        <f t="shared" ref="N6" si="18">I6/100</f>
        <v>1.5300000000000001E-2</v>
      </c>
      <c r="O6" s="2628">
        <f t="shared" ref="O6" si="19">J6/100</f>
        <v>1.01E-2</v>
      </c>
      <c r="P6" s="2628">
        <f t="shared" ref="P6" si="20">K6/100</f>
        <v>1.6200000000000003E-2</v>
      </c>
      <c r="Q6" s="2628">
        <f t="shared" ref="Q6" si="21">L6/100</f>
        <v>1.2500000000000001E-2</v>
      </c>
      <c r="R6" s="2629"/>
      <c r="S6" s="2635"/>
      <c r="T6" s="2636"/>
      <c r="U6" s="2636"/>
      <c r="V6" s="2636"/>
      <c r="W6" s="2626"/>
      <c r="X6" s="2717">
        <f>ROUND(IF(项目基本情况!B8="出让",SUMPRODUCT(PRODUCT(1+N6:N$27)),SUMPRODUCT(PRODUCT(1+N6:N$26))),4)</f>
        <v>1.5422</v>
      </c>
      <c r="Y6" s="2717">
        <f>ROUND(IF(项目基本情况!B8="出让",SUMPRODUCT(PRODUCT(1+O6:O$27)),SUMPRODUCT(PRODUCT(1+O6:O$26))),4)</f>
        <v>1.3557999999999999</v>
      </c>
      <c r="Z6" s="2717">
        <f t="shared" ref="Z6" si="22">Y6</f>
        <v>1.3557999999999999</v>
      </c>
      <c r="AA6" s="2717">
        <f>ROUND(IF(项目基本情况!B8="出让",SUMPRODUCT(PRODUCT(1+P6:P$27)),SUMPRODUCT(PRODUCT(1+P6:P$26))),4)</f>
        <v>1.6036999999999999</v>
      </c>
      <c r="AB6" s="2717">
        <f>ROUND(IF(项目基本情况!B8="出让",SUMPRODUCT(PRODUCT(1+Q6:Q$27)),SUMPRODUCT(PRODUCT(1+Q6:Q$26))),4)</f>
        <v>1.3573</v>
      </c>
      <c r="AC6" s="2626"/>
      <c r="AD6" s="2637">
        <f>ROUND(AVERAGE(I6:I$27)/100,4)</f>
        <v>2.1299999999999999E-2</v>
      </c>
      <c r="AE6" s="2637">
        <f>ROUND(AVERAGE(J6:J$27)/100,4)</f>
        <v>1.4999999999999999E-2</v>
      </c>
      <c r="AF6" s="2637">
        <f t="shared" ref="AF6" si="23">AE6</f>
        <v>1.4999999999999999E-2</v>
      </c>
      <c r="AG6" s="2637">
        <f>ROUND(AVERAGE(K6:K$27)/100,4)</f>
        <v>2.3300000000000001E-2</v>
      </c>
      <c r="AH6" s="2637">
        <f>ROUND(AVERAGE(L6:L$27)/100,4)</f>
        <v>1.46E-2</v>
      </c>
    </row>
    <row r="7" spans="1:34" s="2724" customFormat="1" ht="13.5" thickBot="1">
      <c r="A7" s="2619" t="s">
        <v>2984</v>
      </c>
      <c r="B7" s="2632">
        <f t="shared" si="13"/>
        <v>467.15916775261894</v>
      </c>
      <c r="C7" s="2632">
        <f t="shared" ref="C7" si="24">C8*(1+O7)</f>
        <v>346.01232557169084</v>
      </c>
      <c r="D7" s="2632">
        <f t="shared" ref="D7" si="25">C7</f>
        <v>346.01232557169084</v>
      </c>
      <c r="E7" s="2632">
        <f t="shared" ref="E7" si="26">E8*(1+P7)</f>
        <v>667.41617752122568</v>
      </c>
      <c r="F7" s="2632">
        <f t="shared" ref="F7" si="27">F8*(1+Q7)</f>
        <v>308.20314391798104</v>
      </c>
      <c r="G7" s="2718">
        <v>2019</v>
      </c>
      <c r="H7" s="2622">
        <v>1</v>
      </c>
      <c r="I7" s="2622">
        <v>0.6</v>
      </c>
      <c r="J7" s="2622">
        <v>0.37</v>
      </c>
      <c r="K7" s="2622">
        <v>0.63</v>
      </c>
      <c r="L7" s="2633">
        <v>1.1299999999999999</v>
      </c>
      <c r="M7" s="2626"/>
      <c r="N7" s="2627">
        <f t="shared" ref="N7" si="28">I7/100</f>
        <v>6.0000000000000001E-3</v>
      </c>
      <c r="O7" s="2628">
        <f t="shared" ref="O7" si="29">J7/100</f>
        <v>3.7000000000000002E-3</v>
      </c>
      <c r="P7" s="2628">
        <f t="shared" ref="P7" si="30">K7/100</f>
        <v>6.3E-3</v>
      </c>
      <c r="Q7" s="2628">
        <f t="shared" ref="Q7" si="31">L7/100</f>
        <v>1.1299999999999999E-2</v>
      </c>
      <c r="R7" s="2629"/>
      <c r="S7" s="2635">
        <f>B7/B8-1</f>
        <v>6.0000000000000053E-3</v>
      </c>
      <c r="T7" s="2636">
        <f>C7/C8-1</f>
        <v>3.7000000000000366E-3</v>
      </c>
      <c r="U7" s="2636">
        <f>E7/E8-1</f>
        <v>6.2999999999999723E-3</v>
      </c>
      <c r="V7" s="2636">
        <f>F7/F8-1</f>
        <v>1.1300000000000088E-2</v>
      </c>
      <c r="W7" s="2626"/>
      <c r="X7" s="2717">
        <f>ROUND(IF(项目基本情况!B8="出让",SUMPRODUCT(PRODUCT(1+N7:N$27)),SUMPRODUCT(PRODUCT(1+N7:N$26))),4)</f>
        <v>1.5189999999999999</v>
      </c>
      <c r="Y7" s="2717">
        <f>ROUND(IF(项目基本情况!B8="出让",SUMPRODUCT(PRODUCT(1+O7:O$27)),SUMPRODUCT(PRODUCT(1+O7:O$26))),4)</f>
        <v>1.3423</v>
      </c>
      <c r="Z7" s="2717">
        <f t="shared" ref="Z7" si="32">Y7</f>
        <v>1.3423</v>
      </c>
      <c r="AA7" s="2717">
        <f>ROUND(IF(项目基本情况!B8="出让",SUMPRODUCT(PRODUCT(1+P7:P$27)),SUMPRODUCT(PRODUCT(1+P7:P$26))),4)</f>
        <v>1.5782</v>
      </c>
      <c r="AB7" s="2717">
        <f>ROUND(IF(项目基本情况!B8="出让",SUMPRODUCT(PRODUCT(1+Q7:Q$27)),SUMPRODUCT(PRODUCT(1+Q7:Q$26))),4)</f>
        <v>1.3405</v>
      </c>
      <c r="AC7" s="2626"/>
      <c r="AD7" s="2637">
        <f>ROUND(AVERAGE(I7:I$27)/100,4)</f>
        <v>2.1600000000000001E-2</v>
      </c>
      <c r="AE7" s="2637">
        <f>ROUND(AVERAGE(J7:J$27)/100,4)</f>
        <v>1.5299999999999999E-2</v>
      </c>
      <c r="AF7" s="2637">
        <f t="shared" ref="AF7" si="33">AE7</f>
        <v>1.5299999999999999E-2</v>
      </c>
      <c r="AG7" s="2637">
        <f>ROUND(AVERAGE(K7:K$27)/100,4)</f>
        <v>2.3699999999999999E-2</v>
      </c>
      <c r="AH7" s="2637">
        <f>ROUND(AVERAGE(L7:L$27)/100,4)</f>
        <v>1.47E-2</v>
      </c>
    </row>
    <row r="8" spans="1:34" s="2724" customFormat="1">
      <c r="A8" s="2619" t="s">
        <v>2981</v>
      </c>
      <c r="B8" s="3175">
        <f t="shared" si="13"/>
        <v>464.37293017158942</v>
      </c>
      <c r="C8" s="3175">
        <f t="shared" ref="C8" si="34">C9*(1+O8)</f>
        <v>344.73679941385956</v>
      </c>
      <c r="D8" s="3175">
        <f t="shared" ref="D8" si="35">C8</f>
        <v>344.73679941385956</v>
      </c>
      <c r="E8" s="3175">
        <f t="shared" ref="E8" si="36">E9*(1+P8)</f>
        <v>663.2377795103107</v>
      </c>
      <c r="F8" s="3176">
        <f t="shared" ref="F8" si="37">F9*(1+Q8)</f>
        <v>304.75936311478398</v>
      </c>
      <c r="G8" s="3502">
        <v>2018</v>
      </c>
      <c r="H8" s="2620">
        <v>4</v>
      </c>
      <c r="I8" s="2620">
        <v>0.96</v>
      </c>
      <c r="J8" s="2620">
        <v>1.03</v>
      </c>
      <c r="K8" s="2620">
        <v>0.92</v>
      </c>
      <c r="L8" s="2621">
        <v>1.29</v>
      </c>
      <c r="M8" s="2626"/>
      <c r="N8" s="2627">
        <f t="shared" ref="N8" si="38">I8/100</f>
        <v>9.5999999999999992E-3</v>
      </c>
      <c r="O8" s="2628">
        <f t="shared" ref="O8" si="39">J8/100</f>
        <v>1.03E-2</v>
      </c>
      <c r="P8" s="2628">
        <f t="shared" ref="P8" si="40">K8/100</f>
        <v>9.1999999999999998E-3</v>
      </c>
      <c r="Q8" s="2628">
        <f t="shared" ref="Q8" si="41">L8/100</f>
        <v>1.29E-2</v>
      </c>
      <c r="R8" s="2629"/>
      <c r="S8" s="2630"/>
      <c r="T8" s="2631"/>
      <c r="U8" s="2631"/>
      <c r="V8" s="2631"/>
      <c r="W8" s="2626"/>
      <c r="X8" s="2717">
        <f>ROUND(SUMPRODUCT(PRODUCT(1+N8:N$26)),4)</f>
        <v>1.5099</v>
      </c>
      <c r="Y8" s="2717">
        <f>ROUND(SUMPRODUCT(PRODUCT(1+O8:O$26)),4)</f>
        <v>1.3372999999999999</v>
      </c>
      <c r="Z8" s="2717">
        <f t="shared" ref="Z8" si="42">Y8</f>
        <v>1.3372999999999999</v>
      </c>
      <c r="AA8" s="2717">
        <f>ROUND(SUMPRODUCT(PRODUCT(1+P8:P$26)),4)</f>
        <v>1.5683</v>
      </c>
      <c r="AB8" s="2717">
        <f>ROUND(SUMPRODUCT(PRODUCT(1+Q8:Q$26)),4)</f>
        <v>1.3255999999999999</v>
      </c>
      <c r="AC8" s="2626"/>
      <c r="AD8" s="2637">
        <f>ROUND(AVERAGE(I8:I$27)/100,4)</f>
        <v>2.24E-2</v>
      </c>
      <c r="AE8" s="2637">
        <f>ROUND(AVERAGE(J8:J$27)/100,4)</f>
        <v>1.5800000000000002E-2</v>
      </c>
      <c r="AF8" s="2637">
        <f t="shared" ref="AF8" si="43">AE8</f>
        <v>1.5800000000000002E-2</v>
      </c>
      <c r="AG8" s="2637">
        <f>ROUND(AVERAGE(K8:K$27)/100,4)</f>
        <v>2.4500000000000001E-2</v>
      </c>
      <c r="AH8" s="2637">
        <f>ROUND(AVERAGE(L8:L$27)/100,4)</f>
        <v>1.49E-2</v>
      </c>
    </row>
    <row r="9" spans="1:34" s="2724" customFormat="1" ht="14.45" customHeight="1">
      <c r="A9" s="2619" t="s">
        <v>2971</v>
      </c>
      <c r="B9" s="2632">
        <f t="shared" si="13"/>
        <v>459.95733971036987</v>
      </c>
      <c r="C9" s="2632">
        <f t="shared" ref="C9" si="44">C10*(1+O9)</f>
        <v>341.22221064422405</v>
      </c>
      <c r="D9" s="2632">
        <f t="shared" ref="D9" si="45">C9</f>
        <v>341.22221064422405</v>
      </c>
      <c r="E9" s="2632">
        <f t="shared" ref="E9" si="46">E10*(1+P9)</f>
        <v>657.19161663724799</v>
      </c>
      <c r="F9" s="2632">
        <f t="shared" ref="F9" si="47">F10*(1+Q9)</f>
        <v>300.87803644464805</v>
      </c>
      <c r="G9" s="3502"/>
      <c r="H9" s="2622">
        <v>3</v>
      </c>
      <c r="I9" s="2622">
        <v>1.51</v>
      </c>
      <c r="J9" s="2622">
        <v>1.41</v>
      </c>
      <c r="K9" s="2622">
        <v>1.52</v>
      </c>
      <c r="L9" s="2633">
        <v>1.74</v>
      </c>
      <c r="M9" s="2626"/>
      <c r="N9" s="2627">
        <f t="shared" ref="N9" si="48">I9/100</f>
        <v>1.5100000000000001E-2</v>
      </c>
      <c r="O9" s="2628">
        <f t="shared" ref="O9" si="49">J9/100</f>
        <v>1.41E-2</v>
      </c>
      <c r="P9" s="2628">
        <f t="shared" ref="P9" si="50">K9/100</f>
        <v>1.52E-2</v>
      </c>
      <c r="Q9" s="2628">
        <f t="shared" ref="Q9" si="51">L9/100</f>
        <v>1.7399999999999999E-2</v>
      </c>
      <c r="R9" s="2629"/>
      <c r="S9" s="2627"/>
      <c r="T9" s="2628"/>
      <c r="U9" s="2628"/>
      <c r="V9" s="2628"/>
      <c r="W9" s="2626"/>
      <c r="X9" s="2717">
        <f>ROUND(SUMPRODUCT(PRODUCT(1+N9:N$26)),4)</f>
        <v>1.4956</v>
      </c>
      <c r="Y9" s="2717">
        <f>ROUND(SUMPRODUCT(PRODUCT(1+O9:O$26)),4)</f>
        <v>1.3237000000000001</v>
      </c>
      <c r="Z9" s="2717">
        <f t="shared" ref="Z9" si="52">Y9</f>
        <v>1.3237000000000001</v>
      </c>
      <c r="AA9" s="2717">
        <f>ROUND(SUMPRODUCT(PRODUCT(1+P9:P$26)),4)</f>
        <v>1.554</v>
      </c>
      <c r="AB9" s="2717">
        <f>ROUND(SUMPRODUCT(PRODUCT(1+Q9:Q$26)),4)</f>
        <v>1.3087</v>
      </c>
      <c r="AC9" s="2626"/>
      <c r="AD9" s="2637">
        <f>ROUND(AVERAGE(I9:I$27)/100,4)</f>
        <v>2.3099999999999999E-2</v>
      </c>
      <c r="AE9" s="2637">
        <f>ROUND(AVERAGE(J9:J$27)/100,4)</f>
        <v>1.61E-2</v>
      </c>
      <c r="AF9" s="2637">
        <f t="shared" ref="AF9" si="53">AE9</f>
        <v>1.61E-2</v>
      </c>
      <c r="AG9" s="2637">
        <f>ROUND(AVERAGE(K9:K$27)/100,4)</f>
        <v>2.53E-2</v>
      </c>
      <c r="AH9" s="2637">
        <f>ROUND(AVERAGE(L9:L$27)/100,4)</f>
        <v>1.4999999999999999E-2</v>
      </c>
    </row>
    <row r="10" spans="1:34" s="2724" customFormat="1" ht="14.45" customHeight="1">
      <c r="A10" s="2619" t="s">
        <v>2972</v>
      </c>
      <c r="B10" s="2632">
        <f t="shared" si="13"/>
        <v>453.11529869999993</v>
      </c>
      <c r="C10" s="2632">
        <f t="shared" ref="C10" si="54">C11*(1+O10)</f>
        <v>336.47787264000004</v>
      </c>
      <c r="D10" s="2632">
        <f t="shared" ref="D10" si="55">C10</f>
        <v>336.47787264000004</v>
      </c>
      <c r="E10" s="2632">
        <f t="shared" ref="E10" si="56">E11*(1+P10)</f>
        <v>647.35186823999993</v>
      </c>
      <c r="F10" s="2632">
        <f t="shared" ref="F10" si="57">F11*(1+Q10)</f>
        <v>295.73229452000004</v>
      </c>
      <c r="G10" s="3502"/>
      <c r="H10" s="2623">
        <v>2</v>
      </c>
      <c r="I10" s="2623">
        <v>1.49</v>
      </c>
      <c r="J10" s="2623">
        <v>0.96</v>
      </c>
      <c r="K10" s="2623">
        <v>1.58</v>
      </c>
      <c r="L10" s="2634">
        <v>2.44</v>
      </c>
      <c r="M10" s="2626"/>
      <c r="N10" s="2627">
        <f t="shared" ref="N10" si="58">I10/100</f>
        <v>1.49E-2</v>
      </c>
      <c r="O10" s="2628">
        <f t="shared" ref="O10" si="59">J10/100</f>
        <v>9.5999999999999992E-3</v>
      </c>
      <c r="P10" s="2628">
        <f t="shared" ref="P10" si="60">K10/100</f>
        <v>1.5800000000000002E-2</v>
      </c>
      <c r="Q10" s="2628">
        <f t="shared" ref="Q10" si="61">L10/100</f>
        <v>2.4399999999999998E-2</v>
      </c>
      <c r="R10" s="2629"/>
      <c r="S10" s="2627"/>
      <c r="T10" s="2628"/>
      <c r="U10" s="2628"/>
      <c r="V10" s="2628"/>
      <c r="W10" s="2626"/>
      <c r="X10" s="2717">
        <f>ROUND(SUMPRODUCT(PRODUCT(1+N10:N$26)),4)</f>
        <v>1.4733000000000001</v>
      </c>
      <c r="Y10" s="2717">
        <f>ROUND(SUMPRODUCT(PRODUCT(1+O10:O$26)),4)</f>
        <v>1.3052999999999999</v>
      </c>
      <c r="Z10" s="2717">
        <f t="shared" ref="Z10" si="62">Y10</f>
        <v>1.3052999999999999</v>
      </c>
      <c r="AA10" s="2717">
        <f>ROUND(SUMPRODUCT(PRODUCT(1+P10:P$26)),4)</f>
        <v>1.5306999999999999</v>
      </c>
      <c r="AB10" s="2717">
        <f>ROUND(SUMPRODUCT(PRODUCT(1+Q10:Q$26)),4)</f>
        <v>1.2863</v>
      </c>
      <c r="AC10" s="2626"/>
      <c r="AD10" s="2637">
        <f>ROUND(AVERAGE(I10:I$27)/100,4)</f>
        <v>2.35E-2</v>
      </c>
      <c r="AE10" s="2637">
        <f>ROUND(AVERAGE(J10:J$27)/100,4)</f>
        <v>1.6199999999999999E-2</v>
      </c>
      <c r="AF10" s="2637">
        <f t="shared" ref="AF10" si="63">AE10</f>
        <v>1.6199999999999999E-2</v>
      </c>
      <c r="AG10" s="2637">
        <f>ROUND(AVERAGE(K10:K$27)/100,4)</f>
        <v>2.5899999999999999E-2</v>
      </c>
      <c r="AH10" s="2637">
        <f>ROUND(AVERAGE(L10:L$27)/100,4)</f>
        <v>1.49E-2</v>
      </c>
    </row>
    <row r="11" spans="1:34" s="2724" customFormat="1" ht="15" customHeight="1" thickBot="1">
      <c r="A11" s="2619" t="s">
        <v>2968</v>
      </c>
      <c r="B11" s="2632">
        <f t="shared" si="13"/>
        <v>446.46299999999997</v>
      </c>
      <c r="C11" s="2632">
        <f t="shared" ref="C11" si="64">C12*(1+O11)</f>
        <v>333.27840000000003</v>
      </c>
      <c r="D11" s="2632">
        <f t="shared" ref="D11:D16" si="65">C11</f>
        <v>333.27840000000003</v>
      </c>
      <c r="E11" s="2632">
        <f t="shared" ref="E11" si="66">E12*(1+P11)</f>
        <v>637.28279999999995</v>
      </c>
      <c r="F11" s="2632">
        <f t="shared" ref="F11" si="67">F12*(1+Q11)</f>
        <v>288.68830000000003</v>
      </c>
      <c r="G11" s="3503"/>
      <c r="H11" s="2622">
        <v>1</v>
      </c>
      <c r="I11" s="2622">
        <v>1.7</v>
      </c>
      <c r="J11" s="2622">
        <v>1.92</v>
      </c>
      <c r="K11" s="2622">
        <v>1.64</v>
      </c>
      <c r="L11" s="2633">
        <v>2.0099999999999998</v>
      </c>
      <c r="M11" s="2626"/>
      <c r="N11" s="2627">
        <f t="shared" ref="N11:N16" si="68">I11/100</f>
        <v>1.7000000000000001E-2</v>
      </c>
      <c r="O11" s="2628">
        <f t="shared" ref="O11" si="69">J11/100</f>
        <v>1.9199999999999998E-2</v>
      </c>
      <c r="P11" s="2628">
        <f t="shared" ref="P11" si="70">K11/100</f>
        <v>1.6399999999999998E-2</v>
      </c>
      <c r="Q11" s="2628">
        <f t="shared" ref="Q11" si="71">L11/100</f>
        <v>2.0099999999999996E-2</v>
      </c>
      <c r="R11" s="2629"/>
      <c r="S11" s="2635">
        <f>B11/B12-1</f>
        <v>1.6999999999999904E-2</v>
      </c>
      <c r="T11" s="2636">
        <f>C11/C12-1</f>
        <v>1.9200000000000106E-2</v>
      </c>
      <c r="U11" s="2636">
        <f>E11/E12-1</f>
        <v>1.639999999999997E-2</v>
      </c>
      <c r="V11" s="2636">
        <f>F11/F12-1</f>
        <v>2.0100000000000007E-2</v>
      </c>
      <c r="W11" s="2626"/>
      <c r="X11" s="2717">
        <f>ROUND(SUMPRODUCT(PRODUCT(1+N11:N$26)),4)</f>
        <v>1.4517</v>
      </c>
      <c r="Y11" s="2717">
        <f>ROUND(SUMPRODUCT(PRODUCT(1+O11:O$26)),4)</f>
        <v>1.2928999999999999</v>
      </c>
      <c r="Z11" s="2717">
        <f t="shared" ref="Z11" si="72">Y11</f>
        <v>1.2928999999999999</v>
      </c>
      <c r="AA11" s="2717">
        <f>ROUND(SUMPRODUCT(PRODUCT(1+P11:P$26)),4)</f>
        <v>1.5068999999999999</v>
      </c>
      <c r="AB11" s="2717">
        <f>ROUND(SUMPRODUCT(PRODUCT(1+Q11:Q$26)),4)</f>
        <v>1.2557</v>
      </c>
      <c r="AC11" s="2626"/>
      <c r="AD11" s="2637">
        <f>ROUND(AVERAGE(I11:I$27)/100,4)</f>
        <v>2.4E-2</v>
      </c>
      <c r="AE11" s="2637">
        <f>ROUND(AVERAGE(J11:J$27)/100,4)</f>
        <v>1.66E-2</v>
      </c>
      <c r="AF11" s="2637">
        <f t="shared" ref="AF11" si="73">AE11</f>
        <v>1.66E-2</v>
      </c>
      <c r="AG11" s="2637">
        <f>ROUND(AVERAGE(K11:K$27)/100,4)</f>
        <v>2.6499999999999999E-2</v>
      </c>
      <c r="AH11" s="2637">
        <f>ROUND(AVERAGE(L11:L$27)/100,4)</f>
        <v>1.43E-2</v>
      </c>
    </row>
    <row r="12" spans="1:34">
      <c r="A12" s="2619" t="s">
        <v>2959</v>
      </c>
      <c r="B12" s="3093">
        <v>439</v>
      </c>
      <c r="C12" s="3093">
        <v>327</v>
      </c>
      <c r="D12" s="3093">
        <f t="shared" si="65"/>
        <v>327</v>
      </c>
      <c r="E12" s="3093">
        <v>627</v>
      </c>
      <c r="F12" s="3094">
        <v>283</v>
      </c>
      <c r="G12" s="3501">
        <v>2017</v>
      </c>
      <c r="H12" s="2620">
        <v>4</v>
      </c>
      <c r="I12" s="2620">
        <v>1.71</v>
      </c>
      <c r="J12" s="2620">
        <v>1.78</v>
      </c>
      <c r="K12" s="2620">
        <v>1.71</v>
      </c>
      <c r="L12" s="2621">
        <v>1.43</v>
      </c>
      <c r="N12" s="2640">
        <f t="shared" si="68"/>
        <v>1.7100000000000001E-2</v>
      </c>
      <c r="O12" s="2641">
        <f t="shared" ref="O12" si="74">J12/100</f>
        <v>1.78E-2</v>
      </c>
      <c r="P12" s="2641">
        <f t="shared" ref="P12" si="75">K12/100</f>
        <v>1.7100000000000001E-2</v>
      </c>
      <c r="Q12" s="2641">
        <f t="shared" ref="Q12" si="76">L12/100</f>
        <v>1.43E-2</v>
      </c>
      <c r="R12" s="2629"/>
      <c r="S12" s="2630"/>
      <c r="T12" s="2631"/>
      <c r="U12" s="2631"/>
      <c r="V12" s="2631"/>
      <c r="X12" s="2717">
        <f>ROUND(SUMPRODUCT(PRODUCT(1+N12:N$26)),4)</f>
        <v>1.4274</v>
      </c>
      <c r="Y12" s="2717">
        <f>ROUND(SUMPRODUCT(PRODUCT(1+O12:O$26)),4)</f>
        <v>1.2685</v>
      </c>
      <c r="Z12" s="2717">
        <f t="shared" si="0"/>
        <v>1.2685</v>
      </c>
      <c r="AA12" s="2717">
        <f>ROUND(SUMPRODUCT(PRODUCT(1+P12:P$26)),4)</f>
        <v>1.4825999999999999</v>
      </c>
      <c r="AB12" s="2717">
        <f>ROUND(SUMPRODUCT(PRODUCT(1+Q12:Q$26)),4)</f>
        <v>1.2309000000000001</v>
      </c>
      <c r="AD12" s="2637">
        <f>ROUND(AVERAGE(I12:I$27)/100,4)</f>
        <v>2.4500000000000001E-2</v>
      </c>
      <c r="AE12" s="2637">
        <f>ROUND(AVERAGE(J12:J$27)/100,4)</f>
        <v>1.6500000000000001E-2</v>
      </c>
      <c r="AF12" s="2637">
        <f t="shared" si="1"/>
        <v>1.6500000000000001E-2</v>
      </c>
      <c r="AG12" s="2637">
        <f>ROUND(AVERAGE(K12:K$27)/100,4)</f>
        <v>2.7099999999999999E-2</v>
      </c>
      <c r="AH12" s="2637">
        <f>ROUND(AVERAGE(L12:L$27)/100,4)</f>
        <v>1.3899999999999999E-2</v>
      </c>
    </row>
    <row r="13" spans="1:34" s="2724" customFormat="1" ht="14.45" customHeight="1">
      <c r="A13" s="2619" t="s">
        <v>2963</v>
      </c>
      <c r="B13" s="2632">
        <f t="shared" ref="B13:C15" si="77">B14*(1+N13)</f>
        <v>431.80730811680002</v>
      </c>
      <c r="C13" s="2632">
        <f t="shared" si="77"/>
        <v>320.57880516480003</v>
      </c>
      <c r="D13" s="2632">
        <f t="shared" si="65"/>
        <v>320.57880516480003</v>
      </c>
      <c r="E13" s="2632">
        <f t="shared" ref="E13:F15" si="78">E14*(1+P13)</f>
        <v>615.96110553196797</v>
      </c>
      <c r="F13" s="2632">
        <f t="shared" si="78"/>
        <v>279.46777300108801</v>
      </c>
      <c r="G13" s="3502"/>
      <c r="H13" s="2622">
        <v>3</v>
      </c>
      <c r="I13" s="2622">
        <v>2.98</v>
      </c>
      <c r="J13" s="2622">
        <v>2.11</v>
      </c>
      <c r="K13" s="2622">
        <v>3.24</v>
      </c>
      <c r="L13" s="2633">
        <v>1.72</v>
      </c>
      <c r="M13" s="2626"/>
      <c r="N13" s="2627">
        <f t="shared" si="68"/>
        <v>2.98E-2</v>
      </c>
      <c r="O13" s="2645">
        <f t="shared" ref="O13:O14" si="79">J13/100</f>
        <v>2.1099999999999997E-2</v>
      </c>
      <c r="P13" s="2645">
        <f t="shared" ref="P13:P14" si="80">K13/100</f>
        <v>3.2400000000000005E-2</v>
      </c>
      <c r="Q13" s="2645">
        <f t="shared" ref="Q13:Q14" si="81">L13/100</f>
        <v>1.72E-2</v>
      </c>
      <c r="R13" s="2629"/>
      <c r="S13" s="2627"/>
      <c r="T13" s="2628"/>
      <c r="U13" s="2628"/>
      <c r="V13" s="2628"/>
      <c r="W13" s="2626"/>
      <c r="X13" s="2717">
        <f>ROUND(SUMPRODUCT(PRODUCT(1+N13:N$26)),4)</f>
        <v>1.4034</v>
      </c>
      <c r="Y13" s="2717">
        <f>ROUND(SUMPRODUCT(PRODUCT(1+O13:O$26)),4)</f>
        <v>1.2463</v>
      </c>
      <c r="Z13" s="2717">
        <f t="shared" si="0"/>
        <v>1.2463</v>
      </c>
      <c r="AA13" s="2717">
        <f>ROUND(SUMPRODUCT(PRODUCT(1+P13:P$26)),4)</f>
        <v>1.4577</v>
      </c>
      <c r="AB13" s="2717">
        <f>ROUND(SUMPRODUCT(PRODUCT(1+Q13:Q$26)),4)</f>
        <v>1.2136</v>
      </c>
      <c r="AC13" s="2626"/>
      <c r="AD13" s="2637">
        <f>ROUND(AVERAGE(I13:I$27)/100,4)</f>
        <v>2.4899999999999999E-2</v>
      </c>
      <c r="AE13" s="2637">
        <f>ROUND(AVERAGE(J13:J$27)/100,4)</f>
        <v>1.6400000000000001E-2</v>
      </c>
      <c r="AF13" s="2637">
        <f t="shared" si="1"/>
        <v>1.6400000000000001E-2</v>
      </c>
      <c r="AG13" s="2637">
        <f>ROUND(AVERAGE(K13:K$27)/100,4)</f>
        <v>2.7799999999999998E-2</v>
      </c>
      <c r="AH13" s="2637">
        <f>ROUND(AVERAGE(L13:L$27)/100,4)</f>
        <v>1.3899999999999999E-2</v>
      </c>
    </row>
    <row r="14" spans="1:34" s="2617" customFormat="1" ht="14.45" customHeight="1">
      <c r="A14" s="2619" t="s">
        <v>2578</v>
      </c>
      <c r="B14" s="2632">
        <f t="shared" si="77"/>
        <v>419.31181600000002</v>
      </c>
      <c r="C14" s="2632">
        <f t="shared" si="77"/>
        <v>313.95436800000004</v>
      </c>
      <c r="D14" s="2632">
        <f t="shared" si="65"/>
        <v>313.95436800000004</v>
      </c>
      <c r="E14" s="2632">
        <f t="shared" si="78"/>
        <v>596.63028431999999</v>
      </c>
      <c r="F14" s="2632">
        <f t="shared" si="78"/>
        <v>274.74220703999998</v>
      </c>
      <c r="G14" s="3502"/>
      <c r="H14" s="2623">
        <v>2</v>
      </c>
      <c r="I14" s="2623">
        <v>3.4</v>
      </c>
      <c r="J14" s="2623">
        <v>2</v>
      </c>
      <c r="K14" s="2623">
        <v>3.82</v>
      </c>
      <c r="L14" s="2634">
        <v>1.68</v>
      </c>
      <c r="N14" s="2627">
        <f t="shared" si="68"/>
        <v>3.4000000000000002E-2</v>
      </c>
      <c r="O14" s="2645">
        <f t="shared" si="79"/>
        <v>0.02</v>
      </c>
      <c r="P14" s="2645">
        <f t="shared" si="80"/>
        <v>3.8199999999999998E-2</v>
      </c>
      <c r="Q14" s="2645">
        <f t="shared" si="81"/>
        <v>1.6799999999999999E-2</v>
      </c>
      <c r="R14" s="2618"/>
      <c r="S14" s="2627"/>
      <c r="T14" s="2628"/>
      <c r="U14" s="2628"/>
      <c r="V14" s="2628"/>
      <c r="X14" s="2717">
        <f>ROUND(SUMPRODUCT(PRODUCT(1+N14:N$26)),4)</f>
        <v>1.3628</v>
      </c>
      <c r="Y14" s="2717">
        <f>ROUND(SUMPRODUCT(PRODUCT(1+O14:O$26)),4)</f>
        <v>1.2205999999999999</v>
      </c>
      <c r="Z14" s="2717">
        <f t="shared" si="0"/>
        <v>1.2205999999999999</v>
      </c>
      <c r="AA14" s="2717">
        <f>ROUND(SUMPRODUCT(PRODUCT(1+P14:P$26)),4)</f>
        <v>1.4118999999999999</v>
      </c>
      <c r="AB14" s="2717">
        <f>ROUND(SUMPRODUCT(PRODUCT(1+Q14:Q$26)),4)</f>
        <v>1.1930000000000001</v>
      </c>
      <c r="AD14" s="2637">
        <f>ROUND(AVERAGE(I14:I$27)/100,4)</f>
        <v>2.46E-2</v>
      </c>
      <c r="AE14" s="2637">
        <f>ROUND(AVERAGE(J14:J$27)/100,4)</f>
        <v>1.6E-2</v>
      </c>
      <c r="AF14" s="2637">
        <f t="shared" si="1"/>
        <v>1.6E-2</v>
      </c>
      <c r="AG14" s="2637">
        <f>ROUND(AVERAGE(K14:K$27)/100,4)</f>
        <v>2.75E-2</v>
      </c>
      <c r="AH14" s="2637">
        <f>ROUND(AVERAGE(L14:L$27)/100,4)</f>
        <v>1.37E-2</v>
      </c>
    </row>
    <row r="15" spans="1:34" s="2724" customFormat="1" ht="15" customHeight="1" thickBot="1">
      <c r="A15" s="2619" t="s">
        <v>2579</v>
      </c>
      <c r="B15" s="2632">
        <f t="shared" si="77"/>
        <v>405.524</v>
      </c>
      <c r="C15" s="2632">
        <f t="shared" si="77"/>
        <v>307.79840000000002</v>
      </c>
      <c r="D15" s="2632">
        <f t="shared" si="65"/>
        <v>307.79840000000002</v>
      </c>
      <c r="E15" s="2632">
        <f t="shared" si="78"/>
        <v>574.67759999999998</v>
      </c>
      <c r="F15" s="2632">
        <f t="shared" si="78"/>
        <v>270.20280000000002</v>
      </c>
      <c r="G15" s="3503"/>
      <c r="H15" s="2622">
        <v>1</v>
      </c>
      <c r="I15" s="2622">
        <v>3.45</v>
      </c>
      <c r="J15" s="2622">
        <v>1.92</v>
      </c>
      <c r="K15" s="2622">
        <v>3.92</v>
      </c>
      <c r="L15" s="2633">
        <v>1.58</v>
      </c>
      <c r="M15" s="2626"/>
      <c r="N15" s="2635">
        <f t="shared" si="68"/>
        <v>3.4500000000000003E-2</v>
      </c>
      <c r="O15" s="2636">
        <f t="shared" ref="O15" si="82">J15/100</f>
        <v>1.9199999999999998E-2</v>
      </c>
      <c r="P15" s="2636">
        <f t="shared" ref="P15" si="83">K15/100</f>
        <v>3.9199999999999999E-2</v>
      </c>
      <c r="Q15" s="2636">
        <f t="shared" ref="Q15" si="84">L15/100</f>
        <v>1.5800000000000002E-2</v>
      </c>
      <c r="R15" s="2629"/>
      <c r="S15" s="2635">
        <f>B15/B16-1</f>
        <v>3.4499999999999975E-2</v>
      </c>
      <c r="T15" s="2636">
        <f>C15/C16-1</f>
        <v>1.9200000000000106E-2</v>
      </c>
      <c r="U15" s="2636">
        <f>E15/E16-1</f>
        <v>3.9199999999999902E-2</v>
      </c>
      <c r="V15" s="2636">
        <f>F15/F16-1</f>
        <v>1.5800000000000036E-2</v>
      </c>
      <c r="W15" s="2626"/>
      <c r="X15" s="2717">
        <f>ROUND(SUMPRODUCT(PRODUCT(1+N15:N$26)),4)</f>
        <v>1.3180000000000001</v>
      </c>
      <c r="Y15" s="2717">
        <f>ROUND(SUMPRODUCT(PRODUCT(1+O15:O$26)),4)</f>
        <v>1.1966000000000001</v>
      </c>
      <c r="Z15" s="2717">
        <f t="shared" si="0"/>
        <v>1.1966000000000001</v>
      </c>
      <c r="AA15" s="2717">
        <f>ROUND(SUMPRODUCT(PRODUCT(1+P15:P$26)),4)</f>
        <v>1.36</v>
      </c>
      <c r="AB15" s="2717">
        <f>ROUND(SUMPRODUCT(PRODUCT(1+Q15:Q$26)),4)</f>
        <v>1.1733</v>
      </c>
      <c r="AC15" s="2626"/>
      <c r="AD15" s="2637">
        <f>ROUND(AVERAGE(I15:I$27)/100,4)</f>
        <v>2.3900000000000001E-2</v>
      </c>
      <c r="AE15" s="2637">
        <f>ROUND(AVERAGE(J15:J$27)/100,4)</f>
        <v>1.5699999999999999E-2</v>
      </c>
      <c r="AF15" s="2637">
        <f t="shared" si="1"/>
        <v>1.5699999999999999E-2</v>
      </c>
      <c r="AG15" s="2637">
        <f>ROUND(AVERAGE(K15:K$27)/100,4)</f>
        <v>2.6599999999999999E-2</v>
      </c>
      <c r="AH15" s="2637">
        <f>ROUND(AVERAGE(L15:L$27)/100,4)</f>
        <v>1.34E-2</v>
      </c>
    </row>
    <row r="16" spans="1:34">
      <c r="A16" s="2619" t="s">
        <v>970</v>
      </c>
      <c r="B16" s="2624">
        <v>392</v>
      </c>
      <c r="C16" s="2624">
        <v>302</v>
      </c>
      <c r="D16" s="2624">
        <f t="shared" si="65"/>
        <v>302</v>
      </c>
      <c r="E16" s="2624">
        <v>553</v>
      </c>
      <c r="F16" s="2625">
        <v>266</v>
      </c>
      <c r="G16" s="3501">
        <v>2016</v>
      </c>
      <c r="H16" s="2620">
        <v>4</v>
      </c>
      <c r="I16" s="2620">
        <v>4.5599999999999996</v>
      </c>
      <c r="J16" s="2620">
        <v>2.15</v>
      </c>
      <c r="K16" s="2620">
        <v>5.32</v>
      </c>
      <c r="L16" s="2621">
        <v>1.57</v>
      </c>
      <c r="N16" s="2627">
        <f t="shared" si="68"/>
        <v>4.5599999999999995E-2</v>
      </c>
      <c r="O16" s="2628">
        <f t="shared" ref="O16:Q31" si="85">J16/100</f>
        <v>2.1499999999999998E-2</v>
      </c>
      <c r="P16" s="2628">
        <f t="shared" si="85"/>
        <v>5.3200000000000004E-2</v>
      </c>
      <c r="Q16" s="2628">
        <f t="shared" si="85"/>
        <v>1.5700000000000002E-2</v>
      </c>
      <c r="R16" s="2629"/>
      <c r="S16" s="2630"/>
      <c r="T16" s="2631"/>
      <c r="U16" s="2631"/>
      <c r="V16" s="2631"/>
      <c r="X16" s="2717">
        <f>ROUND(SUMPRODUCT(PRODUCT(1+N16:N$26)),4)</f>
        <v>1.274</v>
      </c>
      <c r="Y16" s="2717">
        <f>ROUND(SUMPRODUCT(PRODUCT(1+O16:O$26)),4)</f>
        <v>1.1740999999999999</v>
      </c>
      <c r="Z16" s="2717">
        <f t="shared" si="0"/>
        <v>1.1740999999999999</v>
      </c>
      <c r="AA16" s="2717">
        <f>ROUND(SUMPRODUCT(PRODUCT(1+P16:P$26)),4)</f>
        <v>1.3087</v>
      </c>
      <c r="AB16" s="2717">
        <f>ROUND(SUMPRODUCT(PRODUCT(1+Q16:Q$26)),4)</f>
        <v>1.1551</v>
      </c>
      <c r="AD16" s="2637">
        <f>ROUND(AVERAGE(I16:I$27)/100,4)</f>
        <v>2.3E-2</v>
      </c>
      <c r="AE16" s="2637">
        <f>ROUND(AVERAGE(J16:J$27)/100,4)</f>
        <v>1.55E-2</v>
      </c>
      <c r="AF16" s="2637">
        <f t="shared" si="1"/>
        <v>1.55E-2</v>
      </c>
      <c r="AG16" s="2637">
        <f>ROUND(AVERAGE(K16:K$27)/100,4)</f>
        <v>2.5600000000000001E-2</v>
      </c>
      <c r="AH16" s="2637">
        <f>ROUND(AVERAGE(L16:L$27)/100,4)</f>
        <v>1.32E-2</v>
      </c>
    </row>
    <row r="17" spans="1:34">
      <c r="A17" s="2619" t="s">
        <v>969</v>
      </c>
      <c r="B17" s="2632">
        <f t="shared" ref="B17:C19" si="86">B16/(1+N16)</f>
        <v>374.90436113236416</v>
      </c>
      <c r="C17" s="2632">
        <f t="shared" si="86"/>
        <v>295.64366128242779</v>
      </c>
      <c r="D17" s="2632">
        <f t="shared" ref="D17:D76" si="87">C17</f>
        <v>295.64366128242779</v>
      </c>
      <c r="E17" s="2632">
        <f t="shared" ref="E17:F19" si="88">E16/(1+P16)</f>
        <v>525.06646410938095</v>
      </c>
      <c r="F17" s="2632">
        <f t="shared" si="88"/>
        <v>261.88835286009646</v>
      </c>
      <c r="G17" s="3502"/>
      <c r="H17" s="2622">
        <v>3</v>
      </c>
      <c r="I17" s="2622">
        <v>4.12</v>
      </c>
      <c r="J17" s="2622">
        <v>2</v>
      </c>
      <c r="K17" s="2622">
        <v>4.79</v>
      </c>
      <c r="L17" s="2633">
        <v>1.97</v>
      </c>
      <c r="N17" s="2627">
        <f t="shared" ref="N17:Q51" si="89">I17/100</f>
        <v>4.1200000000000001E-2</v>
      </c>
      <c r="O17" s="2628">
        <f t="shared" si="85"/>
        <v>0.02</v>
      </c>
      <c r="P17" s="2628">
        <f t="shared" si="85"/>
        <v>4.7899999999999998E-2</v>
      </c>
      <c r="Q17" s="2628">
        <f t="shared" si="85"/>
        <v>1.9699999999999999E-2</v>
      </c>
      <c r="R17" s="2629"/>
      <c r="S17" s="2627"/>
      <c r="T17" s="2628"/>
      <c r="U17" s="2628"/>
      <c r="V17" s="2628"/>
      <c r="X17" s="2717">
        <f>ROUND(SUMPRODUCT(PRODUCT(1+N17:N$26)),4)</f>
        <v>1.2184999999999999</v>
      </c>
      <c r="Y17" s="2717">
        <f>ROUND(SUMPRODUCT(PRODUCT(1+O17:O$26)),4)</f>
        <v>1.1494</v>
      </c>
      <c r="Z17" s="2717">
        <f t="shared" si="0"/>
        <v>1.1494</v>
      </c>
      <c r="AA17" s="2717">
        <f>ROUND(SUMPRODUCT(PRODUCT(1+P17:P$26)),4)</f>
        <v>1.2425999999999999</v>
      </c>
      <c r="AB17" s="2717">
        <f>ROUND(SUMPRODUCT(PRODUCT(1+Q17:Q$26)),4)</f>
        <v>1.1372</v>
      </c>
      <c r="AD17" s="2637">
        <f>ROUND(AVERAGE(I17:I$27)/100,4)</f>
        <v>2.0899999999999998E-2</v>
      </c>
      <c r="AE17" s="2637">
        <f>ROUND(AVERAGE(J17:J$27)/100,4)</f>
        <v>1.49E-2</v>
      </c>
      <c r="AF17" s="2637">
        <f t="shared" si="1"/>
        <v>1.49E-2</v>
      </c>
      <c r="AG17" s="2637">
        <f>ROUND(AVERAGE(K17:K$27)/100,4)</f>
        <v>2.3099999999999999E-2</v>
      </c>
      <c r="AH17" s="2637">
        <f>ROUND(AVERAGE(L17:L$27)/100,4)</f>
        <v>1.2999999999999999E-2</v>
      </c>
    </row>
    <row r="18" spans="1:34">
      <c r="A18" s="2619" t="s">
        <v>959</v>
      </c>
      <c r="B18" s="2632">
        <f t="shared" si="86"/>
        <v>360.06949782209392</v>
      </c>
      <c r="C18" s="2632">
        <f t="shared" si="86"/>
        <v>289.84672674747821</v>
      </c>
      <c r="D18" s="2632">
        <f t="shared" si="87"/>
        <v>289.84672674747821</v>
      </c>
      <c r="E18" s="2632">
        <f t="shared" si="88"/>
        <v>501.06543001181495</v>
      </c>
      <c r="F18" s="2632">
        <f t="shared" si="88"/>
        <v>256.82882500744967</v>
      </c>
      <c r="G18" s="3502"/>
      <c r="H18" s="2623">
        <v>2</v>
      </c>
      <c r="I18" s="2623">
        <v>3.85</v>
      </c>
      <c r="J18" s="2623">
        <v>1.95</v>
      </c>
      <c r="K18" s="2623">
        <v>4.4800000000000004</v>
      </c>
      <c r="L18" s="2634">
        <v>1.41</v>
      </c>
      <c r="N18" s="2627">
        <f t="shared" si="89"/>
        <v>3.85E-2</v>
      </c>
      <c r="O18" s="2628">
        <f t="shared" si="85"/>
        <v>1.95E-2</v>
      </c>
      <c r="P18" s="2628">
        <f t="shared" si="85"/>
        <v>4.4800000000000006E-2</v>
      </c>
      <c r="Q18" s="2628">
        <f t="shared" si="85"/>
        <v>1.41E-2</v>
      </c>
      <c r="R18" s="2629"/>
      <c r="S18" s="2627"/>
      <c r="T18" s="2628"/>
      <c r="U18" s="2628"/>
      <c r="V18" s="2628"/>
      <c r="X18" s="2717">
        <f>ROUND(SUMPRODUCT(PRODUCT(1+N18:N$26)),4)</f>
        <v>1.1702999999999999</v>
      </c>
      <c r="Y18" s="2717">
        <f>ROUND(SUMPRODUCT(PRODUCT(1+O18:O$26)),4)</f>
        <v>1.1269</v>
      </c>
      <c r="Z18" s="2717">
        <f t="shared" si="0"/>
        <v>1.1269</v>
      </c>
      <c r="AA18" s="2717">
        <f>ROUND(SUMPRODUCT(PRODUCT(1+P18:P$26)),4)</f>
        <v>1.1858</v>
      </c>
      <c r="AB18" s="2717">
        <f>ROUND(SUMPRODUCT(PRODUCT(1+Q18:Q$26)),4)</f>
        <v>1.1152</v>
      </c>
      <c r="AD18" s="2637">
        <f>ROUND(AVERAGE(I18:I$27)/100,4)</f>
        <v>1.89E-2</v>
      </c>
      <c r="AE18" s="2637">
        <f>ROUND(AVERAGE(J18:J$27)/100,4)</f>
        <v>1.44E-2</v>
      </c>
      <c r="AF18" s="2637">
        <f t="shared" si="1"/>
        <v>1.44E-2</v>
      </c>
      <c r="AG18" s="2637">
        <f>ROUND(AVERAGE(K18:K$27)/100,4)</f>
        <v>2.06E-2</v>
      </c>
      <c r="AH18" s="2637">
        <f>ROUND(AVERAGE(L18:L$27)/100,4)</f>
        <v>1.23E-2</v>
      </c>
    </row>
    <row r="19" spans="1:34" ht="13.5" thickBot="1">
      <c r="A19" s="2619" t="s">
        <v>968</v>
      </c>
      <c r="B19" s="2632">
        <f t="shared" si="86"/>
        <v>346.720748986128</v>
      </c>
      <c r="C19" s="2632">
        <f t="shared" si="86"/>
        <v>284.30282172386285</v>
      </c>
      <c r="D19" s="2632">
        <f t="shared" si="87"/>
        <v>284.30282172386285</v>
      </c>
      <c r="E19" s="2632">
        <f t="shared" si="88"/>
        <v>479.58023546306947</v>
      </c>
      <c r="F19" s="2632">
        <f t="shared" si="88"/>
        <v>253.25788877571213</v>
      </c>
      <c r="G19" s="3505"/>
      <c r="H19" s="2622">
        <v>1</v>
      </c>
      <c r="I19" s="2622">
        <v>4.09</v>
      </c>
      <c r="J19" s="2622">
        <v>2.93</v>
      </c>
      <c r="K19" s="2622">
        <v>4.54</v>
      </c>
      <c r="L19" s="2633">
        <v>1.48</v>
      </c>
      <c r="N19" s="2627">
        <f t="shared" si="89"/>
        <v>4.0899999999999999E-2</v>
      </c>
      <c r="O19" s="2628">
        <f t="shared" si="85"/>
        <v>2.9300000000000003E-2</v>
      </c>
      <c r="P19" s="2628">
        <f t="shared" si="85"/>
        <v>4.5400000000000003E-2</v>
      </c>
      <c r="Q19" s="2628">
        <f t="shared" si="85"/>
        <v>1.4800000000000001E-2</v>
      </c>
      <c r="R19" s="2629"/>
      <c r="S19" s="2635">
        <f>B19/B20-1</f>
        <v>4.1203450408792808E-2</v>
      </c>
      <c r="T19" s="2636">
        <f>C19/C20-1</f>
        <v>2.6363977342465095E-2</v>
      </c>
      <c r="U19" s="2636">
        <f>E19/E20-1</f>
        <v>4.4837114298626357E-2</v>
      </c>
      <c r="V19" s="2636">
        <f>F19/F20-1</f>
        <v>1.7099954922538574E-2</v>
      </c>
      <c r="X19" s="2717">
        <f>ROUND(SUMPRODUCT(PRODUCT(1+N19:N$26)),4)</f>
        <v>1.1269</v>
      </c>
      <c r="Y19" s="2717">
        <f>ROUND(SUMPRODUCT(PRODUCT(1+O19:O$26)),4)</f>
        <v>1.1052999999999999</v>
      </c>
      <c r="Z19" s="2717">
        <f t="shared" si="0"/>
        <v>1.1052999999999999</v>
      </c>
      <c r="AA19" s="2717">
        <f>ROUND(SUMPRODUCT(PRODUCT(1+P19:P$26)),4)</f>
        <v>1.1349</v>
      </c>
      <c r="AB19" s="2717">
        <f>ROUND(SUMPRODUCT(PRODUCT(1+Q19:Q$26)),4)</f>
        <v>1.0996999999999999</v>
      </c>
      <c r="AD19" s="2637">
        <f>ROUND(AVERAGE(I19:I$27)/100,4)</f>
        <v>1.67E-2</v>
      </c>
      <c r="AE19" s="2637">
        <f>ROUND(AVERAGE(J19:J$27)/100,4)</f>
        <v>1.38E-2</v>
      </c>
      <c r="AF19" s="2637">
        <f t="shared" si="1"/>
        <v>1.38E-2</v>
      </c>
      <c r="AG19" s="2637">
        <f>ROUND(AVERAGE(K19:K$27)/100,4)</f>
        <v>1.7899999999999999E-2</v>
      </c>
      <c r="AH19" s="2637">
        <f>ROUND(AVERAGE(L19:L$27)/100,4)</f>
        <v>1.21E-2</v>
      </c>
    </row>
    <row r="20" spans="1:34" ht="13.5" thickBot="1">
      <c r="A20" s="2619" t="s">
        <v>967</v>
      </c>
      <c r="B20" s="2624">
        <v>333</v>
      </c>
      <c r="C20" s="2624">
        <v>277</v>
      </c>
      <c r="D20" s="2624">
        <f t="shared" si="87"/>
        <v>277</v>
      </c>
      <c r="E20" s="2624">
        <v>459</v>
      </c>
      <c r="F20" s="2625">
        <v>249</v>
      </c>
      <c r="G20" s="3504">
        <v>2015</v>
      </c>
      <c r="H20" s="2638">
        <v>4</v>
      </c>
      <c r="I20" s="2638">
        <v>1.63</v>
      </c>
      <c r="J20" s="2638">
        <v>1.1100000000000001</v>
      </c>
      <c r="K20" s="2638">
        <v>1.77</v>
      </c>
      <c r="L20" s="2639">
        <v>1.89</v>
      </c>
      <c r="N20" s="2640">
        <f t="shared" si="89"/>
        <v>1.6299999999999999E-2</v>
      </c>
      <c r="O20" s="2641">
        <f t="shared" si="85"/>
        <v>1.11E-2</v>
      </c>
      <c r="P20" s="2641">
        <f t="shared" si="85"/>
        <v>1.77E-2</v>
      </c>
      <c r="Q20" s="2641">
        <f t="shared" si="85"/>
        <v>1.89E-2</v>
      </c>
      <c r="R20" s="2629"/>
      <c r="X20" s="2717">
        <f>ROUND(SUMPRODUCT(PRODUCT(1+N20:N$26)),4)</f>
        <v>1.0826</v>
      </c>
      <c r="Y20" s="2717">
        <f>ROUND(SUMPRODUCT(PRODUCT(1+O20:O$26)),4)</f>
        <v>1.0738000000000001</v>
      </c>
      <c r="Z20" s="2717">
        <f t="shared" si="0"/>
        <v>1.0738000000000001</v>
      </c>
      <c r="AA20" s="2717">
        <f>ROUND(SUMPRODUCT(PRODUCT(1+P20:P$26)),4)</f>
        <v>1.0855999999999999</v>
      </c>
      <c r="AB20" s="2717">
        <f>ROUND(SUMPRODUCT(PRODUCT(1+Q20:Q$26)),4)</f>
        <v>1.0837000000000001</v>
      </c>
      <c r="AD20" s="2637">
        <f>ROUND(AVERAGE(I20:I$27)/100,4)</f>
        <v>1.37E-2</v>
      </c>
      <c r="AE20" s="2637">
        <f>ROUND(AVERAGE(J20:J$27)/100,4)</f>
        <v>1.1900000000000001E-2</v>
      </c>
      <c r="AF20" s="2637">
        <f t="shared" si="1"/>
        <v>1.1900000000000001E-2</v>
      </c>
      <c r="AG20" s="2637">
        <f>ROUND(AVERAGE(K20:K$27)/100,4)</f>
        <v>1.4500000000000001E-2</v>
      </c>
      <c r="AH20" s="2637">
        <f>ROUND(AVERAGE(L20:L$27)/100,4)</f>
        <v>1.18E-2</v>
      </c>
    </row>
    <row r="21" spans="1:34">
      <c r="A21" s="2619" t="s">
        <v>966</v>
      </c>
      <c r="B21" s="2632">
        <f t="shared" ref="B21:C23" si="90">B20/(1+N20)</f>
        <v>327.65915576109415</v>
      </c>
      <c r="C21" s="2632">
        <f t="shared" si="90"/>
        <v>273.95905449510434</v>
      </c>
      <c r="D21" s="2632">
        <f t="shared" si="87"/>
        <v>273.95905449510434</v>
      </c>
      <c r="E21" s="2632">
        <f t="shared" ref="E21:F23" si="91">E20/(1+P20)</f>
        <v>451.01699911565294</v>
      </c>
      <c r="F21" s="2632">
        <f t="shared" si="91"/>
        <v>244.38119540681129</v>
      </c>
      <c r="G21" s="3502"/>
      <c r="H21" s="2643">
        <v>3</v>
      </c>
      <c r="I21" s="2643">
        <v>1.65</v>
      </c>
      <c r="J21" s="2643">
        <v>0.92</v>
      </c>
      <c r="K21" s="2643">
        <v>1.88</v>
      </c>
      <c r="L21" s="2644">
        <v>1.26</v>
      </c>
      <c r="N21" s="2627">
        <f t="shared" si="89"/>
        <v>1.6500000000000001E-2</v>
      </c>
      <c r="O21" s="2645">
        <f t="shared" si="85"/>
        <v>9.1999999999999998E-3</v>
      </c>
      <c r="P21" s="2645">
        <f t="shared" si="85"/>
        <v>1.8799999999999997E-2</v>
      </c>
      <c r="Q21" s="2645">
        <f t="shared" si="85"/>
        <v>1.26E-2</v>
      </c>
      <c r="R21" s="2629"/>
      <c r="S21" s="2627"/>
      <c r="T21" s="2628"/>
      <c r="U21" s="2628"/>
      <c r="V21" s="2628"/>
      <c r="X21" s="2717">
        <f>ROUND(SUMPRODUCT(PRODUCT(1+N21:N$26)),4)</f>
        <v>1.0651999999999999</v>
      </c>
      <c r="Y21" s="2717">
        <f>ROUND(SUMPRODUCT(PRODUCT(1+O21:O$26)),4)</f>
        <v>1.0621</v>
      </c>
      <c r="Z21" s="2717">
        <f t="shared" si="0"/>
        <v>1.0621</v>
      </c>
      <c r="AA21" s="2717">
        <f>ROUND(SUMPRODUCT(PRODUCT(1+P21:P$26)),4)</f>
        <v>1.0668</v>
      </c>
      <c r="AB21" s="2717">
        <f>ROUND(SUMPRODUCT(PRODUCT(1+Q21:Q$26)),4)</f>
        <v>1.0636000000000001</v>
      </c>
      <c r="AD21" s="2637">
        <f>ROUND(AVERAGE(I21:I$27)/100,4)</f>
        <v>1.3299999999999999E-2</v>
      </c>
      <c r="AE21" s="2637">
        <f>ROUND(AVERAGE(J21:J$27)/100,4)</f>
        <v>1.2E-2</v>
      </c>
      <c r="AF21" s="2637">
        <f t="shared" si="1"/>
        <v>1.2E-2</v>
      </c>
      <c r="AG21" s="2637">
        <f>ROUND(AVERAGE(K21:K$27)/100,4)</f>
        <v>1.4E-2</v>
      </c>
      <c r="AH21" s="2637">
        <f>ROUND(AVERAGE(L21:L$27)/100,4)</f>
        <v>1.0800000000000001E-2</v>
      </c>
    </row>
    <row r="22" spans="1:34">
      <c r="A22" s="2619" t="s">
        <v>965</v>
      </c>
      <c r="B22" s="2632">
        <f t="shared" si="90"/>
        <v>322.34053690220776</v>
      </c>
      <c r="C22" s="2632">
        <f t="shared" si="90"/>
        <v>271.46160770422546</v>
      </c>
      <c r="D22" s="2632">
        <f t="shared" si="87"/>
        <v>271.46160770422546</v>
      </c>
      <c r="E22" s="2632">
        <f t="shared" si="91"/>
        <v>442.69434542172456</v>
      </c>
      <c r="F22" s="2632">
        <f t="shared" si="91"/>
        <v>241.34030753190925</v>
      </c>
      <c r="G22" s="3502"/>
      <c r="H22" s="2623">
        <v>2</v>
      </c>
      <c r="I22" s="2623">
        <v>0.77</v>
      </c>
      <c r="J22" s="2623">
        <v>0.69</v>
      </c>
      <c r="K22" s="2623">
        <v>0.8</v>
      </c>
      <c r="L22" s="2634">
        <v>0.88</v>
      </c>
      <c r="N22" s="2627">
        <f t="shared" si="89"/>
        <v>7.7000000000000002E-3</v>
      </c>
      <c r="O22" s="2645">
        <f t="shared" si="85"/>
        <v>6.8999999999999999E-3</v>
      </c>
      <c r="P22" s="2645">
        <f t="shared" si="85"/>
        <v>8.0000000000000002E-3</v>
      </c>
      <c r="Q22" s="2645">
        <f t="shared" si="85"/>
        <v>8.8000000000000005E-3</v>
      </c>
      <c r="R22" s="2629"/>
      <c r="S22" s="2627"/>
      <c r="T22" s="2628"/>
      <c r="U22" s="2628"/>
      <c r="V22" s="2628"/>
      <c r="X22" s="2717">
        <f>ROUND(SUMPRODUCT(PRODUCT(1+N22:N$26)),4)</f>
        <v>1.048</v>
      </c>
      <c r="Y22" s="2717">
        <f>ROUND(SUMPRODUCT(PRODUCT(1+O22:O$26)),4)</f>
        <v>1.0524</v>
      </c>
      <c r="Z22" s="2717">
        <f t="shared" si="0"/>
        <v>1.0524</v>
      </c>
      <c r="AA22" s="2717">
        <f>ROUND(SUMPRODUCT(PRODUCT(1+P22:P$26)),4)</f>
        <v>1.0470999999999999</v>
      </c>
      <c r="AB22" s="2717">
        <f>ROUND(SUMPRODUCT(PRODUCT(1+Q22:Q$26)),4)</f>
        <v>1.0504</v>
      </c>
      <c r="AD22" s="2637">
        <f>ROUND(AVERAGE(I22:I$27)/100,4)</f>
        <v>1.2800000000000001E-2</v>
      </c>
      <c r="AE22" s="2637">
        <f>ROUND(AVERAGE(J22:J$27)/100,4)</f>
        <v>1.2500000000000001E-2</v>
      </c>
      <c r="AF22" s="2637">
        <f t="shared" si="1"/>
        <v>1.2500000000000001E-2</v>
      </c>
      <c r="AG22" s="2637">
        <f>ROUND(AVERAGE(K22:K$27)/100,4)</f>
        <v>1.32E-2</v>
      </c>
      <c r="AH22" s="2637">
        <f>ROUND(AVERAGE(L22:L$27)/100,4)</f>
        <v>1.0500000000000001E-2</v>
      </c>
    </row>
    <row r="23" spans="1:34">
      <c r="A23" s="2619" t="s">
        <v>964</v>
      </c>
      <c r="B23" s="2632">
        <f t="shared" si="90"/>
        <v>319.87748030386797</v>
      </c>
      <c r="C23" s="2632">
        <f t="shared" si="90"/>
        <v>269.60135833173649</v>
      </c>
      <c r="D23" s="2632">
        <f t="shared" si="87"/>
        <v>269.60135833173649</v>
      </c>
      <c r="E23" s="2632">
        <f t="shared" si="91"/>
        <v>439.18089823583784</v>
      </c>
      <c r="F23" s="2632">
        <f t="shared" si="91"/>
        <v>239.23503918706311</v>
      </c>
      <c r="G23" s="3505"/>
      <c r="H23" s="2622">
        <v>1</v>
      </c>
      <c r="I23" s="2622">
        <v>0.51</v>
      </c>
      <c r="J23" s="2622">
        <v>0.54</v>
      </c>
      <c r="K23" s="2622">
        <v>0.48</v>
      </c>
      <c r="L23" s="2633">
        <v>0.93</v>
      </c>
      <c r="N23" s="2635">
        <f t="shared" si="89"/>
        <v>5.1000000000000004E-3</v>
      </c>
      <c r="O23" s="2636">
        <f t="shared" si="85"/>
        <v>5.4000000000000003E-3</v>
      </c>
      <c r="P23" s="2636">
        <f t="shared" si="85"/>
        <v>4.7999999999999996E-3</v>
      </c>
      <c r="Q23" s="2636">
        <f t="shared" si="85"/>
        <v>9.300000000000001E-3</v>
      </c>
      <c r="R23" s="2629"/>
      <c r="S23" s="2635">
        <f>B23/B24-1</f>
        <v>5.9040261127922822E-3</v>
      </c>
      <c r="T23" s="2636">
        <f>C23/C24-1</f>
        <v>5.9752176557332781E-3</v>
      </c>
      <c r="U23" s="2636">
        <f>E23/E24-1</f>
        <v>4.9906138119859556E-3</v>
      </c>
      <c r="V23" s="2636">
        <f>F23/F24-1</f>
        <v>9.4305450930933787E-3</v>
      </c>
      <c r="X23" s="2717">
        <f>ROUND(SUMPRODUCT(PRODUCT(1+N23:N$26)),4)</f>
        <v>1.0399</v>
      </c>
      <c r="Y23" s="2717">
        <f>ROUND(SUMPRODUCT(PRODUCT(1+O23:O$26)),4)</f>
        <v>1.0451999999999999</v>
      </c>
      <c r="Z23" s="2717">
        <f t="shared" si="0"/>
        <v>1.0451999999999999</v>
      </c>
      <c r="AA23" s="2717">
        <f>ROUND(SUMPRODUCT(PRODUCT(1+P23:P$26)),4)</f>
        <v>1.0387999999999999</v>
      </c>
      <c r="AB23" s="2717">
        <f>ROUND(SUMPRODUCT(PRODUCT(1+Q23:Q$26)),4)</f>
        <v>1.0411999999999999</v>
      </c>
      <c r="AD23" s="2637">
        <f>ROUND(AVERAGE(I23:I$27)/100,4)</f>
        <v>1.38E-2</v>
      </c>
      <c r="AE23" s="2637">
        <f>ROUND(AVERAGE(J23:J$27)/100,4)</f>
        <v>1.3599999999999999E-2</v>
      </c>
      <c r="AF23" s="2637">
        <f t="shared" si="1"/>
        <v>1.3599999999999999E-2</v>
      </c>
      <c r="AG23" s="2637">
        <f>ROUND(AVERAGE(K23:K$27)/100,4)</f>
        <v>1.4200000000000001E-2</v>
      </c>
      <c r="AH23" s="2637">
        <f>ROUND(AVERAGE(L23:L$27)/100,4)</f>
        <v>1.0800000000000001E-2</v>
      </c>
    </row>
    <row r="24" spans="1:34" ht="13.5" thickBot="1">
      <c r="A24" s="2619" t="s">
        <v>963</v>
      </c>
      <c r="B24" s="2646">
        <v>318</v>
      </c>
      <c r="C24" s="2646">
        <v>268</v>
      </c>
      <c r="D24" s="2646">
        <f t="shared" si="87"/>
        <v>268</v>
      </c>
      <c r="E24" s="2646">
        <v>437</v>
      </c>
      <c r="F24" s="2647">
        <v>237</v>
      </c>
      <c r="G24" s="3504">
        <v>2014</v>
      </c>
      <c r="H24" s="2638">
        <v>4</v>
      </c>
      <c r="I24" s="2638">
        <v>0.21</v>
      </c>
      <c r="J24" s="2638">
        <v>0.41</v>
      </c>
      <c r="K24" s="2638">
        <v>0.12</v>
      </c>
      <c r="L24" s="2639">
        <v>0.89</v>
      </c>
      <c r="N24" s="2627">
        <f t="shared" si="89"/>
        <v>2.0999999999999999E-3</v>
      </c>
      <c r="O24" s="2628">
        <f t="shared" si="85"/>
        <v>4.0999999999999995E-3</v>
      </c>
      <c r="P24" s="2628">
        <f t="shared" si="85"/>
        <v>1.1999999999999999E-3</v>
      </c>
      <c r="Q24" s="2628">
        <f t="shared" si="85"/>
        <v>8.8999999999999999E-3</v>
      </c>
      <c r="R24" s="2629"/>
      <c r="S24" s="2630"/>
      <c r="T24" s="2631"/>
      <c r="U24" s="2631"/>
      <c r="V24" s="2631"/>
      <c r="X24" s="2717">
        <f>ROUND(SUMPRODUCT(PRODUCT(1+N24:N$26)),4)</f>
        <v>1.0347</v>
      </c>
      <c r="Y24" s="2717">
        <f>ROUND(SUMPRODUCT(PRODUCT(1+O24:O$26)),4)</f>
        <v>1.0395000000000001</v>
      </c>
      <c r="Z24" s="2717">
        <f t="shared" si="0"/>
        <v>1.0395000000000001</v>
      </c>
      <c r="AA24" s="2717">
        <f>ROUND(SUMPRODUCT(PRODUCT(1+P24:P$26)),4)</f>
        <v>1.0338000000000001</v>
      </c>
      <c r="AB24" s="2717">
        <f>ROUND(SUMPRODUCT(PRODUCT(1+Q24:Q$26)),4)</f>
        <v>1.0316000000000001</v>
      </c>
      <c r="AD24" s="2637">
        <f>ROUND(AVERAGE(I24:I$27)/100,4)</f>
        <v>1.6E-2</v>
      </c>
      <c r="AE24" s="2637">
        <f>ROUND(AVERAGE(J24:J$27)/100,4)</f>
        <v>1.5599999999999999E-2</v>
      </c>
      <c r="AF24" s="2637">
        <f t="shared" si="1"/>
        <v>1.5599999999999999E-2</v>
      </c>
      <c r="AG24" s="2637">
        <f>ROUND(AVERAGE(K24:K$27)/100,4)</f>
        <v>1.66E-2</v>
      </c>
      <c r="AH24" s="2637">
        <f>ROUND(AVERAGE(L24:L$27)/100,4)</f>
        <v>1.12E-2</v>
      </c>
    </row>
    <row r="25" spans="1:34">
      <c r="A25" s="2619" t="s">
        <v>962</v>
      </c>
      <c r="B25" s="2632">
        <f t="shared" ref="B25:C27" si="92">B24/(1+N24)</f>
        <v>317.33359944117353</v>
      </c>
      <c r="C25" s="2632">
        <f t="shared" si="92"/>
        <v>266.90568668459315</v>
      </c>
      <c r="D25" s="2632">
        <f t="shared" si="87"/>
        <v>266.90568668459315</v>
      </c>
      <c r="E25" s="2632">
        <f t="shared" ref="E25:F27" si="93">E24/(1+P24)</f>
        <v>436.47622852576905</v>
      </c>
      <c r="F25" s="2632">
        <f t="shared" si="93"/>
        <v>234.90930716622066</v>
      </c>
      <c r="G25" s="3502"/>
      <c r="H25" s="2648">
        <v>3</v>
      </c>
      <c r="I25" s="2648">
        <v>0.83</v>
      </c>
      <c r="J25" s="2648">
        <v>1.47</v>
      </c>
      <c r="K25" s="2648">
        <v>0.65</v>
      </c>
      <c r="L25" s="2649">
        <v>0.72</v>
      </c>
      <c r="N25" s="2627">
        <f t="shared" si="89"/>
        <v>8.3000000000000001E-3</v>
      </c>
      <c r="O25" s="2628">
        <f t="shared" si="85"/>
        <v>1.47E-2</v>
      </c>
      <c r="P25" s="2628">
        <f t="shared" si="85"/>
        <v>6.5000000000000006E-3</v>
      </c>
      <c r="Q25" s="2628">
        <f t="shared" si="85"/>
        <v>7.1999999999999998E-3</v>
      </c>
      <c r="R25" s="2629"/>
      <c r="S25" s="2627"/>
      <c r="T25" s="2628"/>
      <c r="U25" s="2628"/>
      <c r="V25" s="2628"/>
      <c r="X25" s="2717">
        <f>ROUND(SUMPRODUCT(PRODUCT(1+N25:N$26)),4)</f>
        <v>1.0325</v>
      </c>
      <c r="Y25" s="2717">
        <f>ROUND(SUMPRODUCT(PRODUCT(1+O25:O$26)),4)</f>
        <v>1.0353000000000001</v>
      </c>
      <c r="Z25" s="2717">
        <f t="shared" ref="Z25:Z26" si="94">Y25</f>
        <v>1.0353000000000001</v>
      </c>
      <c r="AA25" s="2717">
        <f>ROUND(SUMPRODUCT(PRODUCT(1+P25:P$26)),4)</f>
        <v>1.0326</v>
      </c>
      <c r="AB25" s="2717">
        <f>ROUND(SUMPRODUCT(PRODUCT(1+Q25:Q$26)),4)</f>
        <v>1.0225</v>
      </c>
      <c r="AD25" s="2637">
        <f>ROUND(AVERAGE(I25:I$27)/100,4)</f>
        <v>2.07E-2</v>
      </c>
      <c r="AE25" s="2637">
        <f>ROUND(AVERAGE(J25:J$27)/100,4)</f>
        <v>1.95E-2</v>
      </c>
      <c r="AF25" s="2637">
        <f t="shared" si="1"/>
        <v>1.95E-2</v>
      </c>
      <c r="AG25" s="2637">
        <f>ROUND(AVERAGE(K25:K$27)/100,4)</f>
        <v>2.1700000000000001E-2</v>
      </c>
      <c r="AH25" s="2637">
        <f>ROUND(AVERAGE(L25:L$27)/100,4)</f>
        <v>1.2E-2</v>
      </c>
    </row>
    <row r="26" spans="1:34" ht="13.5" thickBot="1">
      <c r="A26" s="2619" t="s">
        <v>961</v>
      </c>
      <c r="B26" s="2632">
        <f t="shared" si="92"/>
        <v>314.72141172386546</v>
      </c>
      <c r="C26" s="2632">
        <f t="shared" si="92"/>
        <v>263.03901319069001</v>
      </c>
      <c r="D26" s="2632">
        <f t="shared" si="87"/>
        <v>263.03901319069001</v>
      </c>
      <c r="E26" s="2632">
        <f t="shared" si="93"/>
        <v>433.65745506782821</v>
      </c>
      <c r="F26" s="2632">
        <f t="shared" si="93"/>
        <v>233.23005080045735</v>
      </c>
      <c r="G26" s="3502"/>
      <c r="H26" s="2638">
        <v>2</v>
      </c>
      <c r="I26" s="2638">
        <v>2.4</v>
      </c>
      <c r="J26" s="2638">
        <v>2.0299999999999998</v>
      </c>
      <c r="K26" s="2638">
        <v>2.59</v>
      </c>
      <c r="L26" s="2639">
        <v>1.52</v>
      </c>
      <c r="N26" s="2627">
        <f t="shared" si="89"/>
        <v>2.4E-2</v>
      </c>
      <c r="O26" s="2628">
        <f t="shared" si="85"/>
        <v>2.0299999999999999E-2</v>
      </c>
      <c r="P26" s="2628">
        <f t="shared" si="85"/>
        <v>2.5899999999999999E-2</v>
      </c>
      <c r="Q26" s="2628">
        <f t="shared" si="85"/>
        <v>1.52E-2</v>
      </c>
      <c r="R26" s="2629"/>
      <c r="S26" s="2627"/>
      <c r="T26" s="2628"/>
      <c r="U26" s="2628"/>
      <c r="V26" s="2628"/>
      <c r="X26" s="2717">
        <f>1+N26</f>
        <v>1.024</v>
      </c>
      <c r="Y26" s="2717">
        <f>1+O26</f>
        <v>1.0203</v>
      </c>
      <c r="Z26" s="2717">
        <f t="shared" si="94"/>
        <v>1.0203</v>
      </c>
      <c r="AA26" s="2717">
        <f>1+P26</f>
        <v>1.0259</v>
      </c>
      <c r="AB26" s="2717">
        <f>1+Q26</f>
        <v>1.0152000000000001</v>
      </c>
      <c r="AD26" s="2637">
        <f>ROUND(AVERAGE(I26:I$27)/100,4)</f>
        <v>2.69E-2</v>
      </c>
      <c r="AE26" s="2637">
        <f>ROUND(AVERAGE(J26:J$27)/100,4)</f>
        <v>2.1899999999999999E-2</v>
      </c>
      <c r="AF26" s="2637">
        <f t="shared" ref="AF26" si="95">AE26</f>
        <v>2.1899999999999999E-2</v>
      </c>
      <c r="AG26" s="2637">
        <f>ROUND(AVERAGE(K26:K$27)/100,4)</f>
        <v>2.9399999999999999E-2</v>
      </c>
      <c r="AH26" s="2637">
        <f>ROUND(AVERAGE(L26:L$27)/100,4)</f>
        <v>1.44E-2</v>
      </c>
    </row>
    <row r="27" spans="1:34" s="2654" customFormat="1" ht="13.5" thickBot="1">
      <c r="A27" s="2650" t="s">
        <v>960</v>
      </c>
      <c r="B27" s="2651">
        <f t="shared" si="92"/>
        <v>307.34512863658733</v>
      </c>
      <c r="C27" s="2651">
        <f t="shared" si="92"/>
        <v>257.80556031626975</v>
      </c>
      <c r="D27" s="2651">
        <f t="shared" si="87"/>
        <v>257.80556031626975</v>
      </c>
      <c r="E27" s="2651">
        <f t="shared" si="93"/>
        <v>422.70928459677179</v>
      </c>
      <c r="F27" s="2651">
        <f t="shared" si="93"/>
        <v>229.73803270336617</v>
      </c>
      <c r="G27" s="3505"/>
      <c r="H27" s="2652">
        <v>1</v>
      </c>
      <c r="I27" s="2652">
        <v>2.97</v>
      </c>
      <c r="J27" s="2652">
        <v>2.34</v>
      </c>
      <c r="K27" s="2652">
        <v>3.28</v>
      </c>
      <c r="L27" s="2653">
        <v>1.36</v>
      </c>
      <c r="N27" s="2655">
        <f t="shared" si="89"/>
        <v>2.9700000000000001E-2</v>
      </c>
      <c r="O27" s="2656">
        <f t="shared" si="85"/>
        <v>2.3399999999999997E-2</v>
      </c>
      <c r="P27" s="2656">
        <f t="shared" si="85"/>
        <v>3.2799999999999996E-2</v>
      </c>
      <c r="Q27" s="2656">
        <f t="shared" si="85"/>
        <v>1.3600000000000001E-2</v>
      </c>
      <c r="R27" s="2657"/>
      <c r="S27" s="2658">
        <f>B27/B28-1</f>
        <v>2.7910129219355539E-2</v>
      </c>
      <c r="T27" s="2659">
        <f>C27/C28-1</f>
        <v>2.3037937762975247E-2</v>
      </c>
      <c r="U27" s="2659">
        <f>E27/E28-1</f>
        <v>3.3519033243940788E-2</v>
      </c>
      <c r="V27" s="2659">
        <f>F27/F28-1</f>
        <v>1.2061818076502862E-2</v>
      </c>
      <c r="W27" s="2726" t="s">
        <v>2637</v>
      </c>
      <c r="X27" s="2728">
        <v>1</v>
      </c>
      <c r="Y27" s="2728">
        <v>1</v>
      </c>
      <c r="Z27" s="2728">
        <v>1</v>
      </c>
      <c r="AA27" s="2728">
        <v>1</v>
      </c>
      <c r="AB27" s="2728">
        <v>1</v>
      </c>
      <c r="AD27" s="2961">
        <f>I27/100</f>
        <v>2.9700000000000001E-2</v>
      </c>
      <c r="AE27" s="2961">
        <f>J27/100</f>
        <v>2.3399999999999997E-2</v>
      </c>
      <c r="AF27" s="2961">
        <f>AE27</f>
        <v>2.3399999999999997E-2</v>
      </c>
      <c r="AG27" s="2961">
        <f>K27/100</f>
        <v>3.2799999999999996E-2</v>
      </c>
      <c r="AH27" s="2961">
        <f>L27/100</f>
        <v>1.3600000000000001E-2</v>
      </c>
    </row>
    <row r="28" spans="1:34" ht="13.5" thickBot="1">
      <c r="A28" s="2619" t="s">
        <v>2580</v>
      </c>
      <c r="B28" s="2624">
        <v>299</v>
      </c>
      <c r="C28" s="2624">
        <v>252</v>
      </c>
      <c r="D28" s="2624">
        <f t="shared" si="87"/>
        <v>252</v>
      </c>
      <c r="E28" s="2624">
        <v>409</v>
      </c>
      <c r="F28" s="2625">
        <v>227</v>
      </c>
      <c r="G28" s="3509">
        <v>2013</v>
      </c>
      <c r="H28" s="2660">
        <v>4</v>
      </c>
      <c r="I28" s="2660">
        <v>1.83</v>
      </c>
      <c r="J28" s="2660">
        <v>1.68</v>
      </c>
      <c r="K28" s="2660">
        <v>1.97</v>
      </c>
      <c r="L28" s="2661">
        <v>0.87</v>
      </c>
      <c r="N28" s="2640">
        <f t="shared" si="89"/>
        <v>1.83E-2</v>
      </c>
      <c r="O28" s="2641">
        <f t="shared" si="85"/>
        <v>1.6799999999999999E-2</v>
      </c>
      <c r="P28" s="2641">
        <f t="shared" si="85"/>
        <v>1.9699999999999999E-2</v>
      </c>
      <c r="Q28" s="2641">
        <f t="shared" si="85"/>
        <v>8.6999999999999994E-3</v>
      </c>
      <c r="R28" s="2629"/>
      <c r="S28" s="2630"/>
      <c r="T28" s="2631"/>
      <c r="U28" s="2631"/>
      <c r="V28" s="2631"/>
      <c r="X28" s="2631"/>
      <c r="Y28" s="2631"/>
      <c r="Z28" s="2631"/>
    </row>
    <row r="29" spans="1:34">
      <c r="A29" s="2619" t="s">
        <v>2581</v>
      </c>
      <c r="B29" s="2632">
        <f t="shared" ref="B29:C31" si="96">B28/(1+N28)</f>
        <v>293.62663262299913</v>
      </c>
      <c r="C29" s="2632">
        <f t="shared" si="96"/>
        <v>247.83634933123525</v>
      </c>
      <c r="D29" s="2632">
        <f t="shared" si="87"/>
        <v>247.83634933123525</v>
      </c>
      <c r="E29" s="2632">
        <f t="shared" ref="E29:F31" si="97">E28/(1+P28)</f>
        <v>401.09836226341076</v>
      </c>
      <c r="F29" s="2632">
        <f t="shared" si="97"/>
        <v>225.04213343908003</v>
      </c>
      <c r="G29" s="3510"/>
      <c r="H29" s="2643">
        <v>3</v>
      </c>
      <c r="I29" s="2643">
        <v>1.86</v>
      </c>
      <c r="J29" s="2643">
        <v>1.72</v>
      </c>
      <c r="K29" s="2643">
        <v>1.98</v>
      </c>
      <c r="L29" s="2644">
        <v>0.88</v>
      </c>
      <c r="N29" s="2627">
        <f t="shared" si="89"/>
        <v>1.8600000000000002E-2</v>
      </c>
      <c r="O29" s="2645">
        <f t="shared" si="85"/>
        <v>1.72E-2</v>
      </c>
      <c r="P29" s="2645">
        <f t="shared" si="85"/>
        <v>1.9799999999999998E-2</v>
      </c>
      <c r="Q29" s="2645">
        <f t="shared" si="85"/>
        <v>8.8000000000000005E-3</v>
      </c>
      <c r="R29" s="2629"/>
      <c r="S29" s="2627"/>
      <c r="T29" s="2628"/>
      <c r="U29" s="2628"/>
      <c r="V29" s="2628"/>
    </row>
    <row r="30" spans="1:34">
      <c r="A30" s="2619" t="s">
        <v>2582</v>
      </c>
      <c r="B30" s="2632">
        <f t="shared" si="96"/>
        <v>288.2649053828776</v>
      </c>
      <c r="C30" s="2632">
        <f t="shared" si="96"/>
        <v>243.64564425013293</v>
      </c>
      <c r="D30" s="2632">
        <f t="shared" si="87"/>
        <v>243.64564425013293</v>
      </c>
      <c r="E30" s="2632">
        <f t="shared" si="97"/>
        <v>393.31080825986544</v>
      </c>
      <c r="F30" s="2632">
        <f t="shared" si="97"/>
        <v>223.07903790551154</v>
      </c>
      <c r="G30" s="3510"/>
      <c r="H30" s="2623">
        <v>2</v>
      </c>
      <c r="I30" s="2623">
        <v>2.04</v>
      </c>
      <c r="J30" s="2623">
        <v>2.33</v>
      </c>
      <c r="K30" s="2623">
        <v>2.0699999999999998</v>
      </c>
      <c r="L30" s="2634">
        <v>0.69</v>
      </c>
      <c r="N30" s="2627">
        <f t="shared" si="89"/>
        <v>2.0400000000000001E-2</v>
      </c>
      <c r="O30" s="2645">
        <f t="shared" si="85"/>
        <v>2.3300000000000001E-2</v>
      </c>
      <c r="P30" s="2645">
        <f t="shared" si="85"/>
        <v>2.07E-2</v>
      </c>
      <c r="Q30" s="2645">
        <f t="shared" si="85"/>
        <v>6.8999999999999999E-3</v>
      </c>
      <c r="R30" s="2629"/>
      <c r="S30" s="2627"/>
      <c r="T30" s="2628"/>
      <c r="U30" s="2628"/>
      <c r="V30" s="2628"/>
      <c r="X30" s="2729"/>
      <c r="Y30" s="2731"/>
    </row>
    <row r="31" spans="1:34">
      <c r="A31" s="2619" t="s">
        <v>2583</v>
      </c>
      <c r="B31" s="2632">
        <f t="shared" si="96"/>
        <v>282.50186729015837</v>
      </c>
      <c r="C31" s="2632">
        <f t="shared" si="96"/>
        <v>238.09796174155468</v>
      </c>
      <c r="D31" s="2632">
        <f t="shared" si="87"/>
        <v>238.09796174155468</v>
      </c>
      <c r="E31" s="2632">
        <f t="shared" si="97"/>
        <v>385.33438646014054</v>
      </c>
      <c r="F31" s="2632">
        <f t="shared" si="97"/>
        <v>221.55034055567739</v>
      </c>
      <c r="G31" s="3511"/>
      <c r="H31" s="2622">
        <v>1</v>
      </c>
      <c r="I31" s="2622">
        <v>1.67</v>
      </c>
      <c r="J31" s="2622">
        <v>1.31</v>
      </c>
      <c r="K31" s="2622">
        <v>1.85</v>
      </c>
      <c r="L31" s="2633">
        <v>0.96</v>
      </c>
      <c r="N31" s="2635">
        <f t="shared" si="89"/>
        <v>1.67E-2</v>
      </c>
      <c r="O31" s="2636">
        <f t="shared" si="85"/>
        <v>1.3100000000000001E-2</v>
      </c>
      <c r="P31" s="2636">
        <f t="shared" si="85"/>
        <v>1.8500000000000003E-2</v>
      </c>
      <c r="Q31" s="2636">
        <f t="shared" si="85"/>
        <v>9.5999999999999992E-3</v>
      </c>
      <c r="R31" s="2629"/>
      <c r="S31" s="2635">
        <f>B31/B32-1</f>
        <v>1.6193767230785472E-2</v>
      </c>
      <c r="T31" s="2636">
        <f>C31/C32-1</f>
        <v>1.7512657015190891E-2</v>
      </c>
      <c r="U31" s="2636">
        <f>E31/E32-1</f>
        <v>1.6713420739157048E-2</v>
      </c>
      <c r="V31" s="2636">
        <f>F31/F32-1</f>
        <v>7.0470025258062563E-3</v>
      </c>
      <c r="X31" s="2730"/>
      <c r="Y31" s="2637"/>
      <c r="Z31" s="2637"/>
    </row>
    <row r="32" spans="1:34" ht="13.5" thickBot="1">
      <c r="A32" s="2619" t="s">
        <v>2584</v>
      </c>
      <c r="B32" s="2662">
        <v>278</v>
      </c>
      <c r="C32" s="2662">
        <v>234</v>
      </c>
      <c r="D32" s="2662">
        <f t="shared" si="87"/>
        <v>234</v>
      </c>
      <c r="E32" s="2662">
        <v>379</v>
      </c>
      <c r="F32" s="2663">
        <v>220</v>
      </c>
      <c r="G32" s="3504">
        <v>2012</v>
      </c>
      <c r="H32" s="2638">
        <v>4</v>
      </c>
      <c r="I32" s="2638">
        <v>0.91</v>
      </c>
      <c r="J32" s="2638">
        <v>0.68</v>
      </c>
      <c r="K32" s="2638">
        <v>0.98</v>
      </c>
      <c r="L32" s="2639">
        <v>0.9</v>
      </c>
      <c r="N32" s="2627">
        <f t="shared" si="89"/>
        <v>9.1000000000000004E-3</v>
      </c>
      <c r="O32" s="2628">
        <f t="shared" si="89"/>
        <v>6.8000000000000005E-3</v>
      </c>
      <c r="P32" s="2628">
        <f t="shared" si="89"/>
        <v>9.7999999999999997E-3</v>
      </c>
      <c r="Q32" s="2628">
        <f t="shared" si="89"/>
        <v>9.0000000000000011E-3</v>
      </c>
      <c r="R32" s="2629"/>
      <c r="S32" s="2630"/>
      <c r="T32" s="2631"/>
      <c r="U32" s="2631"/>
      <c r="V32" s="2631"/>
      <c r="X32" s="2631"/>
      <c r="Y32" s="2631"/>
      <c r="Z32" s="2631"/>
    </row>
    <row r="33" spans="1:26">
      <c r="A33" s="2619" t="s">
        <v>2585</v>
      </c>
      <c r="B33" s="2632">
        <f>B32/(1+N32)</f>
        <v>275.49301357645425</v>
      </c>
      <c r="C33" s="2632">
        <f>C32/(1+O32)</f>
        <v>232.41954707985698</v>
      </c>
      <c r="D33" s="2632">
        <f t="shared" si="87"/>
        <v>232.41954707985698</v>
      </c>
      <c r="E33" s="2632">
        <f t="shared" ref="E33:F35" si="98">E32/(1+P32)</f>
        <v>375.32184591008121</v>
      </c>
      <c r="F33" s="2632">
        <f t="shared" si="98"/>
        <v>218.03766105054513</v>
      </c>
      <c r="G33" s="3502"/>
      <c r="H33" s="2643">
        <v>3</v>
      </c>
      <c r="I33" s="2643">
        <v>0.09</v>
      </c>
      <c r="J33" s="2643">
        <v>0.28999999999999998</v>
      </c>
      <c r="K33" s="2643">
        <v>-0.01</v>
      </c>
      <c r="L33" s="2644">
        <v>0.57999999999999996</v>
      </c>
      <c r="N33" s="2627">
        <f t="shared" si="89"/>
        <v>8.9999999999999998E-4</v>
      </c>
      <c r="O33" s="2628">
        <f t="shared" si="89"/>
        <v>2.8999999999999998E-3</v>
      </c>
      <c r="P33" s="2628">
        <f t="shared" si="89"/>
        <v>-1E-4</v>
      </c>
      <c r="Q33" s="2628">
        <f t="shared" si="89"/>
        <v>5.7999999999999996E-3</v>
      </c>
      <c r="R33" s="2629"/>
      <c r="S33" s="2627"/>
      <c r="T33" s="2628"/>
      <c r="U33" s="2628"/>
      <c r="V33" s="2628"/>
    </row>
    <row r="34" spans="1:26">
      <c r="A34" s="2619" t="s">
        <v>2586</v>
      </c>
      <c r="B34" s="2632">
        <f>B33/(1+N33)</f>
        <v>275.24529281292263</v>
      </c>
      <c r="C34" s="2632">
        <f>C33/(1+O33)</f>
        <v>231.74747938962707</v>
      </c>
      <c r="D34" s="2632">
        <f t="shared" si="87"/>
        <v>231.74747938962707</v>
      </c>
      <c r="E34" s="2632">
        <f t="shared" si="98"/>
        <v>375.35938184826603</v>
      </c>
      <c r="F34" s="2632">
        <f t="shared" si="98"/>
        <v>216.78033510692495</v>
      </c>
      <c r="G34" s="3502"/>
      <c r="H34" s="2623">
        <v>2</v>
      </c>
      <c r="I34" s="2623">
        <v>0.02</v>
      </c>
      <c r="J34" s="2623">
        <v>0.12</v>
      </c>
      <c r="K34" s="2623">
        <v>-0.08</v>
      </c>
      <c r="L34" s="2634">
        <v>1.24</v>
      </c>
      <c r="N34" s="2627">
        <f t="shared" si="89"/>
        <v>2.0000000000000001E-4</v>
      </c>
      <c r="O34" s="2628">
        <f t="shared" si="89"/>
        <v>1.1999999999999999E-3</v>
      </c>
      <c r="P34" s="2628">
        <f t="shared" si="89"/>
        <v>-8.0000000000000004E-4</v>
      </c>
      <c r="Q34" s="2628">
        <f t="shared" si="89"/>
        <v>1.24E-2</v>
      </c>
      <c r="R34" s="2629"/>
      <c r="S34" s="2627"/>
      <c r="T34" s="2628"/>
      <c r="U34" s="2628"/>
      <c r="V34" s="2628"/>
    </row>
    <row r="35" spans="1:26" ht="13.5" thickBot="1">
      <c r="A35" s="2619" t="s">
        <v>2587</v>
      </c>
      <c r="B35" s="2632">
        <f>B34/(1+N34)</f>
        <v>275.19025476197027</v>
      </c>
      <c r="C35" s="2664">
        <v>232</v>
      </c>
      <c r="D35" s="2664">
        <f t="shared" si="87"/>
        <v>232</v>
      </c>
      <c r="E35" s="2632">
        <f t="shared" si="98"/>
        <v>375.65990977608692</v>
      </c>
      <c r="F35" s="2632">
        <f t="shared" si="98"/>
        <v>214.12518283971252</v>
      </c>
      <c r="G35" s="3505"/>
      <c r="H35" s="2622">
        <v>1</v>
      </c>
      <c r="I35" s="2622">
        <v>0.02</v>
      </c>
      <c r="J35" s="2622">
        <v>0.13</v>
      </c>
      <c r="K35" s="2622">
        <v>-0.04</v>
      </c>
      <c r="L35" s="2633">
        <v>0.46</v>
      </c>
      <c r="N35" s="2627">
        <f t="shared" si="89"/>
        <v>2.0000000000000001E-4</v>
      </c>
      <c r="O35" s="2628">
        <f t="shared" si="89"/>
        <v>1.2999999999999999E-3</v>
      </c>
      <c r="P35" s="2628">
        <f t="shared" si="89"/>
        <v>-4.0000000000000002E-4</v>
      </c>
      <c r="Q35" s="2628">
        <f t="shared" si="89"/>
        <v>4.5999999999999999E-3</v>
      </c>
      <c r="R35" s="2629"/>
      <c r="S35" s="2635">
        <f>B35/B36-1</f>
        <v>6.9183549807361189E-4</v>
      </c>
      <c r="T35" s="2636">
        <f>C35/C36-1</f>
        <v>0</v>
      </c>
      <c r="U35" s="2636">
        <f>E35/E36-1</f>
        <v>-9.0449527636460303E-4</v>
      </c>
      <c r="V35" s="2636">
        <f>F35/F36-1</f>
        <v>5.2825485432512753E-3</v>
      </c>
      <c r="X35" s="2637"/>
      <c r="Y35" s="2637"/>
      <c r="Z35" s="2637"/>
    </row>
    <row r="36" spans="1:26" ht="13.5" thickBot="1">
      <c r="A36" s="2619" t="s">
        <v>2588</v>
      </c>
      <c r="B36" s="2624">
        <v>275</v>
      </c>
      <c r="C36" s="2624">
        <v>232</v>
      </c>
      <c r="D36" s="2624">
        <f t="shared" si="87"/>
        <v>232</v>
      </c>
      <c r="E36" s="2624">
        <v>376</v>
      </c>
      <c r="F36" s="2625">
        <v>213</v>
      </c>
      <c r="G36" s="3504">
        <v>2011</v>
      </c>
      <c r="H36" s="2638">
        <v>4</v>
      </c>
      <c r="I36" s="2638">
        <v>-0.2</v>
      </c>
      <c r="J36" s="2638">
        <v>0.04</v>
      </c>
      <c r="K36" s="2638">
        <v>-0.34</v>
      </c>
      <c r="L36" s="2639">
        <v>0.46</v>
      </c>
      <c r="N36" s="2640">
        <f t="shared" si="89"/>
        <v>-2E-3</v>
      </c>
      <c r="O36" s="2641">
        <f t="shared" si="89"/>
        <v>4.0000000000000002E-4</v>
      </c>
      <c r="P36" s="2641">
        <f t="shared" si="89"/>
        <v>-3.4000000000000002E-3</v>
      </c>
      <c r="Q36" s="2641">
        <f t="shared" si="89"/>
        <v>4.5999999999999999E-3</v>
      </c>
      <c r="R36" s="2629"/>
      <c r="S36" s="2630"/>
      <c r="T36" s="2631"/>
      <c r="U36" s="2631"/>
      <c r="V36" s="2631"/>
      <c r="X36" s="2631"/>
      <c r="Y36" s="2631"/>
      <c r="Z36" s="2631"/>
    </row>
    <row r="37" spans="1:26">
      <c r="A37" s="2619" t="s">
        <v>2589</v>
      </c>
      <c r="B37" s="2632">
        <f t="shared" ref="B37:C39" si="99">B36/(1+N36)</f>
        <v>275.55110220440883</v>
      </c>
      <c r="C37" s="2632">
        <f t="shared" si="99"/>
        <v>231.90723710515795</v>
      </c>
      <c r="D37" s="2632">
        <f t="shared" si="87"/>
        <v>231.90723710515795</v>
      </c>
      <c r="E37" s="2632">
        <f t="shared" ref="E37:F39" si="100">E36/(1+P36)</f>
        <v>377.28276138872161</v>
      </c>
      <c r="F37" s="2632">
        <f t="shared" si="100"/>
        <v>212.02468644236512</v>
      </c>
      <c r="G37" s="3502">
        <v>2011</v>
      </c>
      <c r="H37" s="2643">
        <v>3</v>
      </c>
      <c r="I37" s="2643">
        <v>0.13</v>
      </c>
      <c r="J37" s="2643">
        <v>0.75</v>
      </c>
      <c r="K37" s="2643">
        <v>-0.08</v>
      </c>
      <c r="L37" s="2644">
        <v>0.53</v>
      </c>
      <c r="N37" s="2627">
        <f t="shared" si="89"/>
        <v>1.2999999999999999E-3</v>
      </c>
      <c r="O37" s="2645">
        <f t="shared" si="89"/>
        <v>7.4999999999999997E-3</v>
      </c>
      <c r="P37" s="2645">
        <f t="shared" si="89"/>
        <v>-8.0000000000000004E-4</v>
      </c>
      <c r="Q37" s="2645">
        <f t="shared" si="89"/>
        <v>5.3E-3</v>
      </c>
      <c r="R37" s="2629"/>
      <c r="S37" s="2627"/>
      <c r="T37" s="2628"/>
      <c r="U37" s="2628"/>
      <c r="V37" s="2628"/>
    </row>
    <row r="38" spans="1:26">
      <c r="A38" s="2619" t="s">
        <v>2590</v>
      </c>
      <c r="B38" s="2632">
        <f t="shared" si="99"/>
        <v>275.19335084830601</v>
      </c>
      <c r="C38" s="2632">
        <f t="shared" si="99"/>
        <v>230.18088050139744</v>
      </c>
      <c r="D38" s="2632">
        <f t="shared" si="87"/>
        <v>230.18088050139744</v>
      </c>
      <c r="E38" s="2632">
        <f t="shared" si="100"/>
        <v>377.58482925212331</v>
      </c>
      <c r="F38" s="2632">
        <f t="shared" si="100"/>
        <v>210.90687997847917</v>
      </c>
      <c r="G38" s="3502">
        <v>2011</v>
      </c>
      <c r="H38" s="2623">
        <v>2</v>
      </c>
      <c r="I38" s="2623">
        <v>-0.4</v>
      </c>
      <c r="J38" s="2623">
        <v>0.17</v>
      </c>
      <c r="K38" s="2623">
        <v>-0.57999999999999996</v>
      </c>
      <c r="L38" s="2634">
        <v>-0.2</v>
      </c>
      <c r="N38" s="2627">
        <f t="shared" si="89"/>
        <v>-4.0000000000000001E-3</v>
      </c>
      <c r="O38" s="2645">
        <f t="shared" si="89"/>
        <v>1.7000000000000001E-3</v>
      </c>
      <c r="P38" s="2645">
        <f t="shared" si="89"/>
        <v>-5.7999999999999996E-3</v>
      </c>
      <c r="Q38" s="2645">
        <f t="shared" si="89"/>
        <v>-2E-3</v>
      </c>
      <c r="R38" s="2629"/>
      <c r="S38" s="2627"/>
      <c r="T38" s="2628"/>
      <c r="U38" s="2628"/>
      <c r="V38" s="2628"/>
    </row>
    <row r="39" spans="1:26" ht="13.5" thickBot="1">
      <c r="A39" s="2619" t="s">
        <v>2591</v>
      </c>
      <c r="B39" s="2632">
        <f t="shared" si="99"/>
        <v>276.29854502841971</v>
      </c>
      <c r="C39" s="2632">
        <f t="shared" si="99"/>
        <v>229.79023709833027</v>
      </c>
      <c r="D39" s="2632">
        <f t="shared" si="87"/>
        <v>229.79023709833027</v>
      </c>
      <c r="E39" s="2632">
        <f t="shared" si="100"/>
        <v>379.78759731655936</v>
      </c>
      <c r="F39" s="2632">
        <f t="shared" si="100"/>
        <v>211.32953905659235</v>
      </c>
      <c r="G39" s="3505">
        <v>2011</v>
      </c>
      <c r="H39" s="2622">
        <v>1</v>
      </c>
      <c r="I39" s="2622">
        <v>2.65</v>
      </c>
      <c r="J39" s="2622">
        <v>3.76</v>
      </c>
      <c r="K39" s="2622">
        <v>1.89</v>
      </c>
      <c r="L39" s="2633">
        <v>7.95</v>
      </c>
      <c r="N39" s="2635">
        <f t="shared" si="89"/>
        <v>2.6499999999999999E-2</v>
      </c>
      <c r="O39" s="2636">
        <f t="shared" si="89"/>
        <v>3.7599999999999995E-2</v>
      </c>
      <c r="P39" s="2636">
        <f t="shared" si="89"/>
        <v>1.89E-2</v>
      </c>
      <c r="Q39" s="2636">
        <f t="shared" si="89"/>
        <v>7.9500000000000001E-2</v>
      </c>
      <c r="R39" s="2629"/>
      <c r="S39" s="2635">
        <f>B39/B40-1</f>
        <v>2.713213765211786E-2</v>
      </c>
      <c r="T39" s="2636">
        <f>C39/C40-1</f>
        <v>3.9774828499231862E-2</v>
      </c>
      <c r="U39" s="2636">
        <f>E39/E40-1</f>
        <v>1.8197311840641772E-2</v>
      </c>
      <c r="V39" s="2636">
        <f>F39/F40-1</f>
        <v>7.8211933962205826E-2</v>
      </c>
      <c r="X39" s="2637"/>
      <c r="Y39" s="2637"/>
      <c r="Z39" s="2637"/>
    </row>
    <row r="40" spans="1:26" ht="13.5" thickBot="1">
      <c r="A40" s="2619" t="s">
        <v>2592</v>
      </c>
      <c r="B40" s="2624">
        <v>269</v>
      </c>
      <c r="C40" s="2624">
        <v>221</v>
      </c>
      <c r="D40" s="2624">
        <f t="shared" si="87"/>
        <v>221</v>
      </c>
      <c r="E40" s="2624">
        <v>373</v>
      </c>
      <c r="F40" s="2625">
        <v>196</v>
      </c>
      <c r="G40" s="3504">
        <v>2010</v>
      </c>
      <c r="H40" s="2638">
        <v>4</v>
      </c>
      <c r="I40" s="2638">
        <v>5.72</v>
      </c>
      <c r="J40" s="2638">
        <v>6.57</v>
      </c>
      <c r="K40" s="2638">
        <v>5.72</v>
      </c>
      <c r="L40" s="2639">
        <v>2.72</v>
      </c>
      <c r="N40" s="2627">
        <f t="shared" si="89"/>
        <v>5.7200000000000001E-2</v>
      </c>
      <c r="O40" s="2628">
        <f t="shared" si="89"/>
        <v>6.5700000000000008E-2</v>
      </c>
      <c r="P40" s="2628">
        <f t="shared" si="89"/>
        <v>5.7200000000000001E-2</v>
      </c>
      <c r="Q40" s="2628">
        <f t="shared" si="89"/>
        <v>2.7200000000000002E-2</v>
      </c>
      <c r="R40" s="2629"/>
      <c r="S40" s="2630"/>
      <c r="T40" s="2631"/>
      <c r="U40" s="2631"/>
      <c r="V40" s="2631"/>
      <c r="X40" s="2631"/>
      <c r="Y40" s="2631"/>
      <c r="Z40" s="2631"/>
    </row>
    <row r="41" spans="1:26">
      <c r="A41" s="2619" t="s">
        <v>2593</v>
      </c>
      <c r="B41" s="2632">
        <f t="shared" ref="B41:C43" si="101">B40/(1+N40)</f>
        <v>254.44570563753314</v>
      </c>
      <c r="C41" s="2632">
        <f t="shared" si="101"/>
        <v>207.37543398705074</v>
      </c>
      <c r="D41" s="2632">
        <f t="shared" si="87"/>
        <v>207.37543398705074</v>
      </c>
      <c r="E41" s="2632">
        <f t="shared" ref="E41:F43" si="102">E40/(1+P40)</f>
        <v>352.81876655315932</v>
      </c>
      <c r="F41" s="2632">
        <f t="shared" si="102"/>
        <v>190.809968847352</v>
      </c>
      <c r="G41" s="3502">
        <v>2010</v>
      </c>
      <c r="H41" s="2643">
        <v>3</v>
      </c>
      <c r="I41" s="2643">
        <v>4.7300000000000004</v>
      </c>
      <c r="J41" s="2643">
        <v>3.9</v>
      </c>
      <c r="K41" s="2643">
        <v>5.03</v>
      </c>
      <c r="L41" s="2644">
        <v>4.21</v>
      </c>
      <c r="N41" s="2627">
        <f t="shared" si="89"/>
        <v>4.7300000000000002E-2</v>
      </c>
      <c r="O41" s="2628">
        <f t="shared" si="89"/>
        <v>3.9E-2</v>
      </c>
      <c r="P41" s="2628">
        <f t="shared" si="89"/>
        <v>5.0300000000000004E-2</v>
      </c>
      <c r="Q41" s="2628">
        <f t="shared" si="89"/>
        <v>4.2099999999999999E-2</v>
      </c>
      <c r="R41" s="2629"/>
      <c r="S41" s="2627"/>
      <c r="T41" s="2628"/>
      <c r="U41" s="2628"/>
      <c r="V41" s="2628"/>
    </row>
    <row r="42" spans="1:26">
      <c r="A42" s="2619" t="s">
        <v>2594</v>
      </c>
      <c r="B42" s="2632">
        <f t="shared" si="101"/>
        <v>242.95398227588385</v>
      </c>
      <c r="C42" s="2632">
        <f t="shared" si="101"/>
        <v>199.59137053614126</v>
      </c>
      <c r="D42" s="2632">
        <f t="shared" si="87"/>
        <v>199.59137053614126</v>
      </c>
      <c r="E42" s="2632">
        <f t="shared" si="102"/>
        <v>335.92189522342125</v>
      </c>
      <c r="F42" s="2632">
        <f t="shared" si="102"/>
        <v>183.10139991109489</v>
      </c>
      <c r="G42" s="3502">
        <v>2010</v>
      </c>
      <c r="H42" s="2623">
        <v>2</v>
      </c>
      <c r="I42" s="2623">
        <v>4.6900000000000004</v>
      </c>
      <c r="J42" s="2623">
        <v>3.55</v>
      </c>
      <c r="K42" s="2623">
        <v>5.07</v>
      </c>
      <c r="L42" s="2634">
        <v>4.2300000000000004</v>
      </c>
      <c r="N42" s="2627">
        <f t="shared" si="89"/>
        <v>4.6900000000000004E-2</v>
      </c>
      <c r="O42" s="2628">
        <f t="shared" si="89"/>
        <v>3.5499999999999997E-2</v>
      </c>
      <c r="P42" s="2628">
        <f t="shared" si="89"/>
        <v>5.0700000000000002E-2</v>
      </c>
      <c r="Q42" s="2628">
        <f t="shared" si="89"/>
        <v>4.2300000000000004E-2</v>
      </c>
      <c r="R42" s="2629"/>
      <c r="S42" s="2627"/>
      <c r="T42" s="2628"/>
      <c r="U42" s="2628"/>
      <c r="V42" s="2628"/>
    </row>
    <row r="43" spans="1:26" ht="13.5" thickBot="1">
      <c r="A43" s="2619" t="s">
        <v>2595</v>
      </c>
      <c r="B43" s="2632">
        <f t="shared" si="101"/>
        <v>232.06990378821649</v>
      </c>
      <c r="C43" s="2632">
        <f t="shared" si="101"/>
        <v>192.74878854286936</v>
      </c>
      <c r="D43" s="2632">
        <f t="shared" si="87"/>
        <v>192.74878854286936</v>
      </c>
      <c r="E43" s="2632">
        <f t="shared" si="102"/>
        <v>319.71247284992984</v>
      </c>
      <c r="F43" s="2632">
        <f t="shared" si="102"/>
        <v>175.67053622862409</v>
      </c>
      <c r="G43" s="3505">
        <v>2010</v>
      </c>
      <c r="H43" s="2622">
        <v>1</v>
      </c>
      <c r="I43" s="2622">
        <v>5.4</v>
      </c>
      <c r="J43" s="2622">
        <v>3.2</v>
      </c>
      <c r="K43" s="2622">
        <v>6.16</v>
      </c>
      <c r="L43" s="2633">
        <v>4.51</v>
      </c>
      <c r="N43" s="2627">
        <f t="shared" si="89"/>
        <v>5.4000000000000006E-2</v>
      </c>
      <c r="O43" s="2628">
        <f t="shared" si="89"/>
        <v>3.2000000000000001E-2</v>
      </c>
      <c r="P43" s="2628">
        <f t="shared" si="89"/>
        <v>6.1600000000000002E-2</v>
      </c>
      <c r="Q43" s="2628">
        <f t="shared" si="89"/>
        <v>4.5100000000000001E-2</v>
      </c>
      <c r="R43" s="2629"/>
      <c r="S43" s="2635">
        <f>B43/B44-1</f>
        <v>5.4863199037347599E-2</v>
      </c>
      <c r="T43" s="2636">
        <f>C43/C44-1</f>
        <v>3.0742184721226584E-2</v>
      </c>
      <c r="U43" s="2636">
        <f>E43/E44-1</f>
        <v>6.2167683886810154E-2</v>
      </c>
      <c r="V43" s="2636">
        <f>F43/F44-1</f>
        <v>4.5657953741810031E-2</v>
      </c>
      <c r="X43" s="2637"/>
      <c r="Y43" s="2637"/>
      <c r="Z43" s="2637"/>
    </row>
    <row r="44" spans="1:26" ht="13.5" thickBot="1">
      <c r="A44" s="2619" t="s">
        <v>2596</v>
      </c>
      <c r="B44" s="2624">
        <v>220</v>
      </c>
      <c r="C44" s="2624">
        <v>187</v>
      </c>
      <c r="D44" s="2624">
        <f t="shared" si="87"/>
        <v>187</v>
      </c>
      <c r="E44" s="2624">
        <v>301</v>
      </c>
      <c r="F44" s="2625">
        <v>168</v>
      </c>
      <c r="G44" s="3504">
        <v>2009</v>
      </c>
      <c r="H44" s="2638">
        <v>4</v>
      </c>
      <c r="I44" s="2638">
        <v>2.2999999999999998</v>
      </c>
      <c r="J44" s="2638">
        <v>1.04</v>
      </c>
      <c r="K44" s="2638">
        <v>2.84</v>
      </c>
      <c r="L44" s="2639">
        <v>0.67</v>
      </c>
      <c r="N44" s="2640">
        <f t="shared" si="89"/>
        <v>2.3E-2</v>
      </c>
      <c r="O44" s="2641">
        <f t="shared" si="89"/>
        <v>1.04E-2</v>
      </c>
      <c r="P44" s="2641">
        <f t="shared" si="89"/>
        <v>2.8399999999999998E-2</v>
      </c>
      <c r="Q44" s="2641">
        <f t="shared" si="89"/>
        <v>6.7000000000000002E-3</v>
      </c>
      <c r="R44" s="2629"/>
      <c r="S44" s="2630"/>
      <c r="T44" s="2631"/>
      <c r="U44" s="2631"/>
      <c r="V44" s="2631"/>
      <c r="X44" s="2631"/>
      <c r="Y44" s="2631"/>
      <c r="Z44" s="2631"/>
    </row>
    <row r="45" spans="1:26">
      <c r="A45" s="2619" t="s">
        <v>2597</v>
      </c>
      <c r="B45" s="2632">
        <f t="shared" ref="B45:C47" si="103">B44/(1+N44)</f>
        <v>215.05376344086022</v>
      </c>
      <c r="C45" s="2632">
        <f t="shared" si="103"/>
        <v>185.0752177355503</v>
      </c>
      <c r="D45" s="2632">
        <f t="shared" si="87"/>
        <v>185.0752177355503</v>
      </c>
      <c r="E45" s="2632">
        <f t="shared" ref="E45:F47" si="104">E44/(1+P44)</f>
        <v>292.68767016725008</v>
      </c>
      <c r="F45" s="2632">
        <f t="shared" si="104"/>
        <v>166.88189132810174</v>
      </c>
      <c r="G45" s="3502">
        <v>2009</v>
      </c>
      <c r="H45" s="2643">
        <v>3</v>
      </c>
      <c r="I45" s="2643">
        <v>2.1</v>
      </c>
      <c r="J45" s="2643">
        <v>1.86</v>
      </c>
      <c r="K45" s="2643">
        <v>2.29</v>
      </c>
      <c r="L45" s="2644">
        <v>0.85</v>
      </c>
      <c r="N45" s="2627">
        <f t="shared" si="89"/>
        <v>2.1000000000000001E-2</v>
      </c>
      <c r="O45" s="2645">
        <f t="shared" si="89"/>
        <v>1.8600000000000002E-2</v>
      </c>
      <c r="P45" s="2645">
        <f t="shared" si="89"/>
        <v>2.29E-2</v>
      </c>
      <c r="Q45" s="2645">
        <f t="shared" si="89"/>
        <v>8.5000000000000006E-3</v>
      </c>
      <c r="R45" s="2629"/>
      <c r="S45" s="2627"/>
      <c r="T45" s="2628"/>
      <c r="U45" s="2628"/>
      <c r="V45" s="2628"/>
    </row>
    <row r="46" spans="1:26">
      <c r="A46" s="2619" t="s">
        <v>2598</v>
      </c>
      <c r="B46" s="2632">
        <f t="shared" si="103"/>
        <v>210.630522469011</v>
      </c>
      <c r="C46" s="2632">
        <f t="shared" si="103"/>
        <v>181.69567812247232</v>
      </c>
      <c r="D46" s="2632">
        <f t="shared" si="87"/>
        <v>181.69567812247232</v>
      </c>
      <c r="E46" s="2632">
        <f t="shared" si="104"/>
        <v>286.13517466736738</v>
      </c>
      <c r="F46" s="2632">
        <f t="shared" si="104"/>
        <v>165.47535084591149</v>
      </c>
      <c r="G46" s="3502">
        <v>2009</v>
      </c>
      <c r="H46" s="2623">
        <v>2</v>
      </c>
      <c r="I46" s="2623">
        <v>0.86</v>
      </c>
      <c r="J46" s="2623">
        <v>-1.1299999999999999</v>
      </c>
      <c r="K46" s="2623">
        <v>1.79</v>
      </c>
      <c r="L46" s="2634">
        <v>-2.0699999999999998</v>
      </c>
      <c r="N46" s="2627">
        <f t="shared" si="89"/>
        <v>8.6E-3</v>
      </c>
      <c r="O46" s="2645">
        <f t="shared" si="89"/>
        <v>-1.1299999999999999E-2</v>
      </c>
      <c r="P46" s="2645">
        <f t="shared" si="89"/>
        <v>1.7899999999999999E-2</v>
      </c>
      <c r="Q46" s="2645">
        <f t="shared" si="89"/>
        <v>-2.07E-2</v>
      </c>
      <c r="R46" s="2629"/>
      <c r="S46" s="2627"/>
      <c r="T46" s="2628"/>
      <c r="U46" s="2628"/>
      <c r="V46" s="2628"/>
    </row>
    <row r="47" spans="1:26">
      <c r="A47" s="2619" t="s">
        <v>2599</v>
      </c>
      <c r="B47" s="2632">
        <f t="shared" si="103"/>
        <v>208.83454537875372</v>
      </c>
      <c r="C47" s="2632">
        <f t="shared" si="103"/>
        <v>183.77230517090351</v>
      </c>
      <c r="D47" s="2632">
        <f t="shared" si="87"/>
        <v>183.77230517090351</v>
      </c>
      <c r="E47" s="2632">
        <f t="shared" si="104"/>
        <v>281.10342338870947</v>
      </c>
      <c r="F47" s="2632">
        <f t="shared" si="104"/>
        <v>168.97309388942256</v>
      </c>
      <c r="G47" s="3505">
        <v>2009</v>
      </c>
      <c r="H47" s="2622">
        <v>1</v>
      </c>
      <c r="I47" s="2622">
        <v>-2.64</v>
      </c>
      <c r="J47" s="2622">
        <v>-2.5299999999999998</v>
      </c>
      <c r="K47" s="2622">
        <v>-3.02</v>
      </c>
      <c r="L47" s="2633">
        <v>1.52</v>
      </c>
      <c r="N47" s="2635">
        <f t="shared" si="89"/>
        <v>-2.64E-2</v>
      </c>
      <c r="O47" s="2636">
        <f t="shared" si="89"/>
        <v>-2.53E-2</v>
      </c>
      <c r="P47" s="2636">
        <f t="shared" si="89"/>
        <v>-3.0200000000000001E-2</v>
      </c>
      <c r="Q47" s="2636">
        <f t="shared" si="89"/>
        <v>1.52E-2</v>
      </c>
      <c r="R47" s="2629"/>
      <c r="S47" s="2635">
        <f>B47/B48-1</f>
        <v>-2.4137638417038754E-2</v>
      </c>
      <c r="T47" s="2636">
        <f>C47/C48-1</f>
        <v>-2.248773845264096E-2</v>
      </c>
      <c r="U47" s="2636">
        <f>E47/E48-1</f>
        <v>-2.7323794502735366E-2</v>
      </c>
      <c r="V47" s="2636">
        <f>F47/F48-1</f>
        <v>1.7910204153148035E-2</v>
      </c>
      <c r="X47" s="2637"/>
      <c r="Y47" s="2637"/>
      <c r="Z47" s="2637"/>
    </row>
    <row r="48" spans="1:26" ht="13.5" thickBot="1">
      <c r="A48" s="2619" t="s">
        <v>2600</v>
      </c>
      <c r="B48" s="2662">
        <v>214</v>
      </c>
      <c r="C48" s="2662">
        <v>188</v>
      </c>
      <c r="D48" s="2662">
        <f t="shared" si="87"/>
        <v>188</v>
      </c>
      <c r="E48" s="2662">
        <v>289</v>
      </c>
      <c r="F48" s="2663">
        <v>166</v>
      </c>
      <c r="G48" s="3504">
        <v>2008</v>
      </c>
      <c r="H48" s="2638">
        <v>4</v>
      </c>
      <c r="I48" s="2638">
        <v>1.73</v>
      </c>
      <c r="J48" s="2638">
        <v>0.03</v>
      </c>
      <c r="K48" s="2638">
        <v>2.59</v>
      </c>
      <c r="L48" s="2639">
        <v>-1.66</v>
      </c>
      <c r="N48" s="2627">
        <f t="shared" si="89"/>
        <v>1.7299999999999999E-2</v>
      </c>
      <c r="O48" s="2628">
        <f t="shared" si="89"/>
        <v>2.9999999999999997E-4</v>
      </c>
      <c r="P48" s="2628">
        <f t="shared" si="89"/>
        <v>2.5899999999999999E-2</v>
      </c>
      <c r="Q48" s="2628">
        <f t="shared" si="89"/>
        <v>-1.66E-2</v>
      </c>
      <c r="R48" s="2629"/>
      <c r="S48" s="2630"/>
      <c r="T48" s="2631"/>
      <c r="U48" s="2631"/>
      <c r="V48" s="2631"/>
      <c r="X48" s="2631"/>
      <c r="Y48" s="2631"/>
      <c r="Z48" s="2631"/>
    </row>
    <row r="49" spans="1:26">
      <c r="A49" s="2619" t="s">
        <v>2601</v>
      </c>
      <c r="B49" s="2632">
        <f t="shared" ref="B49:C51" si="105">B48/(1+N48)</f>
        <v>210.36075887152265</v>
      </c>
      <c r="C49" s="2632">
        <f t="shared" si="105"/>
        <v>187.94361691492554</v>
      </c>
      <c r="D49" s="2632">
        <f t="shared" si="87"/>
        <v>187.94361691492554</v>
      </c>
      <c r="E49" s="2632">
        <f t="shared" ref="E49:F51" si="106">E48/(1+P48)</f>
        <v>281.70386977288234</v>
      </c>
      <c r="F49" s="2632">
        <f t="shared" si="106"/>
        <v>168.80211511083994</v>
      </c>
      <c r="G49" s="3502">
        <v>2008</v>
      </c>
      <c r="H49" s="2643">
        <v>3</v>
      </c>
      <c r="I49" s="2643">
        <v>1.96</v>
      </c>
      <c r="J49" s="2643">
        <v>2.36</v>
      </c>
      <c r="K49" s="2643">
        <v>1.82</v>
      </c>
      <c r="L49" s="2644">
        <v>2.2200000000000002</v>
      </c>
      <c r="N49" s="2627">
        <f t="shared" si="89"/>
        <v>1.9599999999999999E-2</v>
      </c>
      <c r="O49" s="2628">
        <f t="shared" si="89"/>
        <v>2.3599999999999999E-2</v>
      </c>
      <c r="P49" s="2628">
        <f t="shared" si="89"/>
        <v>1.8200000000000001E-2</v>
      </c>
      <c r="Q49" s="2628">
        <f t="shared" si="89"/>
        <v>2.2200000000000001E-2</v>
      </c>
      <c r="R49" s="2629"/>
      <c r="S49" s="2627"/>
      <c r="T49" s="2628"/>
      <c r="U49" s="2628"/>
      <c r="V49" s="2628"/>
    </row>
    <row r="50" spans="1:26">
      <c r="A50" s="2619" t="s">
        <v>2602</v>
      </c>
      <c r="B50" s="2632">
        <f t="shared" si="105"/>
        <v>206.31694671589116</v>
      </c>
      <c r="C50" s="2632">
        <f t="shared" si="105"/>
        <v>183.61041121036101</v>
      </c>
      <c r="D50" s="2632">
        <f t="shared" si="87"/>
        <v>183.61041121036101</v>
      </c>
      <c r="E50" s="2632">
        <f t="shared" si="106"/>
        <v>276.66850301795557</v>
      </c>
      <c r="F50" s="2632">
        <f t="shared" si="106"/>
        <v>165.1360938278614</v>
      </c>
      <c r="G50" s="3502">
        <v>2008</v>
      </c>
      <c r="H50" s="2623">
        <v>2</v>
      </c>
      <c r="I50" s="2623">
        <v>4.93</v>
      </c>
      <c r="J50" s="2623">
        <v>7.38</v>
      </c>
      <c r="K50" s="2623">
        <v>3.98</v>
      </c>
      <c r="L50" s="2634">
        <v>6.86</v>
      </c>
      <c r="N50" s="2627">
        <f t="shared" si="89"/>
        <v>4.9299999999999997E-2</v>
      </c>
      <c r="O50" s="2628">
        <f t="shared" si="89"/>
        <v>7.3800000000000004E-2</v>
      </c>
      <c r="P50" s="2628">
        <f t="shared" si="89"/>
        <v>3.9800000000000002E-2</v>
      </c>
      <c r="Q50" s="2628">
        <f t="shared" si="89"/>
        <v>6.8600000000000008E-2</v>
      </c>
      <c r="R50" s="2629"/>
      <c r="S50" s="2627"/>
      <c r="T50" s="2628"/>
      <c r="U50" s="2628"/>
      <c r="V50" s="2628"/>
    </row>
    <row r="51" spans="1:26" s="2668" customFormat="1" ht="13.5" thickBot="1">
      <c r="A51" s="2619" t="s">
        <v>2603</v>
      </c>
      <c r="B51" s="2665">
        <f t="shared" si="105"/>
        <v>196.62341248059772</v>
      </c>
      <c r="C51" s="2665">
        <f t="shared" si="105"/>
        <v>170.99125648199012</v>
      </c>
      <c r="D51" s="2665">
        <f t="shared" si="87"/>
        <v>170.99125648199012</v>
      </c>
      <c r="E51" s="2665">
        <f t="shared" si="106"/>
        <v>266.07857570490052</v>
      </c>
      <c r="F51" s="2665">
        <f t="shared" si="106"/>
        <v>154.53499328828505</v>
      </c>
      <c r="G51" s="3505">
        <v>2008</v>
      </c>
      <c r="H51" s="2666">
        <v>1</v>
      </c>
      <c r="I51" s="2666">
        <v>4.1399999999999997</v>
      </c>
      <c r="J51" s="2666">
        <v>3.45</v>
      </c>
      <c r="K51" s="2666">
        <v>4.95</v>
      </c>
      <c r="L51" s="2667">
        <v>4.82</v>
      </c>
      <c r="N51" s="2669">
        <f t="shared" si="89"/>
        <v>4.1399999999999999E-2</v>
      </c>
      <c r="O51" s="2670">
        <f t="shared" si="89"/>
        <v>3.4500000000000003E-2</v>
      </c>
      <c r="P51" s="2670">
        <f t="shared" si="89"/>
        <v>4.9500000000000002E-2</v>
      </c>
      <c r="Q51" s="2670">
        <f t="shared" si="89"/>
        <v>4.82E-2</v>
      </c>
      <c r="R51" s="2671"/>
      <c r="S51" s="2669">
        <f>B51/B52-1</f>
        <v>4.5869215322328349E-2</v>
      </c>
      <c r="T51" s="2670">
        <f>C51/C52-1</f>
        <v>3.6310645345394743E-2</v>
      </c>
      <c r="U51" s="2670">
        <f>E51/E52-1</f>
        <v>4.7553447657088688E-2</v>
      </c>
      <c r="V51" s="2670">
        <f>F51/F52-1</f>
        <v>4.4155360055980086E-2</v>
      </c>
      <c r="X51" s="2672"/>
      <c r="Y51" s="2672"/>
      <c r="Z51" s="2672"/>
    </row>
    <row r="52" spans="1:26" ht="13.5" thickBot="1">
      <c r="A52" s="2619" t="s">
        <v>2604</v>
      </c>
      <c r="B52" s="2624">
        <v>188</v>
      </c>
      <c r="C52" s="2624">
        <v>165</v>
      </c>
      <c r="D52" s="2624">
        <f t="shared" si="87"/>
        <v>165</v>
      </c>
      <c r="E52" s="2624">
        <v>254</v>
      </c>
      <c r="F52" s="2625">
        <v>148</v>
      </c>
      <c r="G52" s="3504">
        <v>2007</v>
      </c>
      <c r="H52" s="2673">
        <v>4</v>
      </c>
      <c r="I52" s="2673">
        <v>5.51</v>
      </c>
      <c r="J52" s="2673">
        <v>4.8899999999999997</v>
      </c>
      <c r="K52" s="2673">
        <v>6.43</v>
      </c>
      <c r="L52" s="2674">
        <v>5.36</v>
      </c>
      <c r="N52" s="2675">
        <f t="shared" ref="N52:O55" si="107">B52/B53-1</f>
        <v>4.1339718365245526E-2</v>
      </c>
      <c r="O52" s="2676">
        <f t="shared" si="107"/>
        <v>4.0324492593776018E-2</v>
      </c>
      <c r="P52" s="2676">
        <f t="shared" ref="P52:Q55" si="108">E52/E53-1</f>
        <v>6.1625555347990968E-2</v>
      </c>
      <c r="Q52" s="2676">
        <f t="shared" si="108"/>
        <v>4.6757569250590603E-2</v>
      </c>
      <c r="R52" s="2629"/>
      <c r="S52" s="2630"/>
      <c r="T52" s="2631"/>
      <c r="U52" s="2631"/>
      <c r="V52" s="2631"/>
      <c r="X52" s="2631"/>
      <c r="Y52" s="2631"/>
      <c r="Z52" s="2631"/>
    </row>
    <row r="53" spans="1:26">
      <c r="A53" s="2619" t="s">
        <v>2605</v>
      </c>
      <c r="B53" s="2632">
        <f t="shared" ref="B53:C55" si="109">B54+(B$52-B$56)*I53/SUM(I$52:I$55)</f>
        <v>180.5366651097618</v>
      </c>
      <c r="C53" s="2632">
        <f t="shared" si="109"/>
        <v>158.60435967302453</v>
      </c>
      <c r="D53" s="2632">
        <f t="shared" si="87"/>
        <v>158.60435967302453</v>
      </c>
      <c r="E53" s="2632">
        <f t="shared" ref="E53:F55" si="110">E54+(E$52-E$56)*K53/SUM(K$52:K$55)</f>
        <v>239.25573260785075</v>
      </c>
      <c r="F53" s="2632">
        <f t="shared" si="110"/>
        <v>141.38899430740037</v>
      </c>
      <c r="G53" s="3502">
        <v>2007</v>
      </c>
      <c r="H53" s="2643">
        <v>3</v>
      </c>
      <c r="I53" s="2643">
        <v>8.65</v>
      </c>
      <c r="J53" s="2643">
        <v>8.06</v>
      </c>
      <c r="K53" s="2643">
        <v>9.94</v>
      </c>
      <c r="L53" s="2644">
        <v>5.8</v>
      </c>
      <c r="N53" s="2675">
        <f t="shared" si="107"/>
        <v>6.940217571740015E-2</v>
      </c>
      <c r="O53" s="2676">
        <f t="shared" si="107"/>
        <v>7.1197482471153428E-2</v>
      </c>
      <c r="P53" s="2676">
        <f t="shared" si="108"/>
        <v>0.10529679922579582</v>
      </c>
      <c r="Q53" s="2676">
        <f t="shared" si="108"/>
        <v>5.3292245059512133E-2</v>
      </c>
      <c r="R53" s="2629"/>
      <c r="S53" s="2627"/>
      <c r="T53" s="2628"/>
      <c r="U53" s="2628"/>
      <c r="V53" s="2628"/>
      <c r="X53" s="2677"/>
      <c r="Y53" s="2677"/>
      <c r="Z53" s="2677"/>
    </row>
    <row r="54" spans="1:26">
      <c r="A54" s="2619" t="s">
        <v>2606</v>
      </c>
      <c r="B54" s="2632">
        <f t="shared" si="109"/>
        <v>168.82017748715555</v>
      </c>
      <c r="C54" s="2632">
        <f t="shared" si="109"/>
        <v>148.06267029972753</v>
      </c>
      <c r="D54" s="2632">
        <f t="shared" si="87"/>
        <v>148.06267029972753</v>
      </c>
      <c r="E54" s="2632">
        <f t="shared" si="110"/>
        <v>216.46288379323747</v>
      </c>
      <c r="F54" s="2632">
        <f t="shared" si="110"/>
        <v>134.23529411764704</v>
      </c>
      <c r="G54" s="3502">
        <v>2007</v>
      </c>
      <c r="H54" s="2623">
        <v>2</v>
      </c>
      <c r="I54" s="2623">
        <v>3.67</v>
      </c>
      <c r="J54" s="2623">
        <v>2.3199999999999998</v>
      </c>
      <c r="K54" s="2623">
        <v>5.0199999999999996</v>
      </c>
      <c r="L54" s="2634">
        <v>6.71</v>
      </c>
      <c r="N54" s="2675">
        <f t="shared" si="107"/>
        <v>3.0339138143848032E-2</v>
      </c>
      <c r="O54" s="2676">
        <f t="shared" si="107"/>
        <v>2.0922341588790472E-2</v>
      </c>
      <c r="P54" s="2676">
        <f t="shared" si="108"/>
        <v>5.6164796592717003E-2</v>
      </c>
      <c r="Q54" s="2676">
        <f t="shared" si="108"/>
        <v>6.5704536723887319E-2</v>
      </c>
      <c r="R54" s="2629"/>
      <c r="S54" s="2627"/>
      <c r="T54" s="2628"/>
      <c r="U54" s="2628"/>
      <c r="V54" s="2628"/>
      <c r="X54" s="2677"/>
      <c r="Y54" s="2677"/>
      <c r="Z54" s="2677"/>
    </row>
    <row r="55" spans="1:26">
      <c r="A55" s="2619" t="s">
        <v>2607</v>
      </c>
      <c r="B55" s="2632">
        <f t="shared" si="109"/>
        <v>163.84913591779542</v>
      </c>
      <c r="C55" s="2632">
        <f t="shared" si="109"/>
        <v>145.0283378746594</v>
      </c>
      <c r="D55" s="2632">
        <f t="shared" si="87"/>
        <v>145.0283378746594</v>
      </c>
      <c r="E55" s="2632">
        <f t="shared" si="110"/>
        <v>204.95180722891567</v>
      </c>
      <c r="F55" s="2632">
        <f t="shared" si="110"/>
        <v>125.95920303605313</v>
      </c>
      <c r="G55" s="3505">
        <v>2007</v>
      </c>
      <c r="H55" s="2622">
        <v>1</v>
      </c>
      <c r="I55" s="2622">
        <v>3.58</v>
      </c>
      <c r="J55" s="2622">
        <v>3.08</v>
      </c>
      <c r="K55" s="2622">
        <v>4.34</v>
      </c>
      <c r="L55" s="2633">
        <v>3.21</v>
      </c>
      <c r="N55" s="2678">
        <f t="shared" si="107"/>
        <v>3.0497710174814063E-2</v>
      </c>
      <c r="O55" s="2679">
        <f t="shared" si="107"/>
        <v>2.8569772160704998E-2</v>
      </c>
      <c r="P55" s="2679">
        <f t="shared" si="108"/>
        <v>5.1034908866234296E-2</v>
      </c>
      <c r="Q55" s="2679">
        <f t="shared" si="108"/>
        <v>3.245248390207478E-2</v>
      </c>
      <c r="R55" s="2629"/>
      <c r="S55" s="2635">
        <f>B55/B56-1</f>
        <v>3.0497710174814063E-2</v>
      </c>
      <c r="T55" s="2636">
        <f>C55/C56-1</f>
        <v>2.8569772160704998E-2</v>
      </c>
      <c r="U55" s="2636">
        <f>E55/E56-1</f>
        <v>5.1034908866234296E-2</v>
      </c>
      <c r="V55" s="2636">
        <f>F55/F56-1</f>
        <v>3.245248390207478E-2</v>
      </c>
      <c r="X55" s="2677"/>
      <c r="Y55" s="2677"/>
      <c r="Z55" s="2677"/>
    </row>
    <row r="56" spans="1:26" ht="13.5" thickBot="1">
      <c r="A56" s="2619" t="s">
        <v>2608</v>
      </c>
      <c r="B56" s="2646">
        <v>159</v>
      </c>
      <c r="C56" s="2646">
        <v>141</v>
      </c>
      <c r="D56" s="2646">
        <f t="shared" si="87"/>
        <v>141</v>
      </c>
      <c r="E56" s="2646">
        <v>195</v>
      </c>
      <c r="F56" s="2647">
        <v>122</v>
      </c>
      <c r="G56" s="3504">
        <v>2006</v>
      </c>
      <c r="H56" s="2638">
        <v>4</v>
      </c>
      <c r="I56" s="2638">
        <v>3.79</v>
      </c>
      <c r="J56" s="2638">
        <v>2.21</v>
      </c>
      <c r="K56" s="2638">
        <v>5.65</v>
      </c>
      <c r="L56" s="2639">
        <v>5.41</v>
      </c>
      <c r="N56" s="2675">
        <f t="shared" ref="N56:O59" si="111">I56/SUM(I$56:I$59)*(B$56/B$60-1)</f>
        <v>7.245466462748526E-2</v>
      </c>
      <c r="O56" s="2676">
        <f t="shared" si="111"/>
        <v>2.3237230038062766E-2</v>
      </c>
      <c r="P56" s="2676">
        <f t="shared" ref="P56:Q59" si="112">K56/SUM(K$56:K$59)*(E$56/E$60-1)</f>
        <v>0.16146893866323722</v>
      </c>
      <c r="Q56" s="2676">
        <f t="shared" si="112"/>
        <v>5.0755230321793784E-2</v>
      </c>
      <c r="R56" s="2629"/>
      <c r="S56" s="2630"/>
      <c r="T56" s="2631"/>
      <c r="U56" s="2631"/>
      <c r="V56" s="2631"/>
      <c r="X56" s="2677"/>
      <c r="Y56" s="2677"/>
      <c r="Z56" s="2677"/>
    </row>
    <row r="57" spans="1:26">
      <c r="A57" s="2619" t="s">
        <v>2609</v>
      </c>
      <c r="B57" s="2632">
        <f t="shared" ref="B57:C59" si="113">B58+(B$56-B$60)*I57/SUM(I$56:I$59)</f>
        <v>149.00125628140702</v>
      </c>
      <c r="C57" s="2632">
        <f t="shared" si="113"/>
        <v>137.95592286501378</v>
      </c>
      <c r="D57" s="2632">
        <f t="shared" si="87"/>
        <v>137.95592286501378</v>
      </c>
      <c r="E57" s="2632">
        <f t="shared" ref="E57:F59" si="114">E58+(E$56-E$60)*K57/SUM(K$56:K$59)</f>
        <v>169.97231450719823</v>
      </c>
      <c r="F57" s="2632">
        <f t="shared" si="114"/>
        <v>116.21390374331551</v>
      </c>
      <c r="G57" s="3502">
        <v>2006</v>
      </c>
      <c r="H57" s="2643">
        <v>3</v>
      </c>
      <c r="I57" s="2643">
        <v>0.92</v>
      </c>
      <c r="J57" s="2643">
        <v>1.08</v>
      </c>
      <c r="K57" s="2643">
        <v>0.73</v>
      </c>
      <c r="L57" s="2644">
        <v>1.08</v>
      </c>
      <c r="N57" s="2675">
        <f t="shared" si="111"/>
        <v>1.7587939698492462E-2</v>
      </c>
      <c r="O57" s="2676">
        <f t="shared" si="111"/>
        <v>1.1355750425840628E-2</v>
      </c>
      <c r="P57" s="2676">
        <f t="shared" si="112"/>
        <v>2.0862358446754544E-2</v>
      </c>
      <c r="Q57" s="2676">
        <f t="shared" si="112"/>
        <v>1.0132282578103011E-2</v>
      </c>
      <c r="R57" s="2629"/>
      <c r="S57" s="2627"/>
      <c r="T57" s="2628"/>
      <c r="U57" s="2628"/>
      <c r="V57" s="2628"/>
      <c r="X57" s="2677"/>
      <c r="Y57" s="2677"/>
      <c r="Z57" s="2677"/>
    </row>
    <row r="58" spans="1:26">
      <c r="A58" s="2619" t="s">
        <v>2610</v>
      </c>
      <c r="B58" s="2632">
        <f t="shared" si="113"/>
        <v>146.57412060301507</v>
      </c>
      <c r="C58" s="2632">
        <f t="shared" si="113"/>
        <v>136.46831955922866</v>
      </c>
      <c r="D58" s="2632">
        <f t="shared" si="87"/>
        <v>136.46831955922866</v>
      </c>
      <c r="E58" s="2632">
        <f t="shared" si="114"/>
        <v>166.73864894795128</v>
      </c>
      <c r="F58" s="2632">
        <f t="shared" si="114"/>
        <v>115.05882352941177</v>
      </c>
      <c r="G58" s="3502">
        <v>2006</v>
      </c>
      <c r="H58" s="2623">
        <v>2</v>
      </c>
      <c r="I58" s="2623">
        <v>0.96</v>
      </c>
      <c r="J58" s="2623">
        <v>0.25</v>
      </c>
      <c r="K58" s="2623">
        <v>1.9</v>
      </c>
      <c r="L58" s="2634">
        <v>0.95</v>
      </c>
      <c r="N58" s="2675">
        <f t="shared" si="111"/>
        <v>1.8352632728861701E-2</v>
      </c>
      <c r="O58" s="2676">
        <f t="shared" si="111"/>
        <v>2.6286459319075526E-3</v>
      </c>
      <c r="P58" s="2676">
        <f t="shared" si="112"/>
        <v>5.4299289107991269E-2</v>
      </c>
      <c r="Q58" s="2676">
        <f t="shared" si="112"/>
        <v>8.9126559714794995E-3</v>
      </c>
      <c r="R58" s="2629"/>
      <c r="S58" s="2627"/>
      <c r="T58" s="2628"/>
      <c r="U58" s="2628"/>
      <c r="V58" s="2628"/>
      <c r="X58" s="2677"/>
      <c r="Y58" s="2677"/>
      <c r="Z58" s="2677"/>
    </row>
    <row r="59" spans="1:26">
      <c r="A59" s="2619" t="s">
        <v>2611</v>
      </c>
      <c r="B59" s="2632">
        <f t="shared" si="113"/>
        <v>144.04145728643215</v>
      </c>
      <c r="C59" s="2632">
        <f t="shared" si="113"/>
        <v>136.12396694214877</v>
      </c>
      <c r="D59" s="2632">
        <f t="shared" si="87"/>
        <v>136.12396694214877</v>
      </c>
      <c r="E59" s="2632">
        <f t="shared" si="114"/>
        <v>158.32225913621264</v>
      </c>
      <c r="F59" s="2632">
        <f t="shared" si="114"/>
        <v>114.04278074866311</v>
      </c>
      <c r="G59" s="3505">
        <v>2006</v>
      </c>
      <c r="H59" s="2622">
        <v>1</v>
      </c>
      <c r="I59" s="2622">
        <v>2.29</v>
      </c>
      <c r="J59" s="2622">
        <v>3.72</v>
      </c>
      <c r="K59" s="2622">
        <v>0.75</v>
      </c>
      <c r="L59" s="2633">
        <v>0.04</v>
      </c>
      <c r="N59" s="2678">
        <f t="shared" si="111"/>
        <v>4.3778675988638847E-2</v>
      </c>
      <c r="O59" s="2679">
        <f t="shared" si="111"/>
        <v>3.9114251466784385E-2</v>
      </c>
      <c r="P59" s="2679">
        <f t="shared" si="112"/>
        <v>2.1433929911049188E-2</v>
      </c>
      <c r="Q59" s="2679">
        <f t="shared" si="112"/>
        <v>3.7526972511492629E-4</v>
      </c>
      <c r="R59" s="2629"/>
      <c r="S59" s="2635">
        <f>B59/B60-1</f>
        <v>4.3778675988638716E-2</v>
      </c>
      <c r="T59" s="2636">
        <f>C59/C60-1</f>
        <v>3.91142514667846E-2</v>
      </c>
      <c r="U59" s="2636">
        <f>E59/E60-1</f>
        <v>2.143392991104931E-2</v>
      </c>
      <c r="V59" s="2636">
        <f>F59/F60-1</f>
        <v>3.7526972511492396E-4</v>
      </c>
      <c r="X59" s="2677"/>
      <c r="Y59" s="2677"/>
      <c r="Z59" s="2677"/>
    </row>
    <row r="60" spans="1:26" ht="13.5" thickBot="1">
      <c r="A60" s="2619" t="s">
        <v>2612</v>
      </c>
      <c r="B60" s="2646">
        <v>138</v>
      </c>
      <c r="C60" s="2646">
        <v>131</v>
      </c>
      <c r="D60" s="2646">
        <f t="shared" si="87"/>
        <v>131</v>
      </c>
      <c r="E60" s="2646">
        <v>155</v>
      </c>
      <c r="F60" s="2647">
        <v>114</v>
      </c>
      <c r="G60" s="3504">
        <v>2005</v>
      </c>
      <c r="H60" s="2638">
        <v>4</v>
      </c>
      <c r="I60" s="2638">
        <v>3.29</v>
      </c>
      <c r="J60" s="2638">
        <v>1.44</v>
      </c>
      <c r="K60" s="2638">
        <v>0.66</v>
      </c>
      <c r="L60" s="2639">
        <v>7.78</v>
      </c>
      <c r="N60" s="2675">
        <f t="shared" ref="N60:O63" si="115">I60/SUM(I$60:I$63)*(B$60/B$64-1)</f>
        <v>9.9404603216919935E-2</v>
      </c>
      <c r="O60" s="2676">
        <f t="shared" si="115"/>
        <v>4.7636550760861554E-2</v>
      </c>
      <c r="P60" s="2676">
        <f t="shared" ref="P60:Q63" si="116">K60/SUM(K$60:K$63)*(E$60/E$64-1)</f>
        <v>8.3756345177664976E-2</v>
      </c>
      <c r="Q60" s="2676">
        <f t="shared" si="116"/>
        <v>5.2148766661559584E-2</v>
      </c>
      <c r="R60" s="2629"/>
      <c r="S60" s="2630"/>
      <c r="T60" s="2631"/>
      <c r="U60" s="2631"/>
      <c r="V60" s="2631"/>
      <c r="X60" s="2677"/>
      <c r="Y60" s="2677"/>
      <c r="Z60" s="2677"/>
    </row>
    <row r="61" spans="1:26">
      <c r="A61" s="2619" t="s">
        <v>2613</v>
      </c>
      <c r="B61" s="2632">
        <f t="shared" ref="B61:C63" si="117">B62+(B$60-B$64)*I61/SUM(I$60:I$63)</f>
        <v>125.9720430107527</v>
      </c>
      <c r="C61" s="2632">
        <f t="shared" si="117"/>
        <v>125.1883408071749</v>
      </c>
      <c r="D61" s="2632">
        <f t="shared" si="87"/>
        <v>125.1883408071749</v>
      </c>
      <c r="E61" s="2632">
        <f t="shared" ref="E61:F63" si="118">E62+(E$60-E$64)*K61/SUM(K$60:K$63)</f>
        <v>144.61421319796952</v>
      </c>
      <c r="F61" s="2632">
        <f t="shared" si="118"/>
        <v>108.42008196721311</v>
      </c>
      <c r="G61" s="3502">
        <v>2005</v>
      </c>
      <c r="H61" s="2643">
        <v>3</v>
      </c>
      <c r="I61" s="2643">
        <v>0.46</v>
      </c>
      <c r="J61" s="2643">
        <v>0.32</v>
      </c>
      <c r="K61" s="2643">
        <v>0.42</v>
      </c>
      <c r="L61" s="2644">
        <v>0.64</v>
      </c>
      <c r="N61" s="2675">
        <f t="shared" si="115"/>
        <v>1.3898515951301874E-2</v>
      </c>
      <c r="O61" s="2676">
        <f t="shared" si="115"/>
        <v>1.0585900169080346E-2</v>
      </c>
      <c r="P61" s="2676">
        <f t="shared" si="116"/>
        <v>5.3299492385786795E-2</v>
      </c>
      <c r="Q61" s="2676">
        <f t="shared" si="116"/>
        <v>4.2898728359123568E-3</v>
      </c>
      <c r="R61" s="2629"/>
      <c r="S61" s="2627"/>
      <c r="T61" s="2628"/>
      <c r="U61" s="2628"/>
      <c r="V61" s="2628"/>
      <c r="X61" s="2677"/>
      <c r="Y61" s="2677"/>
      <c r="Z61" s="2677"/>
    </row>
    <row r="62" spans="1:26">
      <c r="A62" s="2619" t="s">
        <v>2614</v>
      </c>
      <c r="B62" s="2632">
        <f t="shared" si="117"/>
        <v>124.29032258064517</v>
      </c>
      <c r="C62" s="2632">
        <f t="shared" si="117"/>
        <v>123.8968609865471</v>
      </c>
      <c r="D62" s="2632">
        <f t="shared" si="87"/>
        <v>123.8968609865471</v>
      </c>
      <c r="E62" s="2632">
        <f t="shared" si="118"/>
        <v>138.00507614213197</v>
      </c>
      <c r="F62" s="2632">
        <f t="shared" si="118"/>
        <v>107.96106557377048</v>
      </c>
      <c r="G62" s="3502">
        <v>2005</v>
      </c>
      <c r="H62" s="2623">
        <v>2</v>
      </c>
      <c r="I62" s="2623">
        <v>0.47</v>
      </c>
      <c r="J62" s="2623">
        <v>0.1</v>
      </c>
      <c r="K62" s="2623">
        <v>0.52</v>
      </c>
      <c r="L62" s="2634">
        <v>0.79</v>
      </c>
      <c r="N62" s="2675">
        <f t="shared" si="115"/>
        <v>1.420065760241713E-2</v>
      </c>
      <c r="O62" s="2676">
        <f t="shared" si="115"/>
        <v>3.3080938028376083E-3</v>
      </c>
      <c r="P62" s="2676">
        <f t="shared" si="116"/>
        <v>6.598984771573603E-2</v>
      </c>
      <c r="Q62" s="2676">
        <f t="shared" si="116"/>
        <v>5.2953117818293153E-3</v>
      </c>
      <c r="R62" s="2629"/>
      <c r="S62" s="2627"/>
      <c r="T62" s="2628"/>
      <c r="U62" s="2628"/>
      <c r="V62" s="2628"/>
      <c r="X62" s="2677"/>
      <c r="Y62" s="2677"/>
      <c r="Z62" s="2677"/>
    </row>
    <row r="63" spans="1:26">
      <c r="A63" s="2619" t="s">
        <v>2615</v>
      </c>
      <c r="B63" s="2632">
        <f t="shared" si="117"/>
        <v>122.57204301075269</v>
      </c>
      <c r="C63" s="2632">
        <f t="shared" si="117"/>
        <v>123.4932735426009</v>
      </c>
      <c r="D63" s="2632">
        <f t="shared" si="87"/>
        <v>123.4932735426009</v>
      </c>
      <c r="E63" s="2632">
        <f t="shared" si="118"/>
        <v>129.82233502538071</v>
      </c>
      <c r="F63" s="2632">
        <f t="shared" si="118"/>
        <v>107.39446721311475</v>
      </c>
      <c r="G63" s="3505">
        <v>2005</v>
      </c>
      <c r="H63" s="2622">
        <v>1</v>
      </c>
      <c r="I63" s="2622">
        <v>0.43</v>
      </c>
      <c r="J63" s="2622">
        <v>0.37</v>
      </c>
      <c r="K63" s="2622">
        <v>0.37</v>
      </c>
      <c r="L63" s="2633">
        <v>0.55000000000000004</v>
      </c>
      <c r="N63" s="2678">
        <f t="shared" si="115"/>
        <v>1.2992090997956099E-2</v>
      </c>
      <c r="O63" s="2679">
        <f t="shared" si="115"/>
        <v>1.2239947070499151E-2</v>
      </c>
      <c r="P63" s="2679">
        <f t="shared" si="116"/>
        <v>4.6954314720812178E-2</v>
      </c>
      <c r="Q63" s="2679">
        <f t="shared" si="116"/>
        <v>3.6866094683621815E-3</v>
      </c>
      <c r="R63" s="2629"/>
      <c r="S63" s="2635">
        <f>B63/B64-1</f>
        <v>1.2992090997956174E-2</v>
      </c>
      <c r="T63" s="2636">
        <f>C63/C64-1</f>
        <v>1.2239947070499246E-2</v>
      </c>
      <c r="U63" s="2636">
        <f>E63/E64-1</f>
        <v>4.695431472081224E-2</v>
      </c>
      <c r="V63" s="2636">
        <f>F63/F64-1</f>
        <v>3.6866094683620787E-3</v>
      </c>
      <c r="X63" s="2677"/>
      <c r="Y63" s="2677"/>
      <c r="Z63" s="2677"/>
    </row>
    <row r="64" spans="1:26" ht="13.5" thickBot="1">
      <c r="A64" s="2619" t="s">
        <v>2616</v>
      </c>
      <c r="B64" s="2662">
        <v>121</v>
      </c>
      <c r="C64" s="2662">
        <v>122</v>
      </c>
      <c r="D64" s="2662">
        <f t="shared" si="87"/>
        <v>122</v>
      </c>
      <c r="E64" s="2662">
        <v>124</v>
      </c>
      <c r="F64" s="2663">
        <v>107</v>
      </c>
      <c r="G64" s="3504">
        <v>2004</v>
      </c>
      <c r="H64" s="2638">
        <v>4</v>
      </c>
      <c r="I64" s="2638">
        <v>0.33</v>
      </c>
      <c r="J64" s="2638">
        <v>0.5</v>
      </c>
      <c r="K64" s="2638">
        <v>0.5</v>
      </c>
      <c r="L64" s="2639">
        <v>0</v>
      </c>
      <c r="N64" s="2675">
        <f t="shared" ref="N64:O67" si="119">I64/SUM(I$64:I$67)*(B$64/B$68-1)</f>
        <v>1.3391770148526898E-2</v>
      </c>
      <c r="O64" s="2676">
        <f t="shared" si="119"/>
        <v>1.063264221158958E-2</v>
      </c>
      <c r="P64" s="2676">
        <f t="shared" ref="P64:Q67" si="120">K64/SUM(K$64:K$67)*(E$64/E$68-1)</f>
        <v>2.2244466688911134E-2</v>
      </c>
      <c r="Q64" s="2676">
        <f t="shared" si="120"/>
        <v>0</v>
      </c>
      <c r="R64" s="2629"/>
      <c r="S64" s="2630"/>
      <c r="T64" s="2631"/>
      <c r="U64" s="2631"/>
      <c r="V64" s="2631"/>
      <c r="X64" s="2677"/>
      <c r="Y64" s="2677"/>
      <c r="Z64" s="2677"/>
    </row>
    <row r="65" spans="1:26">
      <c r="A65" s="2619" t="s">
        <v>2617</v>
      </c>
      <c r="B65" s="2632">
        <f t="shared" ref="B65:C67" si="121">B66+(B$64-B$68)*I65/SUM(I$64:I$67)</f>
        <v>119.51351351351352</v>
      </c>
      <c r="C65" s="2632">
        <f t="shared" si="121"/>
        <v>120.7878787878788</v>
      </c>
      <c r="D65" s="2632">
        <f t="shared" si="87"/>
        <v>120.7878787878788</v>
      </c>
      <c r="E65" s="2632">
        <f t="shared" ref="E65:F67" si="122">E66+(E$64-E$68)*K65/SUM(K$64:K$67)</f>
        <v>121.5975975975976</v>
      </c>
      <c r="F65" s="2632">
        <f t="shared" si="122"/>
        <v>107</v>
      </c>
      <c r="G65" s="3502">
        <v>2004</v>
      </c>
      <c r="H65" s="2643">
        <v>3</v>
      </c>
      <c r="I65" s="2643">
        <v>0.56000000000000005</v>
      </c>
      <c r="J65" s="2643">
        <v>0.8</v>
      </c>
      <c r="K65" s="2643">
        <v>0.83</v>
      </c>
      <c r="L65" s="2644">
        <v>0.06</v>
      </c>
      <c r="N65" s="2675">
        <f t="shared" si="119"/>
        <v>2.2725428130833527E-2</v>
      </c>
      <c r="O65" s="2676">
        <f t="shared" si="119"/>
        <v>1.7012227538543329E-2</v>
      </c>
      <c r="P65" s="2676">
        <f t="shared" si="120"/>
        <v>3.6925814703592477E-2</v>
      </c>
      <c r="Q65" s="2676">
        <f t="shared" si="120"/>
        <v>2.8846153846153744E-2</v>
      </c>
      <c r="R65" s="2629"/>
      <c r="S65" s="2627"/>
      <c r="T65" s="2628"/>
      <c r="U65" s="2628"/>
      <c r="V65" s="2628"/>
      <c r="X65" s="2677"/>
      <c r="Y65" s="2677"/>
      <c r="Z65" s="2677"/>
    </row>
    <row r="66" spans="1:26">
      <c r="A66" s="2619" t="s">
        <v>2618</v>
      </c>
      <c r="B66" s="2632">
        <f t="shared" si="121"/>
        <v>116.99099099099099</v>
      </c>
      <c r="C66" s="2632">
        <f t="shared" si="121"/>
        <v>118.84848484848486</v>
      </c>
      <c r="D66" s="2632">
        <f t="shared" si="87"/>
        <v>118.84848484848486</v>
      </c>
      <c r="E66" s="2632">
        <f t="shared" si="122"/>
        <v>117.60960960960961</v>
      </c>
      <c r="F66" s="2632">
        <f t="shared" si="122"/>
        <v>104</v>
      </c>
      <c r="G66" s="3502">
        <v>2004</v>
      </c>
      <c r="H66" s="2623">
        <v>2</v>
      </c>
      <c r="I66" s="2623">
        <v>1</v>
      </c>
      <c r="J66" s="2623">
        <v>1.5</v>
      </c>
      <c r="K66" s="2623">
        <v>1.5</v>
      </c>
      <c r="L66" s="2634">
        <v>0</v>
      </c>
      <c r="N66" s="2675">
        <f t="shared" si="119"/>
        <v>4.0581121662202721E-2</v>
      </c>
      <c r="O66" s="2676">
        <f t="shared" si="119"/>
        <v>3.1897926634768738E-2</v>
      </c>
      <c r="P66" s="2676">
        <f t="shared" si="120"/>
        <v>6.6733400066733395E-2</v>
      </c>
      <c r="Q66" s="2676">
        <f t="shared" si="120"/>
        <v>0</v>
      </c>
      <c r="R66" s="2629"/>
      <c r="S66" s="2627"/>
      <c r="T66" s="2628"/>
      <c r="U66" s="2628"/>
      <c r="V66" s="2628"/>
      <c r="X66" s="2677"/>
      <c r="Y66" s="2677"/>
      <c r="Z66" s="2677"/>
    </row>
    <row r="67" spans="1:26" s="2668" customFormat="1" ht="13.5" thickBot="1">
      <c r="A67" s="2619" t="s">
        <v>2619</v>
      </c>
      <c r="B67" s="2665">
        <f t="shared" si="121"/>
        <v>112.48648648648648</v>
      </c>
      <c r="C67" s="2665">
        <f t="shared" si="121"/>
        <v>115.21212121212122</v>
      </c>
      <c r="D67" s="2665">
        <f t="shared" si="87"/>
        <v>115.21212121212122</v>
      </c>
      <c r="E67" s="2665">
        <f t="shared" si="122"/>
        <v>110.4024024024024</v>
      </c>
      <c r="F67" s="2665">
        <f t="shared" si="122"/>
        <v>104</v>
      </c>
      <c r="G67" s="3505">
        <v>2004</v>
      </c>
      <c r="H67" s="2666">
        <v>1</v>
      </c>
      <c r="I67" s="2666">
        <v>0.33</v>
      </c>
      <c r="J67" s="2666">
        <v>0.5</v>
      </c>
      <c r="K67" s="2666">
        <v>0.5</v>
      </c>
      <c r="L67" s="2667">
        <v>0</v>
      </c>
      <c r="N67" s="2680">
        <f t="shared" si="119"/>
        <v>1.3391770148526898E-2</v>
      </c>
      <c r="O67" s="2681">
        <f t="shared" si="119"/>
        <v>1.063264221158958E-2</v>
      </c>
      <c r="P67" s="2681">
        <f t="shared" si="120"/>
        <v>2.2244466688911134E-2</v>
      </c>
      <c r="Q67" s="2681">
        <f t="shared" si="120"/>
        <v>0</v>
      </c>
      <c r="R67" s="2671"/>
      <c r="S67" s="2669">
        <f>B67/B68-1</f>
        <v>1.3391770148526883E-2</v>
      </c>
      <c r="T67" s="2670">
        <f>C67/C68-1</f>
        <v>1.063264221158966E-2</v>
      </c>
      <c r="U67" s="2670">
        <f>E67/E68-1</f>
        <v>2.2244466688911224E-2</v>
      </c>
      <c r="V67" s="2670">
        <f>F67/F68-1</f>
        <v>0</v>
      </c>
      <c r="X67" s="2682"/>
      <c r="Y67" s="2682"/>
      <c r="Z67" s="2682"/>
    </row>
    <row r="68" spans="1:26" ht="13.5" thickBot="1">
      <c r="A68" s="2619" t="s">
        <v>2620</v>
      </c>
      <c r="B68" s="2683">
        <v>111</v>
      </c>
      <c r="C68" s="2683">
        <v>114</v>
      </c>
      <c r="D68" s="2683">
        <f t="shared" si="87"/>
        <v>114</v>
      </c>
      <c r="E68" s="2683">
        <v>108</v>
      </c>
      <c r="F68" s="2684">
        <v>104</v>
      </c>
      <c r="G68" s="3504">
        <v>2003</v>
      </c>
      <c r="H68" s="2673">
        <v>4</v>
      </c>
      <c r="I68" s="2685"/>
      <c r="J68" s="2685"/>
      <c r="K68" s="2685"/>
      <c r="L68" s="2685"/>
      <c r="N68" s="2686"/>
      <c r="O68" s="2685"/>
      <c r="P68" s="2685"/>
      <c r="Q68" s="2685"/>
      <c r="S68" s="2686"/>
      <c r="T68" s="2685"/>
      <c r="U68" s="2685"/>
      <c r="V68" s="2685"/>
      <c r="X68" s="2677"/>
      <c r="Y68" s="2677"/>
      <c r="Z68" s="2677"/>
    </row>
    <row r="69" spans="1:26">
      <c r="A69" s="2619" t="s">
        <v>2621</v>
      </c>
      <c r="B69" s="2687">
        <f t="shared" ref="B69:C71" si="123">B70+(B$68-B$72)/4</f>
        <v>109.75</v>
      </c>
      <c r="C69" s="2687">
        <f t="shared" si="123"/>
        <v>112.25</v>
      </c>
      <c r="D69" s="2687">
        <f t="shared" si="87"/>
        <v>112.25</v>
      </c>
      <c r="E69" s="2687">
        <f t="shared" ref="E69:F71" si="124">E70+(E$68-E$72)/4</f>
        <v>107.25</v>
      </c>
      <c r="F69" s="2687">
        <f t="shared" si="124"/>
        <v>103.5</v>
      </c>
      <c r="G69" s="3502">
        <v>2003</v>
      </c>
      <c r="H69" s="2643">
        <v>3</v>
      </c>
      <c r="I69" s="2685"/>
      <c r="J69" s="2685"/>
      <c r="K69" s="2685"/>
      <c r="L69" s="2685"/>
      <c r="X69" s="2677"/>
      <c r="Y69" s="2677"/>
      <c r="Z69" s="2677"/>
    </row>
    <row r="70" spans="1:26">
      <c r="A70" s="2619" t="s">
        <v>2622</v>
      </c>
      <c r="B70" s="2687">
        <f t="shared" si="123"/>
        <v>108.5</v>
      </c>
      <c r="C70" s="2687">
        <f t="shared" si="123"/>
        <v>110.5</v>
      </c>
      <c r="D70" s="2687">
        <f t="shared" si="87"/>
        <v>110.5</v>
      </c>
      <c r="E70" s="2687">
        <f t="shared" si="124"/>
        <v>106.5</v>
      </c>
      <c r="F70" s="2687">
        <f t="shared" si="124"/>
        <v>103</v>
      </c>
      <c r="G70" s="3502">
        <v>2003</v>
      </c>
      <c r="H70" s="2623">
        <v>2</v>
      </c>
      <c r="I70" s="2685"/>
      <c r="J70" s="2685"/>
      <c r="K70" s="2685"/>
      <c r="L70" s="2685"/>
      <c r="X70" s="2677"/>
      <c r="Y70" s="2677"/>
      <c r="Z70" s="2677"/>
    </row>
    <row r="71" spans="1:26" ht="13.5" thickBot="1">
      <c r="A71" s="2619" t="s">
        <v>2623</v>
      </c>
      <c r="B71" s="2687">
        <f t="shared" si="123"/>
        <v>107.25</v>
      </c>
      <c r="C71" s="2687">
        <f t="shared" si="123"/>
        <v>108.75</v>
      </c>
      <c r="D71" s="2687">
        <f t="shared" si="87"/>
        <v>108.75</v>
      </c>
      <c r="E71" s="2687">
        <f t="shared" si="124"/>
        <v>105.75</v>
      </c>
      <c r="F71" s="2687">
        <f t="shared" si="124"/>
        <v>102.5</v>
      </c>
      <c r="G71" s="3505">
        <v>2003</v>
      </c>
      <c r="H71" s="2688">
        <v>1</v>
      </c>
      <c r="I71" s="2685"/>
      <c r="J71" s="2685"/>
      <c r="K71" s="2685"/>
      <c r="L71" s="2685"/>
      <c r="S71" s="2627"/>
      <c r="T71" s="2628"/>
      <c r="U71" s="2628"/>
      <c r="X71" s="2677"/>
      <c r="Y71" s="2677"/>
      <c r="Z71" s="2677"/>
    </row>
    <row r="72" spans="1:26" ht="13.5" thickBot="1">
      <c r="A72" s="2619" t="s">
        <v>2624</v>
      </c>
      <c r="B72" s="2689">
        <v>106</v>
      </c>
      <c r="C72" s="2689">
        <v>107</v>
      </c>
      <c r="D72" s="2689">
        <f t="shared" si="87"/>
        <v>107</v>
      </c>
      <c r="E72" s="2689">
        <v>105</v>
      </c>
      <c r="F72" s="2690">
        <v>102</v>
      </c>
      <c r="G72" s="3504">
        <v>2002</v>
      </c>
      <c r="H72" s="2638">
        <v>4</v>
      </c>
      <c r="I72" s="2685"/>
      <c r="J72" s="2685"/>
      <c r="K72" s="2685"/>
      <c r="L72" s="2685"/>
      <c r="N72" s="2686"/>
      <c r="O72" s="2685"/>
      <c r="P72" s="2685"/>
      <c r="Q72" s="2685"/>
      <c r="S72" s="2686"/>
      <c r="T72" s="2685"/>
      <c r="U72" s="2685"/>
      <c r="V72" s="2685"/>
      <c r="X72" s="2677"/>
      <c r="Y72" s="2677"/>
      <c r="Z72" s="2677"/>
    </row>
    <row r="73" spans="1:26">
      <c r="A73" s="2619" t="s">
        <v>2625</v>
      </c>
      <c r="B73" s="2687">
        <f t="shared" ref="B73:C75" si="125">B74+(B$72-B$76)/4</f>
        <v>105</v>
      </c>
      <c r="C73" s="2687">
        <f t="shared" si="125"/>
        <v>106</v>
      </c>
      <c r="D73" s="2687">
        <f t="shared" si="87"/>
        <v>106</v>
      </c>
      <c r="E73" s="2687">
        <f t="shared" ref="E73:F75" si="126">E74+(E$72-E$76)/4</f>
        <v>104.5</v>
      </c>
      <c r="F73" s="2687">
        <f t="shared" si="126"/>
        <v>101.5</v>
      </c>
      <c r="G73" s="3502">
        <v>2002</v>
      </c>
      <c r="H73" s="2643">
        <v>3</v>
      </c>
      <c r="I73" s="2685"/>
      <c r="J73" s="2685"/>
      <c r="K73" s="2685"/>
      <c r="L73" s="2685"/>
      <c r="X73" s="2677"/>
      <c r="Y73" s="2677"/>
      <c r="Z73" s="2677"/>
    </row>
    <row r="74" spans="1:26">
      <c r="A74" s="2619" t="s">
        <v>2626</v>
      </c>
      <c r="B74" s="2687">
        <f t="shared" si="125"/>
        <v>104</v>
      </c>
      <c r="C74" s="2687">
        <f t="shared" si="125"/>
        <v>105</v>
      </c>
      <c r="D74" s="2687">
        <f t="shared" si="87"/>
        <v>105</v>
      </c>
      <c r="E74" s="2687">
        <f t="shared" si="126"/>
        <v>104</v>
      </c>
      <c r="F74" s="2687">
        <f t="shared" si="126"/>
        <v>101</v>
      </c>
      <c r="G74" s="3502">
        <v>2002</v>
      </c>
      <c r="H74" s="2623">
        <v>2</v>
      </c>
      <c r="I74" s="2685"/>
      <c r="J74" s="2685"/>
      <c r="K74" s="2685"/>
      <c r="L74" s="2685"/>
      <c r="X74" s="2677"/>
      <c r="Y74" s="2677"/>
      <c r="Z74" s="2677"/>
    </row>
    <row r="75" spans="1:26" s="2654" customFormat="1" ht="13.5" thickBot="1">
      <c r="A75" s="2650" t="s">
        <v>2627</v>
      </c>
      <c r="B75" s="2691">
        <f t="shared" si="125"/>
        <v>103</v>
      </c>
      <c r="C75" s="2691">
        <f t="shared" si="125"/>
        <v>104</v>
      </c>
      <c r="D75" s="2691">
        <f t="shared" si="87"/>
        <v>104</v>
      </c>
      <c r="E75" s="2691">
        <f t="shared" si="126"/>
        <v>103.5</v>
      </c>
      <c r="F75" s="2691">
        <f t="shared" si="126"/>
        <v>100.5</v>
      </c>
      <c r="G75" s="3505">
        <v>2002</v>
      </c>
      <c r="H75" s="2692">
        <v>1</v>
      </c>
      <c r="I75" s="2693"/>
      <c r="J75" s="2693"/>
      <c r="K75" s="2693"/>
      <c r="L75" s="2693"/>
      <c r="N75" s="2694"/>
      <c r="S75" s="2694"/>
      <c r="X75" s="2695"/>
      <c r="Y75" s="2695"/>
      <c r="Z75" s="2695"/>
    </row>
    <row r="76" spans="1:26" ht="13.5" thickBot="1">
      <c r="B76" s="2696">
        <v>102</v>
      </c>
      <c r="C76" s="2697">
        <v>103</v>
      </c>
      <c r="D76" s="2697">
        <f t="shared" si="87"/>
        <v>103</v>
      </c>
      <c r="E76" s="2697">
        <v>103</v>
      </c>
      <c r="F76" s="2698">
        <v>100</v>
      </c>
      <c r="I76" s="2685"/>
      <c r="J76" s="2685"/>
      <c r="K76" s="2685"/>
      <c r="L76" s="2685"/>
      <c r="N76" s="2686"/>
      <c r="O76" s="2685"/>
      <c r="P76" s="2685"/>
      <c r="Q76" s="2685"/>
      <c r="S76" s="2686"/>
      <c r="T76" s="2685"/>
      <c r="U76" s="2685"/>
      <c r="V76" s="2685"/>
      <c r="X76" s="2631"/>
      <c r="Y76" s="2631"/>
      <c r="Z76" s="2631"/>
    </row>
    <row r="78" spans="1:26" s="2700" customFormat="1">
      <c r="A78" s="2699" t="s">
        <v>2628</v>
      </c>
      <c r="G78" s="2701"/>
      <c r="N78" s="2701"/>
      <c r="S78" s="2701"/>
    </row>
    <row r="79" spans="1:26" s="2700" customFormat="1">
      <c r="A79" s="2700" t="s">
        <v>2629</v>
      </c>
      <c r="G79" s="2701"/>
      <c r="N79" s="2701"/>
      <c r="S79" s="2701"/>
    </row>
    <row r="80" spans="1:26" s="2700" customFormat="1">
      <c r="A80" s="2700" t="s">
        <v>2630</v>
      </c>
      <c r="G80" s="2701"/>
      <c r="I80" s="2702"/>
      <c r="J80" s="2702"/>
      <c r="K80" s="2702"/>
      <c r="L80" s="2702"/>
      <c r="N80" s="2703"/>
      <c r="O80" s="2702"/>
      <c r="P80" s="2702"/>
      <c r="Q80" s="2702"/>
      <c r="S80" s="2703"/>
      <c r="T80" s="2702"/>
      <c r="U80" s="2702"/>
      <c r="V80" s="2702"/>
    </row>
    <row r="81" spans="1:22" s="2700" customFormat="1">
      <c r="A81" s="2700" t="s">
        <v>2631</v>
      </c>
      <c r="G81" s="2701"/>
      <c r="N81" s="2701"/>
      <c r="S81" s="2701"/>
    </row>
    <row r="88" spans="1:22" ht="13.5" thickBot="1"/>
    <row r="89" spans="1:22">
      <c r="G89" s="2626"/>
      <c r="S89" s="2704" t="s">
        <v>2632</v>
      </c>
      <c r="T89" s="2705" t="s">
        <v>2633</v>
      </c>
      <c r="U89" s="2705" t="s">
        <v>2634</v>
      </c>
      <c r="V89" s="2705" t="s">
        <v>2635</v>
      </c>
    </row>
    <row r="90" spans="1:22">
      <c r="G90" s="2626"/>
      <c r="N90" s="2630"/>
      <c r="O90" s="2631"/>
      <c r="P90" s="2631"/>
      <c r="Q90" s="2631"/>
      <c r="S90" s="2706">
        <v>2006</v>
      </c>
      <c r="T90" s="2707">
        <v>15.1</v>
      </c>
      <c r="U90" s="2707">
        <v>7.43</v>
      </c>
      <c r="V90" s="2707">
        <v>26.26</v>
      </c>
    </row>
    <row r="91" spans="1:22">
      <c r="G91" s="2626"/>
      <c r="N91" s="2630"/>
      <c r="O91" s="2631"/>
      <c r="P91" s="2631"/>
      <c r="Q91" s="2631"/>
      <c r="S91" s="2709">
        <v>2005</v>
      </c>
      <c r="T91" s="2708">
        <v>13.9</v>
      </c>
      <c r="U91" s="2708">
        <v>7.49</v>
      </c>
      <c r="V91" s="2708">
        <v>24.92</v>
      </c>
    </row>
    <row r="92" spans="1:22">
      <c r="G92" s="2626"/>
      <c r="N92" s="2630"/>
      <c r="O92" s="2631"/>
      <c r="P92" s="2631"/>
      <c r="Q92" s="2631"/>
      <c r="S92" s="2706">
        <v>2004</v>
      </c>
      <c r="T92" s="2707">
        <v>9.48</v>
      </c>
      <c r="U92" s="2707">
        <v>7.2</v>
      </c>
      <c r="V92" s="2707">
        <v>14.68</v>
      </c>
    </row>
    <row r="93" spans="1:22">
      <c r="G93" s="2626"/>
      <c r="N93" s="2630"/>
      <c r="O93" s="2631"/>
      <c r="P93" s="2631"/>
      <c r="Q93" s="2631"/>
      <c r="S93" s="2709">
        <v>2003</v>
      </c>
      <c r="T93" s="2708">
        <v>4.5</v>
      </c>
      <c r="U93" s="2708">
        <v>6.12</v>
      </c>
      <c r="V93" s="2708">
        <v>2.34</v>
      </c>
    </row>
    <row r="94" spans="1:22" ht="13.5" thickBot="1">
      <c r="G94" s="2626"/>
      <c r="N94" s="2630"/>
      <c r="O94" s="2631"/>
      <c r="P94" s="2631"/>
      <c r="Q94" s="2631"/>
      <c r="S94" s="2710">
        <v>2002</v>
      </c>
      <c r="T94" s="2711">
        <v>3.59</v>
      </c>
      <c r="U94" s="2711">
        <v>4.54</v>
      </c>
      <c r="V94" s="2711">
        <v>2.5499999999999998</v>
      </c>
    </row>
    <row r="95" spans="1:22">
      <c r="G95" s="2626"/>
      <c r="N95" s="2630"/>
      <c r="O95" s="2631"/>
      <c r="P95" s="2631"/>
      <c r="Q95" s="2631"/>
    </row>
    <row r="96" spans="1: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row>
    <row r="105" spans="7:19">
      <c r="G105" s="2626"/>
      <c r="N105" s="2630"/>
      <c r="O105" s="2631"/>
      <c r="P105" s="2631"/>
      <c r="Q105" s="2631"/>
      <c r="S105" s="2626"/>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row r="110" spans="7:19">
      <c r="G110" s="2626"/>
      <c r="N110" s="2630"/>
      <c r="O110" s="2631"/>
      <c r="P110" s="2631"/>
      <c r="Q110" s="2631"/>
      <c r="S110" s="2626"/>
    </row>
  </sheetData>
  <sheetProtection sheet="1" objects="1" scenarios="1" formatCells="0" formatColumns="0" formatRows="0"/>
  <mergeCells count="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 ref="G12:G15"/>
    <mergeCell ref="G8:G11"/>
    <mergeCell ref="G36:G39"/>
    <mergeCell ref="G40:G43"/>
    <mergeCell ref="G44:G47"/>
    <mergeCell ref="G16:G19"/>
    <mergeCell ref="G20:G23"/>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26" sqref="C126:F13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1" t="s">
        <v>2941</v>
      </c>
      <c r="B1" s="3053"/>
      <c r="C1" s="3053"/>
      <c r="D1" s="3053"/>
      <c r="E1" s="3053"/>
      <c r="F1" s="3053"/>
    </row>
    <row r="2" spans="1:6" ht="14.25">
      <c r="A2" s="3054" t="s">
        <v>2936</v>
      </c>
      <c r="B2" s="3055" t="e">
        <f ca="1">SUMIF(B7:B14,"&lt;&gt;#ref!",B7:B14)</f>
        <v>#DIV/0!</v>
      </c>
      <c r="C2" s="3054" t="s">
        <v>2937</v>
      </c>
      <c r="D2" s="3053"/>
      <c r="E2" s="3053"/>
      <c r="F2" s="3053"/>
    </row>
    <row r="3" spans="1:6" ht="14.25">
      <c r="A3" s="3054" t="s">
        <v>2969</v>
      </c>
      <c r="B3" s="3055" t="e">
        <f ca="1">ROUND(B2*10000/E3,0)</f>
        <v>#DIV/0!</v>
      </c>
      <c r="C3" s="3054" t="s">
        <v>2078</v>
      </c>
      <c r="D3" s="3054" t="s">
        <v>2938</v>
      </c>
      <c r="E3" s="3055">
        <f ca="1">SUMIF(E7:E14,"&lt;&gt;#ref!",E7:E14)</f>
        <v>0</v>
      </c>
      <c r="F3" s="3053"/>
    </row>
    <row r="4" spans="1:6" ht="14.25">
      <c r="A4" s="3054" t="s">
        <v>2945</v>
      </c>
      <c r="B4" s="3055" t="e">
        <f ca="1">ROUND(B2*10000/E4,0)</f>
        <v>#DIV/0!</v>
      </c>
      <c r="C4" s="3054" t="s">
        <v>2078</v>
      </c>
      <c r="D4" s="3054" t="s">
        <v>2946</v>
      </c>
      <c r="E4" s="3055">
        <f ca="1">SUMIF(F7:F14,"&lt;&gt;#ref!",F7:F14)</f>
        <v>0</v>
      </c>
      <c r="F4" s="3053"/>
    </row>
    <row r="5" spans="1:6" ht="14.25">
      <c r="A5" s="3056"/>
      <c r="B5" s="1866"/>
      <c r="C5" s="1866"/>
      <c r="D5" s="1866"/>
      <c r="E5" s="1866"/>
      <c r="F5" s="3053"/>
    </row>
    <row r="6" spans="1:6" ht="28.5">
      <c r="A6" s="3057" t="s">
        <v>2942</v>
      </c>
      <c r="B6" s="3054" t="s">
        <v>2939</v>
      </c>
      <c r="C6" s="3055"/>
      <c r="D6" s="1866"/>
      <c r="E6" s="3054" t="s">
        <v>2940</v>
      </c>
      <c r="F6" s="3054" t="s">
        <v>2944</v>
      </c>
    </row>
    <row r="7" spans="1:6" ht="14.25">
      <c r="A7" s="260" t="s">
        <v>2943</v>
      </c>
      <c r="B7" s="3058" t="e">
        <f ca="1">SUMIF(INDIRECT("'"&amp;A7&amp;"'"&amp;"!A:A"),"总价",INDIRECT("'"&amp;A7&amp;"'"&amp;"!B:B"))</f>
        <v>#DIV/0!</v>
      </c>
      <c r="C7" s="3054" t="s">
        <v>2937</v>
      </c>
      <c r="D7" s="1866"/>
      <c r="E7" s="3059">
        <f ca="1">SUMIF(INDIRECT("'"&amp;A7&amp;"'"&amp;"!C:C"),"建筑面积",INDIRECT("'"&amp;A7&amp;"'"&amp;"!D:D"))</f>
        <v>0</v>
      </c>
      <c r="F7" s="3059">
        <f ca="1">SUMIF(INDIRECT("'"&amp;A7&amp;"'"&amp;"!E:E"),"土地面积",INDIRECT("'"&amp;A7&amp;"'"&amp;"!F:F"))</f>
        <v>0</v>
      </c>
    </row>
    <row r="8" spans="1:6" ht="14.25">
      <c r="A8" s="260"/>
      <c r="B8" s="3058" t="e">
        <f t="shared" ref="B8:B14" ca="1" si="0">SUMIF(INDIRECT("'"&amp;A8&amp;"'"&amp;"!A:A"),"总价",INDIRECT("'"&amp;A8&amp;"'"&amp;"!B:B"))</f>
        <v>#REF!</v>
      </c>
      <c r="C8" s="3054" t="s">
        <v>2937</v>
      </c>
      <c r="D8" s="1866"/>
      <c r="E8" s="3059" t="e">
        <f t="shared" ref="E8:E14" ca="1" si="1">SUMIF(INDIRECT("'"&amp;A8&amp;"'"&amp;"!C:C"),"建筑面积",INDIRECT("'"&amp;A8&amp;"'"&amp;"!D:D"))</f>
        <v>#REF!</v>
      </c>
      <c r="F8" s="3059" t="e">
        <f t="shared" ref="F8:F14" ca="1" si="2">SUMIF(INDIRECT("'"&amp;A8&amp;"'"&amp;"!E:E"),"土地面积",INDIRECT("'"&amp;A8&amp;"'"&amp;"!F:F"))</f>
        <v>#REF!</v>
      </c>
    </row>
    <row r="9" spans="1:6" ht="14.25">
      <c r="A9" s="260"/>
      <c r="B9" s="3058" t="e">
        <f t="shared" ca="1" si="0"/>
        <v>#REF!</v>
      </c>
      <c r="C9" s="3054" t="s">
        <v>2937</v>
      </c>
      <c r="D9" s="1866"/>
      <c r="E9" s="3059" t="e">
        <f t="shared" ca="1" si="1"/>
        <v>#REF!</v>
      </c>
      <c r="F9" s="3059" t="e">
        <f t="shared" ca="1" si="2"/>
        <v>#REF!</v>
      </c>
    </row>
    <row r="10" spans="1:6" ht="14.25">
      <c r="A10" s="260"/>
      <c r="B10" s="3058" t="e">
        <f t="shared" ca="1" si="0"/>
        <v>#REF!</v>
      </c>
      <c r="C10" s="3054" t="s">
        <v>2937</v>
      </c>
      <c r="D10" s="1866"/>
      <c r="E10" s="3059" t="e">
        <f t="shared" ca="1" si="1"/>
        <v>#REF!</v>
      </c>
      <c r="F10" s="3059" t="e">
        <f t="shared" ca="1" si="2"/>
        <v>#REF!</v>
      </c>
    </row>
    <row r="11" spans="1:6" ht="14.25">
      <c r="A11" s="260"/>
      <c r="B11" s="3058" t="e">
        <f t="shared" ca="1" si="0"/>
        <v>#REF!</v>
      </c>
      <c r="C11" s="3054" t="s">
        <v>2937</v>
      </c>
      <c r="D11" s="1866"/>
      <c r="E11" s="3059" t="e">
        <f t="shared" ca="1" si="1"/>
        <v>#REF!</v>
      </c>
      <c r="F11" s="3059" t="e">
        <f t="shared" ca="1" si="2"/>
        <v>#REF!</v>
      </c>
    </row>
    <row r="12" spans="1:6" ht="14.25">
      <c r="A12" s="260"/>
      <c r="B12" s="3058" t="e">
        <f t="shared" ca="1" si="0"/>
        <v>#REF!</v>
      </c>
      <c r="C12" s="3054" t="s">
        <v>2937</v>
      </c>
      <c r="D12" s="1866"/>
      <c r="E12" s="3059" t="e">
        <f t="shared" ca="1" si="1"/>
        <v>#REF!</v>
      </c>
      <c r="F12" s="3059" t="e">
        <f t="shared" ca="1" si="2"/>
        <v>#REF!</v>
      </c>
    </row>
    <row r="13" spans="1:6" ht="14.25">
      <c r="A13" s="260"/>
      <c r="B13" s="3058" t="e">
        <f t="shared" ca="1" si="0"/>
        <v>#REF!</v>
      </c>
      <c r="C13" s="3054" t="s">
        <v>2937</v>
      </c>
      <c r="D13" s="1866"/>
      <c r="E13" s="3059" t="e">
        <f t="shared" ca="1" si="1"/>
        <v>#REF!</v>
      </c>
      <c r="F13" s="3059" t="e">
        <f t="shared" ca="1" si="2"/>
        <v>#REF!</v>
      </c>
    </row>
    <row r="14" spans="1:6" ht="14.25">
      <c r="A14" s="3052"/>
      <c r="B14" s="3058" t="e">
        <f t="shared" ca="1" si="0"/>
        <v>#REF!</v>
      </c>
      <c r="C14" s="3054" t="s">
        <v>2937</v>
      </c>
      <c r="D14" s="1866"/>
      <c r="E14" s="3059" t="e">
        <f t="shared" ca="1" si="1"/>
        <v>#REF!</v>
      </c>
      <c r="F14" s="3059"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C126" sqref="C126:F131"/>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2" t="s">
        <v>628</v>
      </c>
      <c r="B1" s="738"/>
      <c r="C1" s="773"/>
      <c r="D1" s="2035"/>
      <c r="E1" s="2351" t="s">
        <v>2373</v>
      </c>
      <c r="F1" s="2352">
        <f ca="1">J54</f>
        <v>-2</v>
      </c>
      <c r="G1" s="774">
        <f>MATCH(C1,'数据-取费表'!A6:A16,0)+5</f>
        <v>9</v>
      </c>
      <c r="H1" s="1346"/>
      <c r="I1" s="2036"/>
      <c r="J1" s="2036"/>
      <c r="K1" s="2037"/>
      <c r="L1" s="2036"/>
      <c r="M1" s="2036"/>
      <c r="N1" s="2038"/>
      <c r="O1" s="2038"/>
      <c r="P1" s="2038"/>
      <c r="Q1" s="2038"/>
      <c r="R1" s="2038"/>
      <c r="S1" s="2038"/>
      <c r="T1" s="2038"/>
      <c r="U1" s="2038"/>
      <c r="V1" s="2038"/>
      <c r="W1" s="2038"/>
      <c r="X1" s="2038"/>
      <c r="Y1" s="2038"/>
    </row>
    <row r="2" spans="1:25" ht="18" customHeight="1">
      <c r="A2" s="1629" t="s">
        <v>629</v>
      </c>
      <c r="B2" s="775">
        <f ca="1">IF(ISERROR(C45+J31),0,C45+J31)</f>
        <v>0</v>
      </c>
      <c r="C2" s="1347"/>
      <c r="D2" s="2040"/>
      <c r="E2" s="2041"/>
      <c r="F2" s="2041"/>
      <c r="G2" s="1576"/>
      <c r="H2" s="1359"/>
      <c r="I2" s="2042"/>
      <c r="J2" s="2042"/>
      <c r="K2" s="2043"/>
      <c r="L2" s="2042"/>
      <c r="M2" s="2042"/>
    </row>
    <row r="3" spans="1:25" ht="18" customHeight="1">
      <c r="A3" s="1630" t="s">
        <v>1686</v>
      </c>
      <c r="B3" s="1387">
        <f ca="1">ROUND(B2*10000/'数据-汇总表'!E3,0)</f>
        <v>0</v>
      </c>
      <c r="C3" s="1347"/>
      <c r="D3" s="2040"/>
      <c r="E3" s="2041"/>
      <c r="F3" s="2041"/>
      <c r="G3" s="1576"/>
      <c r="H3" s="776" t="s">
        <v>695</v>
      </c>
      <c r="I3" s="2042"/>
      <c r="J3" s="2042"/>
      <c r="K3" s="2043"/>
      <c r="L3" s="2042"/>
      <c r="M3" s="2042"/>
    </row>
    <row r="4" spans="1:25" ht="18" customHeight="1">
      <c r="A4" s="1631" t="s">
        <v>696</v>
      </c>
      <c r="B4" s="1348">
        <f ca="1">ROUND(B2*10000/'数据-汇总表'!D3,0)</f>
        <v>0</v>
      </c>
      <c r="C4" s="428"/>
      <c r="D4" s="2040"/>
      <c r="E4" s="2041"/>
      <c r="F4" s="2041"/>
      <c r="G4" s="1576"/>
      <c r="H4" s="776"/>
      <c r="I4" s="2042"/>
      <c r="J4" s="2042"/>
      <c r="K4" s="2043"/>
      <c r="L4" s="2042"/>
      <c r="M4" s="2042"/>
    </row>
    <row r="5" spans="1:25" ht="18" customHeight="1" thickBot="1">
      <c r="A5" s="1632"/>
      <c r="B5" s="430">
        <f ca="1">ROUND(B2/('数据-汇总表'!D3/666.67),0)</f>
        <v>0</v>
      </c>
      <c r="C5" s="431" t="s">
        <v>697</v>
      </c>
      <c r="D5" s="2040"/>
      <c r="E5" s="2041"/>
      <c r="F5" s="2041"/>
      <c r="G5" s="1576"/>
      <c r="H5" s="776"/>
      <c r="I5" s="2042"/>
      <c r="J5" s="2042"/>
      <c r="K5" s="2043"/>
      <c r="L5" s="2042"/>
      <c r="M5" s="2042"/>
    </row>
    <row r="6" spans="1:25" ht="18" customHeight="1">
      <c r="A6" s="1813" t="s">
        <v>698</v>
      </c>
      <c r="B6" s="1805" t="s">
        <v>699</v>
      </c>
      <c r="C6" s="1805" t="s">
        <v>632</v>
      </c>
      <c r="D6" s="1805" t="s">
        <v>633</v>
      </c>
      <c r="E6" s="779" t="s">
        <v>634</v>
      </c>
      <c r="F6" s="780"/>
      <c r="G6" s="1578"/>
      <c r="H6" s="1813" t="s">
        <v>630</v>
      </c>
      <c r="I6" s="1805" t="s">
        <v>631</v>
      </c>
      <c r="J6" s="1805" t="s">
        <v>632</v>
      </c>
      <c r="K6" s="1805" t="s">
        <v>633</v>
      </c>
      <c r="L6" s="779" t="s">
        <v>634</v>
      </c>
      <c r="M6" s="780"/>
    </row>
    <row r="7" spans="1:25" ht="18" customHeight="1">
      <c r="A7" s="781">
        <v>1</v>
      </c>
      <c r="B7" s="782" t="s">
        <v>2455</v>
      </c>
      <c r="C7" s="53">
        <f ca="1">C8+C12+C14</f>
        <v>0</v>
      </c>
      <c r="D7" s="2460" t="s">
        <v>2458</v>
      </c>
      <c r="E7" s="2454"/>
      <c r="F7" s="2455"/>
      <c r="G7" s="1578"/>
      <c r="H7" s="781">
        <v>1</v>
      </c>
      <c r="I7" s="782" t="s">
        <v>2455</v>
      </c>
      <c r="J7" s="53">
        <f ca="1">J8+J12+J14</f>
        <v>0</v>
      </c>
      <c r="K7" s="2460" t="s">
        <v>2458</v>
      </c>
      <c r="L7" s="2454"/>
      <c r="M7" s="2455"/>
    </row>
    <row r="8" spans="1:25" ht="18" customHeight="1">
      <c r="A8" s="1815" t="s">
        <v>1824</v>
      </c>
      <c r="B8" s="3513" t="s">
        <v>2460</v>
      </c>
      <c r="C8" s="1810">
        <f ca="1">ROUND(F8*F10*F9*(1-F11)/10000,0)</f>
        <v>0</v>
      </c>
      <c r="D8" s="1807" t="s">
        <v>2531</v>
      </c>
      <c r="E8" s="61" t="s">
        <v>637</v>
      </c>
      <c r="F8" s="785">
        <f ca="1">INDIRECT("'数据-取费表'!u"&amp;$G$1)</f>
        <v>0</v>
      </c>
      <c r="G8" s="1578"/>
      <c r="H8" s="2468" t="s">
        <v>1824</v>
      </c>
      <c r="I8" s="3513" t="s">
        <v>2460</v>
      </c>
      <c r="J8" s="783">
        <f ca="1">ROUND(M8*M10*M9*(1-M11)/10000,0)</f>
        <v>0</v>
      </c>
      <c r="K8" s="341" t="s">
        <v>2531</v>
      </c>
      <c r="L8" s="784" t="s">
        <v>1738</v>
      </c>
      <c r="M8" s="785">
        <f ca="1">INDIRECT("'数据-取费表'!z"&amp;$G$1)</f>
        <v>0</v>
      </c>
    </row>
    <row r="9" spans="1:25" ht="18" customHeight="1">
      <c r="A9" s="2464"/>
      <c r="B9" s="3514"/>
      <c r="C9" s="1811"/>
      <c r="D9" s="1808"/>
      <c r="E9" s="61" t="s">
        <v>638</v>
      </c>
      <c r="F9" s="785">
        <f ca="1">IF(INDIRECT("'数据-取费表'!ah"&amp;$G$1)="",INDIRECT("'数据-取费表'!k"&amp;$G$1),INDIRECT("'数据-取费表'!ah"&amp;$G$1))</f>
        <v>0</v>
      </c>
      <c r="G9" s="1578"/>
      <c r="H9" s="2453"/>
      <c r="I9" s="3514"/>
      <c r="J9" s="788"/>
      <c r="K9" s="789"/>
      <c r="L9" s="784" t="s">
        <v>1739</v>
      </c>
      <c r="M9" s="785">
        <f ca="1">F9</f>
        <v>0</v>
      </c>
    </row>
    <row r="10" spans="1:25" ht="18" customHeight="1">
      <c r="A10" s="2457"/>
      <c r="B10" s="3515"/>
      <c r="C10" s="1811"/>
      <c r="D10" s="1808"/>
      <c r="E10" s="61" t="s">
        <v>639</v>
      </c>
      <c r="F10" s="785">
        <f ca="1">INDIRECT("'数据-取费表'!ai"&amp;$G$1)</f>
        <v>0</v>
      </c>
      <c r="G10" s="1578"/>
      <c r="H10" s="2453"/>
      <c r="I10" s="3515"/>
      <c r="J10" s="788"/>
      <c r="K10" s="789"/>
      <c r="L10" s="784" t="s">
        <v>1740</v>
      </c>
      <c r="M10" s="785">
        <f ca="1">INDIRECT("'数据-取费表'!ai"&amp;$G$1)</f>
        <v>0</v>
      </c>
    </row>
    <row r="11" spans="1:25" ht="18" customHeight="1">
      <c r="A11" s="786"/>
      <c r="B11" s="3516"/>
      <c r="C11" s="1811"/>
      <c r="D11" s="1808"/>
      <c r="E11" s="61" t="s">
        <v>640</v>
      </c>
      <c r="F11" s="794">
        <f ca="1">INDIRECT("'数据-取费表'!w"&amp;$G$1)</f>
        <v>0</v>
      </c>
      <c r="G11" s="1578"/>
      <c r="H11" s="2469"/>
      <c r="I11" s="3515"/>
      <c r="J11" s="788"/>
      <c r="K11" s="789"/>
      <c r="L11" s="795" t="s">
        <v>1741</v>
      </c>
      <c r="M11" s="796">
        <f ca="1">INDIRECT("'数据-取费表'!ab"&amp;$G$1)</f>
        <v>0</v>
      </c>
    </row>
    <row r="12" spans="1:25" ht="18" customHeight="1">
      <c r="A12" s="1815" t="s">
        <v>1825</v>
      </c>
      <c r="B12" s="2458" t="s">
        <v>2456</v>
      </c>
      <c r="C12" s="799">
        <f ca="1">ROUND(IF(F12="押一",C8/12*F13,IF(F12="押二",C8/12*2*F13,IF(F12="押三",C8/12*3*F13,C13*F13))),0)</f>
        <v>0</v>
      </c>
      <c r="D12" s="2465" t="s">
        <v>2966</v>
      </c>
      <c r="E12" s="2462" t="s">
        <v>2461</v>
      </c>
      <c r="F12" s="2585"/>
      <c r="G12" s="1578"/>
      <c r="H12" s="2525" t="s">
        <v>1825</v>
      </c>
      <c r="I12" s="2530" t="s">
        <v>2456</v>
      </c>
      <c r="J12" s="783">
        <f ca="1">ROUND(IF(M12="押一",J8/12*M13,IF(M12="押二",J8/12*2*M13,IF(M12="押三",J8/12*3*M13,J13*M13))),0)</f>
        <v>0</v>
      </c>
      <c r="K12" s="2465" t="s">
        <v>2966</v>
      </c>
      <c r="L12" s="2462" t="s">
        <v>2461</v>
      </c>
      <c r="M12" s="2585"/>
    </row>
    <row r="13" spans="1:25" ht="18" customHeight="1">
      <c r="A13" s="790"/>
      <c r="B13" s="2459" t="s">
        <v>2570</v>
      </c>
      <c r="C13" s="2463"/>
      <c r="D13" s="789"/>
      <c r="E13" s="2462" t="s">
        <v>2453</v>
      </c>
      <c r="F13" s="796">
        <f ca="1">'数据-取费表'!B39</f>
        <v>1.4999999999999999E-2</v>
      </c>
      <c r="G13" s="1578"/>
      <c r="H13" s="2526"/>
      <c r="I13" s="2459" t="s">
        <v>2570</v>
      </c>
      <c r="J13" s="2463"/>
      <c r="K13" s="2527"/>
      <c r="L13" s="2462" t="s">
        <v>2453</v>
      </c>
      <c r="M13" s="2456">
        <f ca="1">'数据-取费表'!B39</f>
        <v>1.4999999999999999E-2</v>
      </c>
    </row>
    <row r="14" spans="1:25" ht="18" customHeight="1" thickBot="1">
      <c r="A14" s="2501" t="s">
        <v>2464</v>
      </c>
      <c r="B14" s="2502" t="s">
        <v>2457</v>
      </c>
      <c r="C14" s="2503"/>
      <c r="D14" s="2504"/>
      <c r="E14" s="2505"/>
      <c r="F14" s="2506"/>
      <c r="G14" s="1578"/>
      <c r="H14" s="2515" t="s">
        <v>2464</v>
      </c>
      <c r="I14" s="2528" t="s">
        <v>2457</v>
      </c>
      <c r="J14" s="2529"/>
      <c r="K14" s="2504"/>
      <c r="L14" s="2505"/>
      <c r="M14" s="2518"/>
    </row>
    <row r="15" spans="1:25" ht="18" customHeight="1" thickTop="1">
      <c r="A15" s="1814" t="s">
        <v>1874</v>
      </c>
      <c r="B15" s="1812" t="s">
        <v>641</v>
      </c>
      <c r="C15" s="792">
        <f ca="1">ROUND(C31*F15,0)</f>
        <v>0</v>
      </c>
      <c r="D15" s="1819" t="s">
        <v>642</v>
      </c>
      <c r="E15" s="795" t="s">
        <v>643</v>
      </c>
      <c r="F15" s="800">
        <f ca="1">INDIRECT("'数据-取费表'!y"&amp;$G$1)</f>
        <v>0</v>
      </c>
      <c r="G15" s="1578"/>
      <c r="H15" s="1814" t="s">
        <v>1826</v>
      </c>
      <c r="I15" s="1812" t="s">
        <v>644</v>
      </c>
      <c r="J15" s="1804">
        <f ca="1">ROUND(J16*J17,0)</f>
        <v>0</v>
      </c>
      <c r="K15" s="1806" t="s">
        <v>642</v>
      </c>
      <c r="L15" s="801"/>
      <c r="M15" s="802"/>
    </row>
    <row r="16" spans="1:25" ht="18" customHeight="1">
      <c r="A16" s="803" t="s">
        <v>1875</v>
      </c>
      <c r="B16" s="784" t="s">
        <v>645</v>
      </c>
      <c r="C16" s="804">
        <f ca="1">INDIRECT("'数据-取费表'!m"&amp;$G$1)+INDIRECT("'数据-取费表'!t"&amp;$G$1)</f>
        <v>0</v>
      </c>
      <c r="D16" s="1964" t="s">
        <v>646</v>
      </c>
      <c r="E16" s="1965"/>
      <c r="F16" s="805"/>
      <c r="G16" s="1578"/>
      <c r="H16" s="803" t="s">
        <v>2069</v>
      </c>
      <c r="I16" s="2216" t="s">
        <v>2822</v>
      </c>
      <c r="J16" s="53">
        <f ca="1">C31</f>
        <v>0</v>
      </c>
      <c r="K16" s="26"/>
      <c r="L16" s="801"/>
      <c r="M16" s="802"/>
    </row>
    <row r="17" spans="1:25" s="2049" customFormat="1" ht="18" customHeight="1">
      <c r="A17" s="803" t="s">
        <v>1849</v>
      </c>
      <c r="B17" s="784" t="s">
        <v>647</v>
      </c>
      <c r="C17" s="53">
        <f ca="1">ROUND(C16*F17,0)</f>
        <v>0</v>
      </c>
      <c r="D17" s="806" t="s">
        <v>648</v>
      </c>
      <c r="E17" s="806" t="s">
        <v>649</v>
      </c>
      <c r="F17" s="807">
        <f>'数据-取费表'!B33</f>
        <v>0.03</v>
      </c>
      <c r="G17" s="1579"/>
      <c r="H17" s="803" t="s">
        <v>2070</v>
      </c>
      <c r="I17" s="784" t="s">
        <v>643</v>
      </c>
      <c r="J17" s="808">
        <f ca="1">INDIRECT("'数据-取费表'!ad"&amp;$G$1)</f>
        <v>0</v>
      </c>
      <c r="K17" s="26"/>
      <c r="L17" s="801"/>
      <c r="M17" s="802"/>
      <c r="N17" s="2048"/>
      <c r="O17" s="2048"/>
      <c r="P17" s="2048"/>
      <c r="Q17" s="2048"/>
      <c r="R17" s="2048"/>
      <c r="S17" s="2048"/>
      <c r="T17" s="2048"/>
      <c r="U17" s="2048"/>
      <c r="V17" s="2048"/>
      <c r="W17" s="2048"/>
      <c r="X17" s="2048"/>
      <c r="Y17" s="2048"/>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8"/>
      <c r="H18" s="797" t="s">
        <v>1827</v>
      </c>
      <c r="I18" s="798" t="s">
        <v>651</v>
      </c>
      <c r="J18" s="799">
        <f ca="1">ROUND(J19+J24+J25+J26,0)</f>
        <v>0</v>
      </c>
      <c r="K18" s="26" t="s">
        <v>652</v>
      </c>
      <c r="L18" s="1967"/>
      <c r="M18" s="56"/>
    </row>
    <row r="19" spans="1:25" s="2049" customFormat="1" ht="18" customHeight="1">
      <c r="A19" s="803" t="s">
        <v>1851</v>
      </c>
      <c r="B19" s="784" t="s">
        <v>653</v>
      </c>
      <c r="C19" s="53">
        <f ca="1">ROUND(F19*(INDIRECT("'数据-取费表'!k"&amp;$G$1)+INDIRECT("'数据-取费表'!S"&amp;$G$1))/10000,0)</f>
        <v>0</v>
      </c>
      <c r="D19" s="784" t="s">
        <v>654</v>
      </c>
      <c r="E19" s="784" t="s">
        <v>655</v>
      </c>
      <c r="F19" s="56">
        <f>'数据-取费表'!B35</f>
        <v>200</v>
      </c>
      <c r="G19" s="1579"/>
      <c r="H19" s="803" t="s">
        <v>2069</v>
      </c>
      <c r="I19" s="784" t="s">
        <v>656</v>
      </c>
      <c r="J19" s="53">
        <f ca="1">ROUND(IF(项目基本情况!B11="自然人",J8*M19/(1+'数据-取费表'!C42),J20+J21+J22),0)</f>
        <v>0</v>
      </c>
      <c r="K19" s="1964" t="s">
        <v>657</v>
      </c>
      <c r="L19" s="1962" t="s">
        <v>658</v>
      </c>
      <c r="M19" s="810" t="str">
        <f ca="1">IF(项目基本情况!B11="企业","",IF(INDIRECT("'数据-取费表'!c"&amp;$G$1)="住宅",5%,IF(M8*M9*M10/12/(1+'数据-取费表'!C42)&gt;20000,12%,7%)))</f>
        <v/>
      </c>
      <c r="N19" s="2048"/>
      <c r="O19" s="2048"/>
      <c r="P19" s="2048"/>
      <c r="Q19" s="2048"/>
      <c r="R19" s="2048"/>
      <c r="S19" s="2048"/>
      <c r="T19" s="2048"/>
      <c r="U19" s="2048"/>
      <c r="V19" s="2048"/>
      <c r="W19" s="2048"/>
      <c r="X19" s="2048"/>
      <c r="Y19" s="2048"/>
    </row>
    <row r="20" spans="1:25" s="2049" customFormat="1" ht="18" customHeight="1">
      <c r="A20" s="803" t="s">
        <v>1852</v>
      </c>
      <c r="B20" s="784" t="s">
        <v>659</v>
      </c>
      <c r="C20" s="53">
        <f ca="1">ROUND(C16*F20,0)</f>
        <v>0</v>
      </c>
      <c r="D20" s="784" t="s">
        <v>648</v>
      </c>
      <c r="E20" s="784" t="s">
        <v>649</v>
      </c>
      <c r="F20" s="809">
        <f>'数据-取费表'!B36</f>
        <v>1.4999999999999999E-2</v>
      </c>
      <c r="G20" s="1579"/>
      <c r="H20" s="803" t="s">
        <v>1831</v>
      </c>
      <c r="I20" s="784" t="s">
        <v>660</v>
      </c>
      <c r="J20" s="53">
        <f ca="1">ROUND(J8*M20/(1+'数据-取费表'!C42),1)</f>
        <v>0</v>
      </c>
      <c r="K20" s="1962" t="s">
        <v>661</v>
      </c>
      <c r="L20" s="784" t="s">
        <v>649</v>
      </c>
      <c r="M20" s="809">
        <f>'数据-取费表'!B41</f>
        <v>5.6500000000000002E-2</v>
      </c>
      <c r="N20" s="2048"/>
      <c r="O20" s="2048"/>
      <c r="P20" s="2048"/>
      <c r="Q20" s="2048"/>
      <c r="R20" s="2048"/>
      <c r="S20" s="2048"/>
      <c r="T20" s="2048"/>
      <c r="U20" s="2048"/>
      <c r="V20" s="2048"/>
      <c r="W20" s="2048"/>
      <c r="X20" s="2048"/>
      <c r="Y20" s="2048"/>
    </row>
    <row r="21" spans="1:25" ht="18" customHeight="1">
      <c r="A21" s="803" t="s">
        <v>1876</v>
      </c>
      <c r="B21" s="784" t="s">
        <v>662</v>
      </c>
      <c r="C21" s="53">
        <f ca="1">SUM(C16:C20)</f>
        <v>0</v>
      </c>
      <c r="D21" s="261" t="s">
        <v>663</v>
      </c>
      <c r="E21" s="1967"/>
      <c r="F21" s="56"/>
      <c r="G21" s="1578"/>
      <c r="H21" s="1815" t="s">
        <v>1849</v>
      </c>
      <c r="I21" s="784" t="s">
        <v>664</v>
      </c>
      <c r="J21" s="53">
        <f ca="1">IF(K21="按租金收入计税",ROUND(J8*M21/(1+'数据-取费表'!C42),1),ROUND(C31*F35*0.7,1))</f>
        <v>0</v>
      </c>
      <c r="K21" s="811" t="s">
        <v>665</v>
      </c>
      <c r="L21" s="784" t="s">
        <v>649</v>
      </c>
      <c r="M21" s="809">
        <f>IF(K21="按租金收入计税",'数据-取费表'!B51,'数据-取费表'!B50)</f>
        <v>1.2E-2</v>
      </c>
    </row>
    <row r="22" spans="1:25" s="2049" customFormat="1" ht="18" customHeight="1">
      <c r="A22" s="803" t="s">
        <v>1877</v>
      </c>
      <c r="B22" s="784" t="s">
        <v>666</v>
      </c>
      <c r="C22" s="53">
        <f ca="1">ROUND(C21*F22,0)</f>
        <v>0</v>
      </c>
      <c r="D22" s="812" t="s">
        <v>667</v>
      </c>
      <c r="E22" s="784" t="s">
        <v>649</v>
      </c>
      <c r="F22" s="809">
        <f>'数据-取费表'!B37</f>
        <v>0.02</v>
      </c>
      <c r="G22" s="1579"/>
      <c r="H22" s="1817" t="s">
        <v>1850</v>
      </c>
      <c r="I22" s="1807" t="s">
        <v>668</v>
      </c>
      <c r="J22" s="54">
        <f ca="1">ROUND(M22*M23/10000,0)</f>
        <v>0</v>
      </c>
      <c r="K22" s="814" t="s">
        <v>669</v>
      </c>
      <c r="L22" s="784" t="s">
        <v>670</v>
      </c>
      <c r="M22" s="640">
        <f>'数据-取费表'!B52</f>
        <v>9</v>
      </c>
      <c r="N22" s="2048"/>
      <c r="O22" s="2048"/>
      <c r="P22" s="2048"/>
      <c r="Q22" s="2048"/>
      <c r="R22" s="2048"/>
      <c r="S22" s="2048"/>
      <c r="T22" s="2048"/>
      <c r="U22" s="2048"/>
      <c r="V22" s="2048"/>
      <c r="W22" s="2048"/>
      <c r="X22" s="2048"/>
      <c r="Y22" s="2048"/>
    </row>
    <row r="23" spans="1:25" s="2049" customFormat="1" ht="18" customHeight="1">
      <c r="A23" s="803" t="s">
        <v>1878</v>
      </c>
      <c r="B23" s="784" t="s">
        <v>671</v>
      </c>
      <c r="C23" s="53" t="s">
        <v>1</v>
      </c>
      <c r="D23" s="812" t="s">
        <v>672</v>
      </c>
      <c r="E23" s="784" t="s">
        <v>673</v>
      </c>
      <c r="F23" s="809">
        <f>'数据-取费表'!B38</f>
        <v>0.02</v>
      </c>
      <c r="G23" s="1579"/>
      <c r="H23" s="1818"/>
      <c r="I23" s="1809"/>
      <c r="J23" s="69"/>
      <c r="K23" s="816"/>
      <c r="L23" s="784" t="s">
        <v>674</v>
      </c>
      <c r="M23" s="785">
        <f ca="1">INDIRECT("'数据-取费表'!r"&amp;$G$1)</f>
        <v>0</v>
      </c>
      <c r="N23" s="2048"/>
      <c r="O23" s="2048"/>
      <c r="P23" s="2048"/>
      <c r="Q23" s="2048"/>
      <c r="R23" s="2048"/>
      <c r="S23" s="2048"/>
      <c r="T23" s="2048"/>
      <c r="U23" s="2048"/>
      <c r="V23" s="2048"/>
      <c r="W23" s="2048"/>
      <c r="X23" s="2048"/>
      <c r="Y23" s="2048"/>
    </row>
    <row r="24" spans="1:25" ht="18" customHeight="1">
      <c r="A24" s="803" t="s">
        <v>1879</v>
      </c>
      <c r="B24" s="784" t="s">
        <v>675</v>
      </c>
      <c r="C24" s="53"/>
      <c r="D24" s="2536" t="str">
        <f>IF(F25&lt;=1,"单利计息。","复利计息。")&amp;"建造成本、管理费用、销售费用产生的利息。"</f>
        <v>复利计息。建造成本、管理费用、销售费用产生的利息。</v>
      </c>
      <c r="E24" s="1967"/>
      <c r="F24" s="56"/>
      <c r="G24" s="1578"/>
      <c r="H24" s="1816" t="s">
        <v>2070</v>
      </c>
      <c r="I24" s="784" t="s">
        <v>676</v>
      </c>
      <c r="J24" s="53">
        <f ca="1">ROUND(J16*M24,0)</f>
        <v>0</v>
      </c>
      <c r="K24" s="1962" t="s">
        <v>677</v>
      </c>
      <c r="L24" s="784" t="s">
        <v>649</v>
      </c>
      <c r="M24" s="817">
        <f ca="1">INDIRECT("'数据-取费表'!Ak"&amp;$G$1)</f>
        <v>0</v>
      </c>
    </row>
    <row r="25" spans="1:25" s="2049" customFormat="1" ht="18" customHeight="1">
      <c r="A25" s="803" t="s">
        <v>1875</v>
      </c>
      <c r="B25" s="784" t="s">
        <v>2436</v>
      </c>
      <c r="C25" s="53">
        <f ca="1">ROUND(IF('数据-取费表'!B22&lt;=1,(C21+C22)*F26*F25/2,(C21+C22)*(POWER((1+F26),F25/2)-1)),0)</f>
        <v>0</v>
      </c>
      <c r="D25" s="2535" t="str">
        <f>IF(F25&lt;=1,"(建造成本+管理费用)×利率×(建设周期÷2)","(建造成本+管理费用)×((1+利率)^(建设周期÷2)-1)")</f>
        <v>(建造成本+管理费用)×((1+利率)^(建设周期÷2)-1)</v>
      </c>
      <c r="E25" s="784" t="s">
        <v>678</v>
      </c>
      <c r="F25" s="640">
        <f>'数据-取费表'!B20</f>
        <v>2</v>
      </c>
      <c r="G25" s="1579"/>
      <c r="H25" s="803" t="s">
        <v>1878</v>
      </c>
      <c r="I25" s="784" t="s">
        <v>679</v>
      </c>
      <c r="J25" s="53">
        <f ca="1">ROUND(J15*M25,0)</f>
        <v>0</v>
      </c>
      <c r="K25" s="1962" t="s">
        <v>680</v>
      </c>
      <c r="L25" s="784" t="s">
        <v>649</v>
      </c>
      <c r="M25" s="818">
        <f ca="1">INDIRECT("'数据-取费表'!Al"&amp;$G$1)</f>
        <v>0</v>
      </c>
      <c r="N25" s="2048"/>
      <c r="O25" s="2048"/>
      <c r="P25" s="2048"/>
      <c r="Q25" s="2048"/>
      <c r="R25" s="2048"/>
      <c r="S25" s="2048"/>
      <c r="T25" s="2048"/>
      <c r="U25" s="2048"/>
      <c r="V25" s="2048"/>
      <c r="W25" s="2048"/>
      <c r="X25" s="2048"/>
      <c r="Y25" s="2048"/>
    </row>
    <row r="26" spans="1:25" s="2049" customFormat="1" ht="18" customHeight="1">
      <c r="A26" s="803" t="s">
        <v>1849</v>
      </c>
      <c r="B26" s="784" t="s">
        <v>681</v>
      </c>
      <c r="C26" s="53">
        <f ca="1">ROUND(IF('数据-取费表'!B22&lt;=1,F23*F26*F25/2,F23*(POWER((1+F26),F25/2)-1)),4)</f>
        <v>1E-3</v>
      </c>
      <c r="D26" s="2535" t="str">
        <f>IF(F25&lt;=1,"销售费用×利率×(建设周期÷2)","销售费用×((1+利率)^(建设周期÷2)-1)")</f>
        <v>销售费用×((1+利率)^(建设周期÷2)-1)</v>
      </c>
      <c r="E26" s="784" t="s">
        <v>682</v>
      </c>
      <c r="F26" s="819">
        <f ca="1">'数据-取费表'!B40</f>
        <v>4.7500000000000001E-2</v>
      </c>
      <c r="G26" s="1579"/>
      <c r="H26" s="803" t="s">
        <v>1879</v>
      </c>
      <c r="I26" s="784" t="s">
        <v>666</v>
      </c>
      <c r="J26" s="53">
        <f ca="1">ROUND(J7*M26,0)</f>
        <v>0</v>
      </c>
      <c r="K26" s="1962" t="s">
        <v>683</v>
      </c>
      <c r="L26" s="784" t="s">
        <v>649</v>
      </c>
      <c r="M26" s="794">
        <f ca="1">INDIRECT("'数据-取费表'!Am"&amp;$G$1)</f>
        <v>0</v>
      </c>
      <c r="N26" s="2048"/>
      <c r="O26" s="2048"/>
      <c r="P26" s="2048"/>
      <c r="Q26" s="2048"/>
      <c r="R26" s="2048"/>
      <c r="S26" s="2048"/>
      <c r="T26" s="2048"/>
      <c r="U26" s="2048"/>
      <c r="V26" s="2048"/>
      <c r="W26" s="2048"/>
      <c r="X26" s="2048"/>
      <c r="Y26" s="2048"/>
    </row>
    <row r="27" spans="1:25" ht="18" customHeight="1">
      <c r="A27" s="803" t="s">
        <v>1881</v>
      </c>
      <c r="B27" s="784" t="s">
        <v>684</v>
      </c>
      <c r="C27" s="53"/>
      <c r="D27" s="261" t="s">
        <v>685</v>
      </c>
      <c r="E27" s="1967"/>
      <c r="F27" s="56"/>
      <c r="G27" s="1578"/>
      <c r="H27" s="797" t="s">
        <v>1828</v>
      </c>
      <c r="I27" s="2963" t="s">
        <v>2819</v>
      </c>
      <c r="J27" s="799">
        <f ca="1">J7-J18</f>
        <v>0</v>
      </c>
      <c r="K27" s="1964" t="s">
        <v>700</v>
      </c>
      <c r="L27" s="1966"/>
      <c r="M27" s="820"/>
    </row>
    <row r="28" spans="1:25" ht="18" customHeight="1">
      <c r="A28" s="803" t="s">
        <v>1875</v>
      </c>
      <c r="B28" s="784" t="s">
        <v>2437</v>
      </c>
      <c r="C28" s="53">
        <f ca="1">ROUND((C21+C22)*F28,0)</f>
        <v>0</v>
      </c>
      <c r="D28" s="812" t="s">
        <v>701</v>
      </c>
      <c r="E28" s="795" t="s">
        <v>702</v>
      </c>
      <c r="F28" s="794">
        <f ca="1">INDIRECT("'数据-取费表'!q"&amp;$G$1)</f>
        <v>0</v>
      </c>
      <c r="G28" s="1578"/>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8"/>
      <c r="H29" s="786"/>
      <c r="I29" s="787"/>
      <c r="J29" s="788"/>
      <c r="K29" s="821" t="s">
        <v>707</v>
      </c>
      <c r="L29" s="784" t="s">
        <v>708</v>
      </c>
      <c r="M29" s="822">
        <f ca="1">INDIRECT("'数据-取费表'!ag"&amp;$G$1)</f>
        <v>0</v>
      </c>
    </row>
    <row r="30" spans="1:25" s="2049" customFormat="1" ht="18" customHeight="1">
      <c r="A30" s="803" t="s">
        <v>1882</v>
      </c>
      <c r="B30" s="784" t="s">
        <v>687</v>
      </c>
      <c r="C30" s="53">
        <f>ROUND(F30/(1+'数据-取费表'!C42),4)</f>
        <v>5.3800000000000001E-2</v>
      </c>
      <c r="D30" s="812" t="s">
        <v>709</v>
      </c>
      <c r="E30" s="784" t="s">
        <v>649</v>
      </c>
      <c r="F30" s="809">
        <f>'数据-取费表'!B41</f>
        <v>5.6500000000000002E-2</v>
      </c>
      <c r="G30" s="1579"/>
      <c r="H30" s="790"/>
      <c r="I30" s="791"/>
      <c r="J30" s="792"/>
      <c r="K30" s="816"/>
      <c r="L30" s="784" t="s">
        <v>710</v>
      </c>
      <c r="M30" s="794">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1883</v>
      </c>
      <c r="B31" s="2505" t="s">
        <v>2820</v>
      </c>
      <c r="C31" s="2508">
        <f ca="1">ROUND((C21+C22+C25+C28)/(1-F23-C26-C29-C30),0)</f>
        <v>0</v>
      </c>
      <c r="D31" s="2509"/>
      <c r="E31" s="2510"/>
      <c r="F31" s="2511"/>
      <c r="G31" s="1579"/>
      <c r="H31" s="823" t="s">
        <v>1872</v>
      </c>
      <c r="I31" s="2964" t="s">
        <v>2821</v>
      </c>
      <c r="J31" s="825">
        <f ca="1">ROUND(J28/(1+F45)^F46,0)</f>
        <v>0</v>
      </c>
      <c r="K31" s="826" t="s">
        <v>688</v>
      </c>
      <c r="L31" s="827"/>
      <c r="M31" s="828">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689</v>
      </c>
      <c r="C32" s="792">
        <f ca="1">ROUND(C33+C38+C39+C40,0)</f>
        <v>0</v>
      </c>
      <c r="D32" s="1806" t="s">
        <v>652</v>
      </c>
      <c r="E32" s="2451"/>
      <c r="F32" s="2455"/>
      <c r="G32" s="2047"/>
      <c r="H32" s="2050"/>
      <c r="I32" s="2051"/>
      <c r="J32" s="2052"/>
      <c r="K32" s="2053"/>
      <c r="L32" s="2054"/>
      <c r="M32" s="2055"/>
    </row>
    <row r="33" spans="1:18" ht="18" customHeight="1">
      <c r="A33" s="803" t="s">
        <v>1876</v>
      </c>
      <c r="B33" s="784" t="s">
        <v>656</v>
      </c>
      <c r="C33" s="53">
        <f ca="1">ROUND(IF(项目基本情况!B11="自然人",C8*F33/(1+'数据-取费表'!C42),C34+C35+C36),1)</f>
        <v>0</v>
      </c>
      <c r="D33" s="1964" t="s">
        <v>657</v>
      </c>
      <c r="E33" s="1962" t="s">
        <v>690</v>
      </c>
      <c r="F33" s="810" t="str">
        <f ca="1">IF(项目基本情况!B11="企业","",IF(INDIRECT("'数据-取费表'!c"&amp;$G$1)="住宅",5%,IF(F8*F9*F10/12/(1+'数据-取费表'!C42)&gt;20000,12%,7%)))</f>
        <v/>
      </c>
      <c r="G33" s="2047"/>
      <c r="H33" s="2050"/>
      <c r="I33" s="2051"/>
      <c r="J33" s="2052"/>
      <c r="K33" s="2053"/>
      <c r="L33" s="2054"/>
      <c r="M33" s="2055"/>
    </row>
    <row r="34" spans="1:18" ht="18" customHeight="1">
      <c r="A34" s="803" t="s">
        <v>1875</v>
      </c>
      <c r="B34" s="784" t="s">
        <v>660</v>
      </c>
      <c r="C34" s="53">
        <f ca="1">ROUND(C8*F34/(1+'数据-取费表'!C42),1)</f>
        <v>0</v>
      </c>
      <c r="D34" s="1962" t="s">
        <v>661</v>
      </c>
      <c r="E34" s="784" t="s">
        <v>649</v>
      </c>
      <c r="F34" s="809">
        <f>'数据-取费表'!B41</f>
        <v>5.6500000000000002E-2</v>
      </c>
      <c r="G34" s="2047"/>
      <c r="H34" s="2056"/>
      <c r="I34" s="2057"/>
      <c r="J34" s="2058"/>
      <c r="K34" s="2059"/>
      <c r="L34" s="2060"/>
      <c r="M34" s="2061"/>
    </row>
    <row r="35" spans="1:18" ht="18" customHeight="1">
      <c r="A35" s="803" t="s">
        <v>1849</v>
      </c>
      <c r="B35" s="784" t="s">
        <v>664</v>
      </c>
      <c r="C35" s="53">
        <f ca="1">IF(D35="按租金收入计税",ROUND(C8*F35/(1+'数据-取费表'!C42),1),IF(D35="按房产原值计税",ROUND(C31*F35*0.7,1),INDIRECT("'数据-取费表'!Aj"&amp;$G$1)))</f>
        <v>0</v>
      </c>
      <c r="D35" s="811" t="s">
        <v>1680</v>
      </c>
      <c r="E35" s="784" t="s">
        <v>649</v>
      </c>
      <c r="F35" s="809">
        <f>IF(D35="按租金收入计税",'数据-取费表'!B51,'数据-取费表'!B50)</f>
        <v>1.2E-2</v>
      </c>
      <c r="G35" s="2047"/>
      <c r="H35" s="2062"/>
      <c r="I35" s="2062"/>
      <c r="J35" s="2062"/>
      <c r="K35" s="2063"/>
      <c r="L35" s="2062"/>
      <c r="M35" s="2062"/>
    </row>
    <row r="36" spans="1:18" ht="18" customHeight="1">
      <c r="A36" s="813" t="s">
        <v>1880</v>
      </c>
      <c r="B36" s="341" t="s">
        <v>668</v>
      </c>
      <c r="C36" s="54">
        <f ca="1">ROUND(F36*F37/10000,1)</f>
        <v>0</v>
      </c>
      <c r="D36" s="814" t="s">
        <v>669</v>
      </c>
      <c r="E36" s="784" t="s">
        <v>670</v>
      </c>
      <c r="F36" s="640">
        <f>'数据-取费表'!B52</f>
        <v>9</v>
      </c>
      <c r="G36" s="2047"/>
      <c r="H36" s="2050"/>
      <c r="I36" s="3512"/>
      <c r="J36" s="2064"/>
      <c r="K36" s="2065"/>
      <c r="L36" s="2064"/>
      <c r="M36" s="2064"/>
    </row>
    <row r="37" spans="1:18" ht="18" customHeight="1">
      <c r="A37" s="815"/>
      <c r="B37" s="793"/>
      <c r="C37" s="69"/>
      <c r="D37" s="816"/>
      <c r="E37" s="784" t="s">
        <v>674</v>
      </c>
      <c r="F37" s="785">
        <f ca="1">INDIRECT("'数据-取费表'!r"&amp;$G$1)</f>
        <v>0</v>
      </c>
      <c r="G37" s="2047"/>
      <c r="H37" s="2050"/>
      <c r="I37" s="3512"/>
      <c r="J37" s="2062"/>
      <c r="K37" s="2063"/>
      <c r="L37" s="2062"/>
      <c r="M37" s="2062"/>
    </row>
    <row r="38" spans="1:18" ht="18" customHeight="1">
      <c r="A38" s="803" t="s">
        <v>1877</v>
      </c>
      <c r="B38" s="784" t="s">
        <v>676</v>
      </c>
      <c r="C38" s="53">
        <f ca="1">ROUND(C31*F38,1)</f>
        <v>0</v>
      </c>
      <c r="D38" s="1962" t="s">
        <v>691</v>
      </c>
      <c r="E38" s="784" t="s">
        <v>649</v>
      </c>
      <c r="F38" s="817">
        <f ca="1">INDIRECT("'数据-取费表'!Ak"&amp;$G$1)</f>
        <v>0</v>
      </c>
      <c r="G38" s="2047"/>
      <c r="H38" s="2062"/>
      <c r="I38" s="2066"/>
      <c r="J38" s="1973"/>
      <c r="K38" s="2067"/>
      <c r="L38" s="2062"/>
      <c r="M38" s="2062"/>
    </row>
    <row r="39" spans="1:18" ht="18" customHeight="1">
      <c r="A39" s="803" t="s">
        <v>1878</v>
      </c>
      <c r="B39" s="784" t="s">
        <v>679</v>
      </c>
      <c r="C39" s="53">
        <f ca="1">ROUND(C15*F39,1)</f>
        <v>0</v>
      </c>
      <c r="D39" s="1962" t="s">
        <v>680</v>
      </c>
      <c r="E39" s="784" t="s">
        <v>649</v>
      </c>
      <c r="F39" s="818">
        <f ca="1">INDIRECT("'数据-取费表'!Al"&amp;$G$1)</f>
        <v>0</v>
      </c>
      <c r="G39" s="2047"/>
      <c r="H39" s="2062"/>
      <c r="I39" s="2066"/>
      <c r="J39" s="1973"/>
      <c r="K39" s="2067"/>
      <c r="L39" s="2062"/>
      <c r="M39" s="2062"/>
    </row>
    <row r="40" spans="1:18" ht="18" customHeight="1" thickBot="1">
      <c r="A40" s="2524" t="s">
        <v>1879</v>
      </c>
      <c r="B40" s="2510" t="s">
        <v>666</v>
      </c>
      <c r="C40" s="2508">
        <f ca="1">ROUND(C7*F40,1)</f>
        <v>0</v>
      </c>
      <c r="D40" s="2509" t="s">
        <v>683</v>
      </c>
      <c r="E40" s="2510" t="s">
        <v>649</v>
      </c>
      <c r="F40" s="2506">
        <f ca="1">INDIRECT("'数据-取费表'!Am"&amp;$G$1)</f>
        <v>0</v>
      </c>
      <c r="G40" s="2047"/>
      <c r="H40" s="2062"/>
      <c r="I40" s="2066"/>
      <c r="J40" s="1973"/>
      <c r="K40" s="2068"/>
      <c r="L40" s="2062"/>
      <c r="M40" s="2062"/>
    </row>
    <row r="41" spans="1:18" ht="18" customHeight="1" thickTop="1">
      <c r="A41" s="1814">
        <v>4</v>
      </c>
      <c r="B41" s="1812" t="s">
        <v>692</v>
      </c>
      <c r="C41" s="1349"/>
      <c r="D41" s="1350"/>
      <c r="E41" s="1350"/>
      <c r="F41" s="1351"/>
      <c r="G41" s="2047"/>
      <c r="H41" s="2047"/>
      <c r="I41" s="2047"/>
      <c r="J41" s="2047"/>
      <c r="K41" s="2068"/>
      <c r="L41" s="2047"/>
      <c r="M41" s="2047"/>
    </row>
    <row r="42" spans="1:18" ht="18" customHeight="1">
      <c r="A42" s="803" t="s">
        <v>1876</v>
      </c>
      <c r="B42" s="835" t="s">
        <v>693</v>
      </c>
      <c r="C42" s="829">
        <f ca="1">C7-C32</f>
        <v>0</v>
      </c>
      <c r="D42" s="1964" t="s">
        <v>694</v>
      </c>
      <c r="E42" s="1966"/>
      <c r="F42" s="820"/>
      <c r="G42" s="2047"/>
      <c r="H42" s="2047"/>
      <c r="I42" s="2047"/>
      <c r="J42" s="2047"/>
      <c r="K42" s="2068"/>
      <c r="L42" s="2047"/>
      <c r="M42" s="2047"/>
    </row>
    <row r="43" spans="1:18" ht="18" customHeight="1">
      <c r="A43" s="803" t="s">
        <v>1877</v>
      </c>
      <c r="B43" s="835" t="s">
        <v>711</v>
      </c>
      <c r="C43" s="836">
        <f ca="1">ROUND(C15*F43,0)</f>
        <v>0</v>
      </c>
      <c r="D43" s="1352" t="s">
        <v>712</v>
      </c>
      <c r="E43" s="3070" t="s">
        <v>2954</v>
      </c>
      <c r="F43" s="3071">
        <f ca="1">INDIRECT("'数据-取费表'!j"&amp;$G$1)</f>
        <v>0</v>
      </c>
      <c r="G43" s="2047"/>
      <c r="H43" s="2047"/>
      <c r="I43" s="2047"/>
      <c r="J43" s="2047"/>
      <c r="K43" s="2068"/>
      <c r="L43" s="2047"/>
      <c r="M43" s="2047"/>
    </row>
    <row r="44" spans="1:18" ht="18" customHeight="1">
      <c r="A44" s="803" t="s">
        <v>1878</v>
      </c>
      <c r="B44" s="835" t="s">
        <v>713</v>
      </c>
      <c r="C44" s="1353">
        <f ca="1">C42-C43</f>
        <v>0</v>
      </c>
      <c r="D44" s="463" t="s">
        <v>714</v>
      </c>
      <c r="E44" s="464"/>
      <c r="F44" s="465"/>
      <c r="G44" s="2047"/>
      <c r="H44" s="2047"/>
      <c r="I44" s="2047"/>
      <c r="J44" s="2047"/>
      <c r="K44" s="2068"/>
      <c r="L44" s="2047"/>
      <c r="M44" s="2047"/>
    </row>
    <row r="45" spans="1:18" ht="18" customHeight="1">
      <c r="A45" s="803" t="s">
        <v>1879</v>
      </c>
      <c r="B45" s="1352" t="s">
        <v>715</v>
      </c>
      <c r="C45" s="2986">
        <f ca="1">ROUND(-PV(F45,F46,C44,0),0)</f>
        <v>0</v>
      </c>
      <c r="D45" s="1354" t="s">
        <v>716</v>
      </c>
      <c r="E45" s="806" t="s">
        <v>717</v>
      </c>
      <c r="F45" s="830">
        <f ca="1">INDIRECT("'数据-取费表'!h"&amp;$G$1)</f>
        <v>0</v>
      </c>
      <c r="G45" s="2047"/>
      <c r="H45" s="2047"/>
      <c r="I45" s="2047"/>
      <c r="J45" s="2047"/>
      <c r="K45" s="2068"/>
      <c r="L45" s="2047"/>
      <c r="M45" s="2047"/>
    </row>
    <row r="46" spans="1:18" ht="18" customHeight="1" thickBot="1">
      <c r="A46" s="831"/>
      <c r="B46" s="1355"/>
      <c r="C46" s="1356"/>
      <c r="D46" s="1357"/>
      <c r="E46" s="3072" t="s">
        <v>2957</v>
      </c>
      <c r="F46" s="828">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2342</v>
      </c>
      <c r="J47" s="2343"/>
      <c r="K47" s="2344"/>
      <c r="L47" s="3104" t="str">
        <f ca="1">IF(M48="住宅",0,IF(L49&gt;J52,L61,J61))</f>
        <v>0</v>
      </c>
      <c r="O47" s="2358" t="s">
        <v>2409</v>
      </c>
      <c r="P47" s="1578"/>
      <c r="Q47" s="1589"/>
      <c r="R47" s="1578"/>
    </row>
    <row r="48" spans="1:18" s="2044" customFormat="1" ht="18" customHeight="1" thickBot="1">
      <c r="A48" s="2069"/>
      <c r="C48" s="2072"/>
      <c r="D48" s="2073"/>
      <c r="E48" s="2073"/>
      <c r="F48" s="2074"/>
      <c r="G48" s="2075"/>
      <c r="I48" s="3095" t="s">
        <v>2343</v>
      </c>
      <c r="J48" s="2345"/>
      <c r="K48" s="3101" t="s">
        <v>2348</v>
      </c>
      <c r="L48" s="3105">
        <f ca="1">INDIRECT("'数据-取费表'!d"&amp;$G$1)</f>
        <v>0</v>
      </c>
      <c r="M48" s="3069" t="str">
        <f>IF(ISNUMBER(FIND("住宅",C1)),"住宅","非住宅")</f>
        <v>非住宅</v>
      </c>
      <c r="O48" s="2359" t="s">
        <v>2374</v>
      </c>
      <c r="P48" s="2360" t="s">
        <v>2375</v>
      </c>
      <c r="Q48" s="2361" t="s">
        <v>2376</v>
      </c>
      <c r="R48" s="2360" t="s">
        <v>2377</v>
      </c>
    </row>
    <row r="49" spans="1:18" s="2044" customFormat="1" ht="18" customHeight="1" thickBot="1">
      <c r="A49" s="2069"/>
      <c r="D49" s="2076"/>
      <c r="E49" s="2077"/>
      <c r="F49" s="2074"/>
      <c r="G49" s="2075"/>
      <c r="H49" s="2078"/>
      <c r="I49" s="3074" t="s">
        <v>2344</v>
      </c>
      <c r="J49" s="2346"/>
      <c r="K49" s="3102" t="s">
        <v>2350</v>
      </c>
      <c r="L49" s="1893">
        <f ca="1">INDIRECT("'数据-取费表'!f"&amp;$G$1)</f>
        <v>0</v>
      </c>
      <c r="O49" s="2362" t="s">
        <v>2378</v>
      </c>
      <c r="P49" s="2363" t="s">
        <v>2404</v>
      </c>
      <c r="Q49" s="2364">
        <f ca="1">C41+J31</f>
        <v>0</v>
      </c>
      <c r="R49" s="2363" t="s">
        <v>2379</v>
      </c>
    </row>
    <row r="50" spans="1:18" s="2044" customFormat="1" ht="18" customHeight="1" thickBot="1">
      <c r="A50" s="2069"/>
      <c r="D50" s="2079"/>
      <c r="E50" s="2079"/>
      <c r="F50" s="2073"/>
      <c r="G50" s="2080"/>
      <c r="H50" s="2078"/>
      <c r="I50" s="3074" t="s">
        <v>2345</v>
      </c>
      <c r="J50" s="2347"/>
      <c r="K50" s="3103" t="s">
        <v>2351</v>
      </c>
      <c r="L50" s="2348"/>
      <c r="O50" s="2362" t="s">
        <v>2380</v>
      </c>
      <c r="P50" s="2363" t="s">
        <v>2405</v>
      </c>
      <c r="Q50" s="2364" t="str">
        <f ca="1">J61</f>
        <v>0</v>
      </c>
      <c r="R50" s="2363" t="s">
        <v>2381</v>
      </c>
    </row>
    <row r="51" spans="1:18" s="2044" customFormat="1" ht="18" customHeight="1" thickBot="1">
      <c r="A51" s="2081"/>
      <c r="D51" s="2079"/>
      <c r="E51" s="2079"/>
      <c r="F51" s="2070"/>
      <c r="H51" s="2078"/>
      <c r="I51" s="3074" t="s">
        <v>2346</v>
      </c>
      <c r="J51" s="3099">
        <f>SUMPRODUCT((I64:I66=J48)*(J63:L63=J49)*(J64:L66))</f>
        <v>0</v>
      </c>
      <c r="K51" s="3103" t="s">
        <v>2352</v>
      </c>
      <c r="L51" s="2348"/>
      <c r="O51" s="2365" t="s">
        <v>2382</v>
      </c>
      <c r="P51" s="2363" t="s">
        <v>2406</v>
      </c>
      <c r="Q51" s="2364">
        <f ca="1">C31</f>
        <v>0</v>
      </c>
      <c r="R51" s="2363" t="s">
        <v>2379</v>
      </c>
    </row>
    <row r="52" spans="1:18" s="2044" customFormat="1" ht="18" customHeight="1" thickBot="1">
      <c r="A52" s="2081"/>
      <c r="F52" s="2070"/>
      <c r="I52" s="3096" t="s">
        <v>2347</v>
      </c>
      <c r="J52" s="3100">
        <f>IF(J50="",J51,J50+J51-YEAR('数据-取费表'!B3))</f>
        <v>0</v>
      </c>
      <c r="K52" s="3074" t="s">
        <v>2353</v>
      </c>
      <c r="L52" s="3106">
        <f ca="1">ROUND(-PV(INDIRECT("'数据-取费表'!h"&amp;$G$1),L49,(C40-C14*J36),0),0)</f>
        <v>0</v>
      </c>
      <c r="O52" s="2365" t="s">
        <v>2383</v>
      </c>
      <c r="P52" s="2363" t="s">
        <v>2384</v>
      </c>
      <c r="Q52" s="2366" t="e">
        <f ca="1">J59</f>
        <v>#VALUE!</v>
      </c>
      <c r="R52" s="2367"/>
    </row>
    <row r="53" spans="1:18" s="2044" customFormat="1" ht="18" customHeight="1" thickBot="1">
      <c r="A53" s="2081"/>
      <c r="F53" s="2070"/>
      <c r="I53" s="3097" t="s">
        <v>2420</v>
      </c>
      <c r="J53" s="2349"/>
      <c r="K53" s="3097" t="s">
        <v>2419</v>
      </c>
      <c r="L53" s="2349"/>
      <c r="O53" s="2365" t="s">
        <v>2385</v>
      </c>
      <c r="P53" s="2363" t="s">
        <v>2386</v>
      </c>
      <c r="Q53" s="2366">
        <f>J53</f>
        <v>0</v>
      </c>
      <c r="R53" s="2367"/>
    </row>
    <row r="54" spans="1:18" s="2044" customFormat="1" ht="29.25" thickBot="1">
      <c r="A54" s="2081"/>
      <c r="I54" s="3098" t="s">
        <v>2970</v>
      </c>
      <c r="J54" s="3177">
        <f ca="1">IF(M48="住宅",MAX(J52,L49-'数据-取费表'!B20),MIN(J52,L49-'数据-取费表'!B20))</f>
        <v>-2</v>
      </c>
      <c r="K54" s="3517"/>
      <c r="L54" s="3518"/>
      <c r="O54" s="2365" t="s">
        <v>2387</v>
      </c>
      <c r="P54" s="2363" t="s">
        <v>2388</v>
      </c>
      <c r="Q54" s="2364">
        <f ca="1">J54</f>
        <v>-2</v>
      </c>
      <c r="R54" s="2363" t="s">
        <v>2389</v>
      </c>
    </row>
    <row r="55" spans="1:18" s="2044" customFormat="1" ht="18" customHeight="1" thickBot="1">
      <c r="A55" s="2081"/>
      <c r="I55" s="31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7"/>
      <c r="K55" s="3108"/>
      <c r="O55" s="2362" t="s">
        <v>2390</v>
      </c>
      <c r="P55" s="2363" t="s">
        <v>2407</v>
      </c>
      <c r="Q55" s="2364">
        <f ca="1">Q49+Q50</f>
        <v>0</v>
      </c>
      <c r="R55" s="2367" t="s">
        <v>2391</v>
      </c>
    </row>
    <row r="56" spans="1:18" s="2044" customFormat="1" ht="16.5" thickBot="1">
      <c r="A56" s="2081"/>
      <c r="B56" s="2082"/>
      <c r="C56" s="2082"/>
      <c r="I56" s="3109" t="s">
        <v>2354</v>
      </c>
      <c r="J56" s="3049" t="e">
        <f ca="1">ROUND(IF(J48="钢混",J58/J51,1-(1-2%)*(J51-J58)/J51),3)</f>
        <v>#VALUE!</v>
      </c>
      <c r="K56" s="3110" t="s">
        <v>2355</v>
      </c>
      <c r="L56" s="2350"/>
      <c r="O56" s="2368" t="s">
        <v>2410</v>
      </c>
      <c r="P56" s="1578"/>
      <c r="Q56" s="1589"/>
      <c r="R56" s="1578"/>
    </row>
    <row r="57" spans="1:18" s="2044" customFormat="1" ht="43.5" thickBot="1">
      <c r="A57" s="2081"/>
      <c r="B57" s="2082"/>
      <c r="C57" s="2082"/>
      <c r="I57" s="3111" t="s">
        <v>2356</v>
      </c>
      <c r="J57" s="3121" t="s">
        <v>1678</v>
      </c>
      <c r="K57" s="3074" t="s">
        <v>2361</v>
      </c>
      <c r="L57" s="1893">
        <f ca="1">IF(L49&lt;J52,"——",L49-J52)</f>
        <v>0</v>
      </c>
      <c r="O57" s="2359" t="s">
        <v>2374</v>
      </c>
      <c r="P57" s="2360" t="s">
        <v>2375</v>
      </c>
      <c r="Q57" s="2361" t="s">
        <v>2376</v>
      </c>
      <c r="R57" s="2360" t="s">
        <v>2377</v>
      </c>
    </row>
    <row r="58" spans="1:18" s="2044" customFormat="1" ht="29.25" thickBot="1">
      <c r="A58" s="2081"/>
      <c r="B58" s="2082"/>
      <c r="C58" s="2082"/>
      <c r="I58" s="3112" t="s">
        <v>2357</v>
      </c>
      <c r="J58" s="3113" t="str">
        <f ca="1">IF(OR(M48="住宅",J52&lt;L49,J57="是"),"——",J52-L49)</f>
        <v>——</v>
      </c>
      <c r="K58" s="3074" t="s">
        <v>2362</v>
      </c>
      <c r="L58" s="1893">
        <f ca="1">IF(L49&lt;J52,"——",IF(L56="比较法",L50,IF(L56="基准地价",L51,L52)))</f>
        <v>0</v>
      </c>
      <c r="O58" s="2362" t="s">
        <v>2378</v>
      </c>
      <c r="P58" s="2363" t="s">
        <v>2404</v>
      </c>
      <c r="Q58" s="2364">
        <f ca="1">C41+J31</f>
        <v>0</v>
      </c>
      <c r="R58" s="2363" t="s">
        <v>2379</v>
      </c>
    </row>
    <row r="59" spans="1:18" s="2044" customFormat="1" ht="29.25" thickBot="1">
      <c r="A59" s="2081"/>
      <c r="B59" s="2082"/>
      <c r="C59" s="2082"/>
      <c r="I59" s="3112" t="s">
        <v>2358</v>
      </c>
      <c r="J59" s="3050" t="e">
        <f ca="1">IF(J56&lt;0.4,0.4,J56)</f>
        <v>#VALUE!</v>
      </c>
      <c r="K59" s="3074" t="s">
        <v>2363</v>
      </c>
      <c r="L59" s="1893">
        <f ca="1">IF(ISERROR(POWER(1+L53,L48-L49)*(POWER(1+L53,L49)-1)/(POWER(1+L53,L48)-1)),0,POWER(1+L53,L48-L49)*(POWER(1+L53,L49)-1)/(POWER(1+L53,L48)-1))</f>
        <v>0</v>
      </c>
      <c r="O59" s="2362" t="s">
        <v>2380</v>
      </c>
      <c r="P59" s="2363" t="s">
        <v>2411</v>
      </c>
      <c r="Q59" s="2364" t="e">
        <f ca="1">L61</f>
        <v>#DIV/0!</v>
      </c>
      <c r="R59" s="2367" t="s">
        <v>2413</v>
      </c>
    </row>
    <row r="60" spans="1:18" s="2044" customFormat="1" ht="29.25" thickBot="1">
      <c r="A60" s="2081"/>
      <c r="B60" s="2082"/>
      <c r="C60" s="2082"/>
      <c r="I60" s="3112" t="s">
        <v>2359</v>
      </c>
      <c r="J60" s="3113" t="str">
        <f ca="1">IF(OR(M48="住宅",J52&lt;L49,J57="是"),"——",ROUND(C30*J59,0))</f>
        <v>——</v>
      </c>
      <c r="K60" s="3074" t="s">
        <v>2364</v>
      </c>
      <c r="L60" s="1893">
        <f ca="1">IF(ISERROR(POWER(1+L53,L48-J52)*(POWER(1+L53,J52)-1)/(POWER(1+L53,L48)-1)),0,POWER(1+L53,L48-J52)*(POWER(1+L53,J52)-1)/(POWER(1+L53,L48)-1))</f>
        <v>0</v>
      </c>
      <c r="O60" s="2365" t="s">
        <v>2382</v>
      </c>
      <c r="P60" s="2363" t="s">
        <v>2412</v>
      </c>
      <c r="Q60" s="2364">
        <f>IF(L56="比较法",L50,IF(L56="基准地价",L51,0))</f>
        <v>0</v>
      </c>
      <c r="R60" s="2363" t="s">
        <v>2379</v>
      </c>
    </row>
    <row r="61" spans="1:18" s="2044" customFormat="1" ht="15.75" thickBot="1">
      <c r="A61" s="2081"/>
      <c r="B61" s="2082"/>
      <c r="C61" s="2082"/>
      <c r="I61" s="3114" t="s">
        <v>2360</v>
      </c>
      <c r="J61" s="3115" t="str">
        <f ca="1">IF(OR(M48="住宅",J52&lt;L49,J57="是"),"0",ROUND(J60/(1+J53)^J54,0))</f>
        <v>0</v>
      </c>
      <c r="K61" s="3116" t="s">
        <v>2365</v>
      </c>
      <c r="L61" s="3115" t="e">
        <f ca="1">IF(OR(M48="住宅",L49&lt;J52),0,ROUND(L58*(L59/L60-1),0))</f>
        <v>#DIV/0!</v>
      </c>
      <c r="O61" s="2365" t="s">
        <v>2383</v>
      </c>
      <c r="P61" s="2363" t="s">
        <v>2392</v>
      </c>
      <c r="Q61" s="2366">
        <f>L53</f>
        <v>0</v>
      </c>
      <c r="R61" s="2367"/>
    </row>
    <row r="62" spans="1:18" s="2044" customFormat="1" ht="20.25" thickBot="1">
      <c r="A62" s="2081"/>
      <c r="B62" s="2082"/>
      <c r="C62" s="2082"/>
      <c r="K62" s="2071"/>
      <c r="O62" s="2365" t="s">
        <v>2385</v>
      </c>
      <c r="P62" s="2363" t="s">
        <v>2393</v>
      </c>
      <c r="Q62" s="2364">
        <f ca="1">L59</f>
        <v>0</v>
      </c>
      <c r="R62" s="2367" t="s">
        <v>2394</v>
      </c>
    </row>
    <row r="63" spans="1:18" s="2044" customFormat="1" ht="20.25" thickBot="1">
      <c r="A63" s="2081"/>
      <c r="B63" s="2082"/>
      <c r="C63" s="2082"/>
      <c r="I63" s="3117" t="s">
        <v>2366</v>
      </c>
      <c r="J63" s="3118" t="s">
        <v>2367</v>
      </c>
      <c r="K63" s="3118" t="s">
        <v>2368</v>
      </c>
      <c r="L63" s="3118" t="s">
        <v>2349</v>
      </c>
      <c r="M63" s="3119" t="s">
        <v>2935</v>
      </c>
      <c r="O63" s="2365" t="s">
        <v>2387</v>
      </c>
      <c r="P63" s="2363" t="s">
        <v>2395</v>
      </c>
      <c r="Q63" s="2364">
        <f ca="1">L60</f>
        <v>0</v>
      </c>
      <c r="R63" s="2367" t="s">
        <v>2396</v>
      </c>
    </row>
    <row r="64" spans="1:18" s="2044" customFormat="1" ht="15.75" thickBot="1">
      <c r="A64" s="2081"/>
      <c r="B64" s="2082"/>
      <c r="C64" s="2082"/>
      <c r="I64" s="3117" t="s">
        <v>2369</v>
      </c>
      <c r="J64" s="3118">
        <v>70</v>
      </c>
      <c r="K64" s="3118">
        <v>50</v>
      </c>
      <c r="L64" s="3118">
        <v>80</v>
      </c>
      <c r="M64" s="3120">
        <v>0.02</v>
      </c>
      <c r="O64" s="2362" t="s">
        <v>2390</v>
      </c>
      <c r="P64" s="2363" t="s">
        <v>2407</v>
      </c>
      <c r="Q64" s="2364" t="e">
        <f ca="1">Q58+Q59</f>
        <v>#DIV/0!</v>
      </c>
      <c r="R64" s="2367" t="s">
        <v>2391</v>
      </c>
    </row>
    <row r="65" spans="1:18" s="2044" customFormat="1" ht="16.5" thickBot="1">
      <c r="A65" s="2081"/>
      <c r="B65" s="2082"/>
      <c r="C65" s="2082"/>
      <c r="I65" s="3117" t="s">
        <v>2370</v>
      </c>
      <c r="J65" s="3118">
        <v>50</v>
      </c>
      <c r="K65" s="3118">
        <v>35</v>
      </c>
      <c r="L65" s="3118">
        <v>60</v>
      </c>
      <c r="M65" s="846">
        <v>0</v>
      </c>
      <c r="O65" s="2368" t="s">
        <v>2414</v>
      </c>
      <c r="P65" s="1578"/>
      <c r="Q65" s="1589"/>
      <c r="R65" s="1578"/>
    </row>
    <row r="66" spans="1:18" s="2044" customFormat="1" ht="15.75" thickBot="1">
      <c r="A66" s="2081"/>
      <c r="B66" s="2082"/>
      <c r="C66" s="2082"/>
      <c r="I66" s="3117" t="s">
        <v>2371</v>
      </c>
      <c r="J66" s="3118">
        <v>40</v>
      </c>
      <c r="K66" s="3118">
        <v>30</v>
      </c>
      <c r="L66" s="3118">
        <v>50</v>
      </c>
      <c r="M66" s="3120">
        <v>0.02</v>
      </c>
      <c r="O66" s="2359" t="s">
        <v>2374</v>
      </c>
      <c r="P66" s="2360" t="s">
        <v>2375</v>
      </c>
      <c r="Q66" s="2361" t="s">
        <v>2376</v>
      </c>
      <c r="R66" s="2360" t="s">
        <v>2377</v>
      </c>
    </row>
    <row r="67" spans="1:18" s="2044" customFormat="1" ht="15.75" thickBot="1">
      <c r="A67" s="2081"/>
      <c r="B67" s="2082"/>
      <c r="C67" s="2082"/>
      <c r="K67" s="2071"/>
      <c r="O67" s="2362" t="s">
        <v>2378</v>
      </c>
      <c r="P67" s="2363" t="s">
        <v>2404</v>
      </c>
      <c r="Q67" s="2364">
        <f ca="1">C41+J31</f>
        <v>0</v>
      </c>
      <c r="R67" s="2363" t="s">
        <v>2379</v>
      </c>
    </row>
    <row r="68" spans="1:18" s="2044" customFormat="1" ht="20.25" thickBot="1">
      <c r="A68" s="2081"/>
      <c r="B68" s="2082"/>
      <c r="C68" s="2082"/>
      <c r="K68" s="2071"/>
      <c r="O68" s="2362" t="s">
        <v>2380</v>
      </c>
      <c r="P68" s="2363" t="s">
        <v>2411</v>
      </c>
      <c r="Q68" s="2364" t="e">
        <f ca="1">L61</f>
        <v>#DIV/0!</v>
      </c>
      <c r="R68" s="2367" t="s">
        <v>2413</v>
      </c>
    </row>
    <row r="69" spans="1:18" s="2044" customFormat="1" ht="21.75" thickBot="1">
      <c r="A69" s="2081"/>
      <c r="B69" s="2082"/>
      <c r="C69" s="2082"/>
      <c r="K69" s="2071"/>
      <c r="O69" s="2365" t="s">
        <v>2382</v>
      </c>
      <c r="P69" s="2363" t="s">
        <v>2412</v>
      </c>
      <c r="Q69" s="2369">
        <f ca="1">L52</f>
        <v>0</v>
      </c>
      <c r="R69" s="2370" t="s">
        <v>2415</v>
      </c>
    </row>
    <row r="70" spans="1:18" s="2044" customFormat="1" ht="20.25" thickBot="1">
      <c r="A70" s="2081"/>
      <c r="B70" s="2082"/>
      <c r="C70" s="2082"/>
      <c r="K70" s="2071"/>
      <c r="O70" s="2365" t="s">
        <v>2383</v>
      </c>
      <c r="P70" s="2371" t="s">
        <v>2397</v>
      </c>
      <c r="Q70" s="2364">
        <f ca="1">ROUND(Q71-Q72*Q73,0)</f>
        <v>0</v>
      </c>
      <c r="R70" s="2367"/>
    </row>
    <row r="71" spans="1:18" s="2044" customFormat="1" ht="15.75" thickBot="1">
      <c r="A71" s="2081"/>
      <c r="B71" s="2082"/>
      <c r="C71" s="2082"/>
      <c r="K71" s="2071"/>
      <c r="O71" s="2365" t="s">
        <v>2398</v>
      </c>
      <c r="P71" s="2371" t="s">
        <v>2399</v>
      </c>
      <c r="Q71" s="2364">
        <f ca="1">C42</f>
        <v>0</v>
      </c>
      <c r="R71" s="2363" t="s">
        <v>2379</v>
      </c>
    </row>
    <row r="72" spans="1:18" s="2044" customFormat="1" ht="15.75" thickBot="1">
      <c r="A72" s="2081"/>
      <c r="B72" s="2082"/>
      <c r="C72" s="2082"/>
      <c r="K72" s="2071"/>
      <c r="O72" s="2365" t="s">
        <v>2400</v>
      </c>
      <c r="P72" s="2371" t="s">
        <v>2401</v>
      </c>
      <c r="Q72" s="2364">
        <f ca="1">C15</f>
        <v>0</v>
      </c>
      <c r="R72" s="2363" t="s">
        <v>2379</v>
      </c>
    </row>
    <row r="73" spans="1:18" s="2044" customFormat="1" ht="15.75" thickBot="1">
      <c r="A73" s="2081"/>
      <c r="B73" s="2082"/>
      <c r="C73" s="2082"/>
      <c r="K73" s="2071"/>
      <c r="O73" s="2365" t="s">
        <v>2402</v>
      </c>
      <c r="P73" s="2371" t="s">
        <v>2403</v>
      </c>
      <c r="Q73" s="2366">
        <f ca="1">F43</f>
        <v>0</v>
      </c>
      <c r="R73" s="2367"/>
    </row>
    <row r="74" spans="1:18" s="2044" customFormat="1" ht="15.75" thickBot="1">
      <c r="A74" s="2081"/>
      <c r="B74" s="2082"/>
      <c r="C74" s="2082"/>
      <c r="K74" s="2071"/>
      <c r="O74" s="2365" t="s">
        <v>2385</v>
      </c>
      <c r="P74" s="2363" t="s">
        <v>2392</v>
      </c>
      <c r="Q74" s="2366">
        <f>L53</f>
        <v>0</v>
      </c>
      <c r="R74" s="2367"/>
    </row>
    <row r="75" spans="1:18" s="2044" customFormat="1" ht="20.25" thickBot="1">
      <c r="A75" s="2081"/>
      <c r="B75" s="2082"/>
      <c r="C75" s="2082"/>
      <c r="K75" s="2071"/>
      <c r="O75" s="2365" t="s">
        <v>2387</v>
      </c>
      <c r="P75" s="2363" t="s">
        <v>2393</v>
      </c>
      <c r="Q75" s="2364">
        <f ca="1">L59</f>
        <v>0</v>
      </c>
      <c r="R75" s="2367" t="s">
        <v>2394</v>
      </c>
    </row>
    <row r="76" spans="1:18" s="2044" customFormat="1" ht="20.25" thickBot="1">
      <c r="A76" s="2081"/>
      <c r="B76" s="2082"/>
      <c r="C76" s="2082"/>
      <c r="K76" s="2071"/>
      <c r="O76" s="2365" t="s">
        <v>2416</v>
      </c>
      <c r="P76" s="2363" t="s">
        <v>2395</v>
      </c>
      <c r="Q76" s="2364">
        <f ca="1">L60</f>
        <v>0</v>
      </c>
      <c r="R76" s="2367" t="s">
        <v>2396</v>
      </c>
    </row>
    <row r="77" spans="1:18" s="2044" customFormat="1" ht="15.75" thickBot="1">
      <c r="A77" s="2081"/>
      <c r="B77" s="2082"/>
      <c r="C77" s="2082"/>
      <c r="K77" s="2071"/>
      <c r="O77" s="2362" t="s">
        <v>2390</v>
      </c>
      <c r="P77" s="2363" t="s">
        <v>2407</v>
      </c>
      <c r="Q77" s="2364" t="e">
        <f ca="1">Q67+Q68</f>
        <v>#DIV/0!</v>
      </c>
      <c r="R77" s="2367" t="s">
        <v>2391</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H49" sqref="H49"/>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1725</v>
      </c>
      <c r="B1" s="738"/>
      <c r="C1" s="773" t="s">
        <v>2996</v>
      </c>
      <c r="D1" s="3073" t="s">
        <v>3119</v>
      </c>
      <c r="E1" s="2351" t="s">
        <v>2373</v>
      </c>
      <c r="F1" s="2352">
        <f ca="1">J53</f>
        <v>36.03</v>
      </c>
      <c r="G1" s="774">
        <f>MATCH(C1,'数据-取费表'!A6:A16,0)+5</f>
        <v>7</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1726</v>
      </c>
      <c r="B2" s="775">
        <f ca="1">C40+J29+L46</f>
        <v>6700</v>
      </c>
      <c r="C2" s="2042"/>
      <c r="D2" s="2040"/>
      <c r="E2" s="2041"/>
      <c r="F2" s="2041"/>
      <c r="G2" s="1576"/>
      <c r="H2" s="2042"/>
      <c r="I2" s="2042"/>
      <c r="J2" s="2042"/>
      <c r="K2" s="2043"/>
      <c r="L2" s="2042"/>
      <c r="M2" s="2042"/>
    </row>
    <row r="3" spans="1:33" ht="18" customHeight="1" thickBot="1">
      <c r="A3" s="833" t="s">
        <v>1727</v>
      </c>
      <c r="B3" s="834">
        <f ca="1">IF(ISERROR(B2*10000/F43),0,ROUND(B2*10000/F43,0))</f>
        <v>24275</v>
      </c>
      <c r="C3" s="2042"/>
      <c r="D3" s="2040"/>
      <c r="E3" s="2041"/>
      <c r="F3" s="2041"/>
      <c r="G3" s="1576"/>
      <c r="H3" s="776" t="s">
        <v>695</v>
      </c>
      <c r="I3" s="1359"/>
      <c r="J3" s="1359"/>
      <c r="K3" s="1577"/>
      <c r="L3" s="1359"/>
      <c r="M3" s="1359"/>
    </row>
    <row r="4" spans="1:33" ht="18" customHeight="1">
      <c r="A4" s="777" t="s">
        <v>1728</v>
      </c>
      <c r="B4" s="778" t="s">
        <v>1729</v>
      </c>
      <c r="C4" s="778" t="s">
        <v>1730</v>
      </c>
      <c r="D4" s="778" t="s">
        <v>633</v>
      </c>
      <c r="E4" s="779" t="s">
        <v>1731</v>
      </c>
      <c r="F4" s="780"/>
      <c r="G4" s="1578"/>
      <c r="H4" s="777" t="s">
        <v>1732</v>
      </c>
      <c r="I4" s="778" t="s">
        <v>1733</v>
      </c>
      <c r="J4" s="778" t="s">
        <v>1734</v>
      </c>
      <c r="K4" s="778" t="s">
        <v>1735</v>
      </c>
      <c r="L4" s="779" t="s">
        <v>1736</v>
      </c>
      <c r="M4" s="780"/>
    </row>
    <row r="5" spans="1:33" ht="18" customHeight="1">
      <c r="A5" s="781">
        <v>1</v>
      </c>
      <c r="B5" s="782" t="s">
        <v>2455</v>
      </c>
      <c r="C5" s="55">
        <f ca="1">C6+C10+C12</f>
        <v>409</v>
      </c>
      <c r="D5" s="2460" t="s">
        <v>2458</v>
      </c>
      <c r="E5" s="2454"/>
      <c r="F5" s="2455"/>
      <c r="G5" s="1578"/>
      <c r="H5" s="781">
        <v>1</v>
      </c>
      <c r="I5" s="782" t="s">
        <v>2455</v>
      </c>
      <c r="J5" s="55">
        <f ca="1">J6+J10+J12</f>
        <v>0</v>
      </c>
      <c r="K5" s="2460" t="s">
        <v>2458</v>
      </c>
      <c r="L5" s="2454"/>
      <c r="M5" s="2455"/>
    </row>
    <row r="6" spans="1:33" ht="18" customHeight="1">
      <c r="A6" s="1815" t="s">
        <v>1824</v>
      </c>
      <c r="B6" s="3513" t="s">
        <v>2460</v>
      </c>
      <c r="C6" s="783">
        <f ca="1">ROUND(F6*F8*F7*(1-F9)/10000,0)</f>
        <v>408</v>
      </c>
      <c r="D6" s="2461" t="s">
        <v>2459</v>
      </c>
      <c r="E6" s="784" t="s">
        <v>1738</v>
      </c>
      <c r="F6" s="785">
        <f ca="1">INDIRECT("'数据-取费表'!u"&amp;$G$1)</f>
        <v>4.5</v>
      </c>
      <c r="G6" s="1578"/>
      <c r="H6" s="2468" t="s">
        <v>2465</v>
      </c>
      <c r="I6" s="3513" t="s">
        <v>2460</v>
      </c>
      <c r="J6" s="783">
        <f ca="1">ROUND(M6*M8*M7*(1-M9)/10000,0)</f>
        <v>0</v>
      </c>
      <c r="K6" s="341" t="s">
        <v>1737</v>
      </c>
      <c r="L6" s="784" t="s">
        <v>1738</v>
      </c>
      <c r="M6" s="785">
        <f ca="1">INDIRECT("'数据-取费表'!z"&amp;$G$1)</f>
        <v>0</v>
      </c>
    </row>
    <row r="7" spans="1:33" ht="18" customHeight="1">
      <c r="A7" s="2464"/>
      <c r="B7" s="3514"/>
      <c r="C7" s="788"/>
      <c r="D7" s="789"/>
      <c r="E7" s="784" t="s">
        <v>1739</v>
      </c>
      <c r="F7" s="785">
        <f ca="1">IF(INDIRECT("'数据-取费表'!ah"&amp;$G$1)="",INDIRECT("'数据-取费表'!k"&amp;$G$1),INDIRECT("'数据-取费表'!ah"&amp;$G$1))</f>
        <v>2760.01</v>
      </c>
      <c r="G7" s="1578"/>
      <c r="H7" s="2453"/>
      <c r="I7" s="3514"/>
      <c r="J7" s="788"/>
      <c r="K7" s="789"/>
      <c r="L7" s="784" t="s">
        <v>1739</v>
      </c>
      <c r="M7" s="785">
        <f ca="1">F7</f>
        <v>2760.01</v>
      </c>
    </row>
    <row r="8" spans="1:33" ht="18" customHeight="1">
      <c r="A8" s="2457"/>
      <c r="B8" s="3515"/>
      <c r="C8" s="788"/>
      <c r="D8" s="789"/>
      <c r="E8" s="784" t="s">
        <v>1740</v>
      </c>
      <c r="F8" s="785">
        <f ca="1">INDIRECT("'数据-取费表'!ai"&amp;$G$1)</f>
        <v>365</v>
      </c>
      <c r="G8" s="1578"/>
      <c r="H8" s="2453"/>
      <c r="I8" s="3515"/>
      <c r="J8" s="788"/>
      <c r="K8" s="789"/>
      <c r="L8" s="784" t="s">
        <v>1740</v>
      </c>
      <c r="M8" s="785">
        <f ca="1">INDIRECT("'数据-取费表'!ai"&amp;$G$1)</f>
        <v>365</v>
      </c>
    </row>
    <row r="9" spans="1:33" ht="18" customHeight="1">
      <c r="A9" s="786"/>
      <c r="B9" s="3516"/>
      <c r="C9" s="788"/>
      <c r="D9" s="789"/>
      <c r="E9" s="784" t="s">
        <v>1741</v>
      </c>
      <c r="F9" s="794">
        <f ca="1">INDIRECT("'数据-取费表'!w"&amp;$G$1)</f>
        <v>0.1</v>
      </c>
      <c r="G9" s="1578"/>
      <c r="H9" s="2469"/>
      <c r="I9" s="3515"/>
      <c r="J9" s="788"/>
      <c r="K9" s="789"/>
      <c r="L9" s="795" t="s">
        <v>1741</v>
      </c>
      <c r="M9" s="796">
        <f ca="1">INDIRECT("'数据-取费表'!ab"&amp;$G$1)</f>
        <v>0</v>
      </c>
    </row>
    <row r="10" spans="1:33" ht="18" customHeight="1">
      <c r="A10" s="1815" t="s">
        <v>2463</v>
      </c>
      <c r="B10" s="2458" t="s">
        <v>2456</v>
      </c>
      <c r="C10" s="799">
        <f ca="1">ROUND(IF(F10="押一",C6/12*F11,IF(F10="押二",C6/12*2*F11,IF(F10="押三",C6/12*3*F11,C11*F11))),0)</f>
        <v>1</v>
      </c>
      <c r="D10" s="2465" t="s">
        <v>2966</v>
      </c>
      <c r="E10" s="2462" t="s">
        <v>2461</v>
      </c>
      <c r="F10" s="2585" t="s">
        <v>3357</v>
      </c>
      <c r="G10" s="1578"/>
      <c r="H10" s="2525" t="s">
        <v>2466</v>
      </c>
      <c r="I10" s="2530" t="s">
        <v>2456</v>
      </c>
      <c r="J10" s="783">
        <f ca="1">ROUND(IF(M10="押一",J6/12*M11,IF(M10="押二",J6/12*2*M11,IF(M10="押三",J6/12*3*M11,J11*M11))),0)</f>
        <v>0</v>
      </c>
      <c r="K10" s="2465" t="s">
        <v>2966</v>
      </c>
      <c r="L10" s="2462" t="s">
        <v>2461</v>
      </c>
      <c r="M10" s="2585"/>
    </row>
    <row r="11" spans="1:33" ht="18" customHeight="1">
      <c r="A11" s="790"/>
      <c r="B11" s="2459" t="s">
        <v>2570</v>
      </c>
      <c r="C11" s="2463"/>
      <c r="D11" s="789"/>
      <c r="E11" s="2462" t="s">
        <v>2462</v>
      </c>
      <c r="F11" s="796">
        <f ca="1">'数据-取费表'!B39</f>
        <v>1.4999999999999999E-2</v>
      </c>
      <c r="G11" s="1578"/>
      <c r="H11" s="2526"/>
      <c r="I11" s="2459" t="s">
        <v>2570</v>
      </c>
      <c r="J11" s="2463"/>
      <c r="K11" s="2527"/>
      <c r="L11" s="2462" t="s">
        <v>2462</v>
      </c>
      <c r="M11" s="2456">
        <f ca="1">'数据-取费表'!B39</f>
        <v>1.4999999999999999E-2</v>
      </c>
    </row>
    <row r="12" spans="1:33" ht="18" customHeight="1" thickBot="1">
      <c r="A12" s="2501" t="s">
        <v>2464</v>
      </c>
      <c r="B12" s="2502" t="s">
        <v>2457</v>
      </c>
      <c r="C12" s="2503"/>
      <c r="D12" s="2504"/>
      <c r="E12" s="2505"/>
      <c r="F12" s="2506"/>
      <c r="G12" s="1578"/>
      <c r="H12" s="2515" t="s">
        <v>2467</v>
      </c>
      <c r="I12" s="2528" t="s">
        <v>2457</v>
      </c>
      <c r="J12" s="2529"/>
      <c r="K12" s="2504"/>
      <c r="L12" s="2505"/>
      <c r="M12" s="2518"/>
    </row>
    <row r="13" spans="1:33" ht="18" customHeight="1" thickTop="1">
      <c r="A13" s="1814">
        <v>2</v>
      </c>
      <c r="B13" s="1812" t="s">
        <v>1742</v>
      </c>
      <c r="C13" s="792">
        <f ca="1">ROUND(C29*F13,0)</f>
        <v>1336</v>
      </c>
      <c r="D13" s="1819" t="s">
        <v>2297</v>
      </c>
      <c r="E13" s="1819" t="s">
        <v>1744</v>
      </c>
      <c r="F13" s="2500">
        <f ca="1">INDIRECT("'数据-取费表'!y"&amp;$G$1)</f>
        <v>1</v>
      </c>
      <c r="G13" s="1578"/>
      <c r="H13" s="1814">
        <v>2</v>
      </c>
      <c r="I13" s="1812" t="s">
        <v>1742</v>
      </c>
      <c r="J13" s="1804">
        <f ca="1">ROUND(J14*J15,0)</f>
        <v>0</v>
      </c>
      <c r="K13" s="1806" t="s">
        <v>1743</v>
      </c>
      <c r="L13" s="2516"/>
      <c r="M13" s="2517"/>
    </row>
    <row r="14" spans="1:33" ht="18" customHeight="1">
      <c r="A14" s="1633" t="s">
        <v>1884</v>
      </c>
      <c r="B14" s="784" t="s">
        <v>645</v>
      </c>
      <c r="C14" s="804">
        <f ca="1">INDIRECT("'数据-取费表'!m"&amp;$G$1)+INDIRECT("'数据-取费表'!t"&amp;$G$1)</f>
        <v>834</v>
      </c>
      <c r="D14" s="1964" t="s">
        <v>1745</v>
      </c>
      <c r="E14" s="1965"/>
      <c r="F14" s="805"/>
      <c r="G14" s="1578"/>
      <c r="H14" s="1634" t="s">
        <v>1830</v>
      </c>
      <c r="I14" s="2216" t="s">
        <v>2823</v>
      </c>
      <c r="J14" s="53">
        <f ca="1">C29</f>
        <v>1336</v>
      </c>
      <c r="K14" s="26"/>
      <c r="L14" s="801"/>
      <c r="M14" s="802"/>
    </row>
    <row r="15" spans="1:33" s="2049" customFormat="1" ht="18" customHeight="1" thickBot="1">
      <c r="A15" s="1633" t="s">
        <v>1885</v>
      </c>
      <c r="B15" s="784" t="s">
        <v>647</v>
      </c>
      <c r="C15" s="53">
        <f ca="1">ROUND(C14*F15,0)</f>
        <v>25</v>
      </c>
      <c r="D15" s="806" t="s">
        <v>1746</v>
      </c>
      <c r="E15" s="806" t="s">
        <v>1747</v>
      </c>
      <c r="F15" s="807">
        <f>'数据-取费表'!B33</f>
        <v>0.03</v>
      </c>
      <c r="G15" s="1579"/>
      <c r="H15" s="2515" t="s">
        <v>1889</v>
      </c>
      <c r="I15" s="2510" t="s">
        <v>1744</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1886</v>
      </c>
      <c r="B16" s="784" t="s">
        <v>650</v>
      </c>
      <c r="C16" s="53">
        <f ca="1">ROUND(INDIRECT("'数据-取费表'!m"&amp;$G$1)*F16,0)</f>
        <v>0</v>
      </c>
      <c r="D16" s="784" t="s">
        <v>1746</v>
      </c>
      <c r="E16" s="784" t="s">
        <v>1747</v>
      </c>
      <c r="F16" s="809">
        <f ca="1">IF(INDIRECT("'数据-取费表'!c"&amp;$G$1)="住宅",'数据-取费表'!B34,0)</f>
        <v>0</v>
      </c>
      <c r="G16" s="1578"/>
      <c r="H16" s="1814" t="s">
        <v>1748</v>
      </c>
      <c r="I16" s="1812" t="s">
        <v>1749</v>
      </c>
      <c r="J16" s="792">
        <f ca="1">ROUND(J17+J22+J23+J24,0)</f>
        <v>133</v>
      </c>
      <c r="K16" s="1806" t="s">
        <v>1750</v>
      </c>
      <c r="L16" s="2450"/>
      <c r="M16" s="2455"/>
    </row>
    <row r="17" spans="1:33" s="2049" customFormat="1" ht="18" customHeight="1">
      <c r="A17" s="1633" t="s">
        <v>1887</v>
      </c>
      <c r="B17" s="784" t="s">
        <v>653</v>
      </c>
      <c r="C17" s="53">
        <f ca="1">ROUND(F17*(F43+INDIRECT("'数据-取费表'!S"&amp;$G$1))/10000,0)</f>
        <v>56</v>
      </c>
      <c r="D17" s="784" t="s">
        <v>1751</v>
      </c>
      <c r="E17" s="784" t="s">
        <v>1752</v>
      </c>
      <c r="F17" s="56">
        <f>'数据-取费表'!B35</f>
        <v>200</v>
      </c>
      <c r="G17" s="1579"/>
      <c r="H17" s="1634" t="s">
        <v>1830</v>
      </c>
      <c r="I17" s="784" t="s">
        <v>656</v>
      </c>
      <c r="J17" s="53">
        <f ca="1">ROUND(IF(项目基本情况!B11="自然人",J6*M17/(1+'数据-取费表'!C42),J18+J19+J20),0)</f>
        <v>113</v>
      </c>
      <c r="K17" s="2449" t="s">
        <v>1753</v>
      </c>
      <c r="L17" s="2448" t="s">
        <v>1754</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1888</v>
      </c>
      <c r="B18" s="784" t="s">
        <v>659</v>
      </c>
      <c r="C18" s="53">
        <f ca="1">ROUND(C14*F18,0)</f>
        <v>13</v>
      </c>
      <c r="D18" s="784" t="s">
        <v>1746</v>
      </c>
      <c r="E18" s="784" t="s">
        <v>1747</v>
      </c>
      <c r="F18" s="809">
        <f>'数据-取费表'!B36</f>
        <v>1.4999999999999999E-2</v>
      </c>
      <c r="G18" s="1579"/>
      <c r="H18" s="1633" t="s">
        <v>1884</v>
      </c>
      <c r="I18" s="784" t="s">
        <v>1755</v>
      </c>
      <c r="J18" s="53">
        <f ca="1">ROUND(J6*M18/(1+'数据-取费表'!C42),1)</f>
        <v>0</v>
      </c>
      <c r="K18" s="2448" t="s">
        <v>1756</v>
      </c>
      <c r="L18" s="784" t="s">
        <v>1747</v>
      </c>
      <c r="M18" s="809">
        <f>'数据-取费表'!B41</f>
        <v>5.6500000000000002E-2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1830</v>
      </c>
      <c r="B19" s="784" t="s">
        <v>662</v>
      </c>
      <c r="C19" s="53">
        <f ca="1">SUM(C14:C18)</f>
        <v>928</v>
      </c>
      <c r="D19" s="261" t="s">
        <v>1757</v>
      </c>
      <c r="E19" s="1967"/>
      <c r="F19" s="56"/>
      <c r="G19" s="1578"/>
      <c r="H19" s="1633" t="s">
        <v>1885</v>
      </c>
      <c r="I19" s="784" t="s">
        <v>1758</v>
      </c>
      <c r="J19" s="53">
        <f ca="1">IF(K19="按租金收入计税",ROUND(J6*M19/(1+'数据-取费表'!C42),1),ROUND(C29*F33*0.7,1))</f>
        <v>112.2</v>
      </c>
      <c r="K19" s="811" t="s">
        <v>665</v>
      </c>
      <c r="L19" s="784" t="s">
        <v>1747</v>
      </c>
      <c r="M19" s="809">
        <f>IF(K19="按租金收入计税",'数据-取费表'!B51,'数据-取费表'!B50)</f>
        <v>1.2E-2</v>
      </c>
    </row>
    <row r="20" spans="1:33" s="2049" customFormat="1" ht="18" customHeight="1">
      <c r="A20" s="1634" t="s">
        <v>1889</v>
      </c>
      <c r="B20" s="784" t="s">
        <v>666</v>
      </c>
      <c r="C20" s="53">
        <f ca="1">ROUND(C19*F20,0)</f>
        <v>19</v>
      </c>
      <c r="D20" s="812" t="s">
        <v>1759</v>
      </c>
      <c r="E20" s="784" t="s">
        <v>1747</v>
      </c>
      <c r="F20" s="809">
        <f>'数据-取费表'!B37</f>
        <v>0.02</v>
      </c>
      <c r="G20" s="1579"/>
      <c r="H20" s="1636" t="s">
        <v>1880</v>
      </c>
      <c r="I20" s="341" t="s">
        <v>1760</v>
      </c>
      <c r="J20" s="54">
        <f ca="1">ROUND(M20*M21/10000,0)</f>
        <v>1</v>
      </c>
      <c r="K20" s="814" t="s">
        <v>1761</v>
      </c>
      <c r="L20" s="784" t="s">
        <v>1762</v>
      </c>
      <c r="M20" s="640">
        <f>'数据-取费表'!B52</f>
        <v>9</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1890</v>
      </c>
      <c r="B21" s="784" t="s">
        <v>1763</v>
      </c>
      <c r="C21" s="53" t="s">
        <v>1764</v>
      </c>
      <c r="D21" s="812" t="s">
        <v>2298</v>
      </c>
      <c r="E21" s="784" t="s">
        <v>1765</v>
      </c>
      <c r="F21" s="809">
        <f>'数据-取费表'!B38</f>
        <v>0.02</v>
      </c>
      <c r="G21" s="1579"/>
      <c r="H21" s="2470"/>
      <c r="I21" s="793"/>
      <c r="J21" s="69"/>
      <c r="K21" s="816"/>
      <c r="L21" s="784" t="s">
        <v>1766</v>
      </c>
      <c r="M21" s="785">
        <f ca="1">INDIRECT("'数据-取费表'!r"&amp;$G$1)</f>
        <v>1112.47</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1891</v>
      </c>
      <c r="B22" s="784" t="s">
        <v>1767</v>
      </c>
      <c r="C22" s="53"/>
      <c r="D22" s="2536" t="str">
        <f>IF(F23&lt;=1,"单利计息。","复利计息。")&amp;"建造成本、管理费用、销售费用产生的利息。"</f>
        <v>复利计息。建造成本、管理费用、销售费用产生的利息。</v>
      </c>
      <c r="E22" s="1967"/>
      <c r="F22" s="56"/>
      <c r="G22" s="1578"/>
      <c r="H22" s="1634" t="s">
        <v>1889</v>
      </c>
      <c r="I22" s="784" t="s">
        <v>1768</v>
      </c>
      <c r="J22" s="53">
        <f ca="1">ROUND(J14*M22,0)</f>
        <v>20</v>
      </c>
      <c r="K22" s="2448" t="s">
        <v>1769</v>
      </c>
      <c r="L22" s="784" t="s">
        <v>1747</v>
      </c>
      <c r="M22" s="817">
        <f ca="1">INDIRECT("'数据-取费表'!Ak"&amp;$G$1)</f>
        <v>1.4999999999999999E-2</v>
      </c>
    </row>
    <row r="23" spans="1:33" s="2049" customFormat="1" ht="18" customHeight="1">
      <c r="A23" s="1633" t="s">
        <v>1831</v>
      </c>
      <c r="B23" s="784" t="s">
        <v>2532</v>
      </c>
      <c r="C23" s="53">
        <f ca="1">ROUND(IF('数据-取费表'!B22&lt;=1,(C19+C20)*F24*F23/2,(C19+C20)*(POWER((1+F24),F23/2)-1)),0)</f>
        <v>45</v>
      </c>
      <c r="D23" s="2535" t="str">
        <f>IF(F23&lt;=1,"(建造成本+管理费用)×利率×(建设周期÷2)","(建造成本+管理费用)×((1+利率)^(建设周期÷2)-1)")</f>
        <v>(建造成本+管理费用)×((1+利率)^(建设周期÷2)-1)</v>
      </c>
      <c r="E23" s="784" t="s">
        <v>1770</v>
      </c>
      <c r="F23" s="640">
        <f>'数据-取费表'!B20</f>
        <v>2</v>
      </c>
      <c r="G23" s="1579"/>
      <c r="H23" s="1634" t="s">
        <v>1890</v>
      </c>
      <c r="I23" s="784" t="s">
        <v>679</v>
      </c>
      <c r="J23" s="53">
        <f ca="1">ROUND(J13*M23,0)</f>
        <v>0</v>
      </c>
      <c r="K23" s="2448" t="s">
        <v>1771</v>
      </c>
      <c r="L23" s="784" t="s">
        <v>1747</v>
      </c>
      <c r="M23" s="818">
        <f ca="1">INDIRECT("'数据-取费表'!Al"&amp;$G$1)</f>
        <v>2E-3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1832</v>
      </c>
      <c r="B24" s="784" t="s">
        <v>1772</v>
      </c>
      <c r="C24" s="53">
        <f ca="1">ROUND(IF('数据-取费表'!B22&lt;=1,F21*F24*F23/2,F21*(POWER((1+F24),F23/2)-1)),4)</f>
        <v>1E-3</v>
      </c>
      <c r="D24" s="2535" t="str">
        <f>IF(F23&lt;=1,"销售费用×利率×(建设周期÷2)","销售费用×((1+利率)^(建设周期÷2)-1)")</f>
        <v>销售费用×((1+利率)^(建设周期÷2)-1)</v>
      </c>
      <c r="E24" s="784" t="s">
        <v>1773</v>
      </c>
      <c r="F24" s="819">
        <f ca="1">'数据-取费表'!B40</f>
        <v>4.7500000000000001E-2</v>
      </c>
      <c r="G24" s="1579"/>
      <c r="H24" s="2515" t="s">
        <v>1891</v>
      </c>
      <c r="I24" s="2510" t="s">
        <v>666</v>
      </c>
      <c r="J24" s="2508">
        <f ca="1">ROUND(J5*M24,0)</f>
        <v>0</v>
      </c>
      <c r="K24" s="2509" t="s">
        <v>1774</v>
      </c>
      <c r="L24" s="2510" t="s">
        <v>1747</v>
      </c>
      <c r="M24" s="2506">
        <f ca="1">INDIRECT("'数据-取费表'!Am"&amp;$G$1)</f>
        <v>1.4999999999999999E-2</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1840</v>
      </c>
      <c r="B25" s="784" t="s">
        <v>684</v>
      </c>
      <c r="C25" s="53"/>
      <c r="D25" s="261" t="s">
        <v>1775</v>
      </c>
      <c r="E25" s="1967"/>
      <c r="F25" s="56"/>
      <c r="G25" s="1578"/>
      <c r="H25" s="1814" t="s">
        <v>1776</v>
      </c>
      <c r="I25" s="2962" t="s">
        <v>2819</v>
      </c>
      <c r="J25" s="792">
        <f ca="1">J5-J16</f>
        <v>-133</v>
      </c>
      <c r="K25" s="2512" t="s">
        <v>1777</v>
      </c>
      <c r="L25" s="2513"/>
      <c r="M25" s="2514"/>
    </row>
    <row r="26" spans="1:33" ht="18" customHeight="1">
      <c r="A26" s="1633" t="s">
        <v>1831</v>
      </c>
      <c r="B26" s="784" t="s">
        <v>2437</v>
      </c>
      <c r="C26" s="53">
        <f ca="1">ROUND((C19+C20)*F26,0)</f>
        <v>237</v>
      </c>
      <c r="D26" s="812" t="s">
        <v>1778</v>
      </c>
      <c r="E26" s="795" t="s">
        <v>1779</v>
      </c>
      <c r="F26" s="794">
        <f ca="1">INDIRECT("'数据-取费表'!q"&amp;$G$1)</f>
        <v>0.25</v>
      </c>
      <c r="G26" s="1578"/>
      <c r="H26" s="2466" t="s">
        <v>1780</v>
      </c>
      <c r="I26" s="2217" t="s">
        <v>2824</v>
      </c>
      <c r="J26" s="783">
        <f ca="1">IF(J5&lt;&gt;0,ROUND(J25*(1-((1+M28)/(1+M26))^M27)/(M26-M28),0),0)</f>
        <v>0</v>
      </c>
      <c r="K26" s="814" t="s">
        <v>1781</v>
      </c>
      <c r="L26" s="784" t="s">
        <v>2418</v>
      </c>
      <c r="M26" s="794">
        <f ca="1">INDIRECT("'数据-取费表'!I"&amp;$G$1)</f>
        <v>5.5E-2</v>
      </c>
    </row>
    <row r="27" spans="1:33" ht="18" customHeight="1">
      <c r="A27" s="1633" t="s">
        <v>1832</v>
      </c>
      <c r="B27" s="784" t="s">
        <v>686</v>
      </c>
      <c r="C27" s="53">
        <f ca="1">ROUND(F21*F26,4)</f>
        <v>5.0000000000000001E-3</v>
      </c>
      <c r="D27" s="812" t="s">
        <v>1782</v>
      </c>
      <c r="E27" s="806"/>
      <c r="F27" s="807"/>
      <c r="G27" s="1578"/>
      <c r="H27" s="2467"/>
      <c r="I27" s="787"/>
      <c r="J27" s="788"/>
      <c r="K27" s="821" t="s">
        <v>1783</v>
      </c>
      <c r="L27" s="784" t="s">
        <v>1784</v>
      </c>
      <c r="M27" s="822">
        <f ca="1">INDIRECT("'数据-取费表'!ag"&amp;$G$1)</f>
        <v>0</v>
      </c>
    </row>
    <row r="28" spans="1:33" s="2049" customFormat="1" ht="18" customHeight="1">
      <c r="A28" s="1635" t="s">
        <v>1841</v>
      </c>
      <c r="B28" s="784" t="s">
        <v>687</v>
      </c>
      <c r="C28" s="53">
        <f>ROUND(F28/(1+'数据-取费表'!C42),4)</f>
        <v>5.3800000000000001E-2</v>
      </c>
      <c r="D28" s="812" t="s">
        <v>2299</v>
      </c>
      <c r="E28" s="784" t="s">
        <v>1785</v>
      </c>
      <c r="F28" s="809">
        <f>'数据-取费表'!B41</f>
        <v>5.6500000000000002E-2</v>
      </c>
      <c r="G28" s="1579"/>
      <c r="H28" s="1814"/>
      <c r="I28" s="791"/>
      <c r="J28" s="792"/>
      <c r="K28" s="816"/>
      <c r="L28" s="784" t="s">
        <v>1786</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1892</v>
      </c>
      <c r="B29" s="2505" t="s">
        <v>2300</v>
      </c>
      <c r="C29" s="2508">
        <f ca="1">ROUND((C19+C20+C23+C26)/(1-F21-C24-C27-C28),0)</f>
        <v>1336</v>
      </c>
      <c r="D29" s="2509"/>
      <c r="E29" s="2510"/>
      <c r="F29" s="2511"/>
      <c r="G29" s="1579"/>
      <c r="H29" s="823" t="s">
        <v>1787</v>
      </c>
      <c r="I29" s="824" t="s">
        <v>1788</v>
      </c>
      <c r="J29" s="825">
        <f ca="1">ROUND(J26/(1+F40)^F41,0)</f>
        <v>0</v>
      </c>
      <c r="K29" s="826" t="s">
        <v>1789</v>
      </c>
      <c r="L29" s="827"/>
      <c r="M29" s="828">
        <f ca="1">INDIRECT("'数据-取费表'!k"&amp;$G$1)</f>
        <v>2760.01</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1893</v>
      </c>
      <c r="B30" s="1812" t="s">
        <v>1790</v>
      </c>
      <c r="C30" s="792">
        <f ca="1">ROUND(C31+C36+C37+C38,0)</f>
        <v>98</v>
      </c>
      <c r="D30" s="1806" t="s">
        <v>1791</v>
      </c>
      <c r="E30" s="2450"/>
      <c r="F30" s="2455"/>
      <c r="G30" s="2047"/>
      <c r="H30" s="2050"/>
      <c r="I30" s="2051"/>
      <c r="J30" s="2052"/>
      <c r="K30" s="2053"/>
      <c r="L30" s="2054"/>
      <c r="M30" s="2055"/>
    </row>
    <row r="31" spans="1:33" ht="18" customHeight="1">
      <c r="A31" s="1634" t="s">
        <v>1830</v>
      </c>
      <c r="B31" s="784" t="s">
        <v>656</v>
      </c>
      <c r="C31" s="53">
        <f ca="1">ROUND(IF(项目基本情况!B11="自然人",C6*F31/(1+'数据-取费表'!C42),C32+C33+C34),1)</f>
        <v>69.599999999999994</v>
      </c>
      <c r="D31" s="1964" t="s">
        <v>1792</v>
      </c>
      <c r="E31" s="1962" t="s">
        <v>1793</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3" t="s">
        <v>1831</v>
      </c>
      <c r="B32" s="784" t="s">
        <v>1794</v>
      </c>
      <c r="C32" s="53">
        <f ca="1">ROUND(C6*F32/(1+'数据-取费表'!C42),1)</f>
        <v>22</v>
      </c>
      <c r="D32" s="1962" t="s">
        <v>1795</v>
      </c>
      <c r="E32" s="784" t="s">
        <v>1796</v>
      </c>
      <c r="F32" s="809">
        <f>'数据-取费表'!B41</f>
        <v>5.6500000000000002E-2</v>
      </c>
      <c r="G32" s="2047"/>
      <c r="H32" s="2056"/>
      <c r="I32" s="2057"/>
      <c r="J32" s="2058"/>
      <c r="K32" s="2059"/>
      <c r="L32" s="2060"/>
      <c r="M32" s="2061"/>
    </row>
    <row r="33" spans="1:18" ht="18" customHeight="1">
      <c r="A33" s="1633" t="s">
        <v>1832</v>
      </c>
      <c r="B33" s="784" t="s">
        <v>1797</v>
      </c>
      <c r="C33" s="53">
        <f ca="1">IF(D33="按租金收入计税",ROUND(C6*F33/(1+'数据-取费表'!C42),1),IF(D33="按房产原值计税",ROUND(C29*F33*0.7,1),INDIRECT("'数据-取费表'!Aj"&amp;$G$1)))</f>
        <v>46.6</v>
      </c>
      <c r="D33" s="811" t="s">
        <v>3120</v>
      </c>
      <c r="E33" s="784" t="s">
        <v>1796</v>
      </c>
      <c r="F33" s="809">
        <f>IF(D33="按租金收入计税",'数据-取费表'!B51,'数据-取费表'!B50)</f>
        <v>0.12</v>
      </c>
      <c r="G33" s="2047"/>
      <c r="H33" s="2062"/>
      <c r="I33" s="2062"/>
      <c r="J33" s="2062"/>
      <c r="K33" s="2063"/>
      <c r="L33" s="2062"/>
      <c r="M33" s="2062"/>
    </row>
    <row r="34" spans="1:18" ht="18" customHeight="1">
      <c r="A34" s="1636" t="s">
        <v>1833</v>
      </c>
      <c r="B34" s="341" t="s">
        <v>1798</v>
      </c>
      <c r="C34" s="54">
        <f ca="1">ROUND(F34*F35/10000,1)</f>
        <v>1</v>
      </c>
      <c r="D34" s="814" t="s">
        <v>1799</v>
      </c>
      <c r="E34" s="784" t="s">
        <v>1800</v>
      </c>
      <c r="F34" s="640">
        <f>'数据-取费表'!B52</f>
        <v>9</v>
      </c>
      <c r="G34" s="2047"/>
      <c r="H34" s="2050"/>
      <c r="I34" s="835" t="s">
        <v>1813</v>
      </c>
      <c r="J34" s="836"/>
      <c r="K34" s="2065"/>
      <c r="L34" s="2064"/>
      <c r="M34" s="2064"/>
    </row>
    <row r="35" spans="1:18" ht="18" customHeight="1">
      <c r="A35" s="815"/>
      <c r="B35" s="793"/>
      <c r="C35" s="69"/>
      <c r="D35" s="816"/>
      <c r="E35" s="784" t="s">
        <v>1801</v>
      </c>
      <c r="F35" s="785">
        <f ca="1">INDIRECT("'数据-取费表'!r"&amp;$G$1)</f>
        <v>1112.47</v>
      </c>
      <c r="G35" s="2047"/>
      <c r="H35" s="2050"/>
      <c r="I35" s="837" t="s">
        <v>1814</v>
      </c>
      <c r="J35" s="838">
        <f ca="1">ROUND(C13*J36,0)</f>
        <v>114</v>
      </c>
      <c r="K35" s="2063"/>
      <c r="L35" s="2062"/>
      <c r="M35" s="2062"/>
    </row>
    <row r="36" spans="1:18" ht="18" customHeight="1">
      <c r="A36" s="1634" t="s">
        <v>1889</v>
      </c>
      <c r="B36" s="784" t="s">
        <v>1802</v>
      </c>
      <c r="C36" s="53">
        <f ca="1">ROUND(C29*F36,1)</f>
        <v>20</v>
      </c>
      <c r="D36" s="1962" t="s">
        <v>1803</v>
      </c>
      <c r="E36" s="784" t="s">
        <v>1796</v>
      </c>
      <c r="F36" s="817">
        <f ca="1">INDIRECT("'数据-取费表'!Ak"&amp;$G$1)</f>
        <v>1.4999999999999999E-2</v>
      </c>
      <c r="G36" s="2047"/>
      <c r="H36" s="2062"/>
      <c r="I36" s="839" t="s">
        <v>1815</v>
      </c>
      <c r="J36" s="840">
        <f ca="1">INDIRECT("'数据-取费表'!j"&amp;$G$1)</f>
        <v>8.5000000000000006E-2</v>
      </c>
      <c r="K36" s="2067"/>
      <c r="L36" s="2062"/>
      <c r="M36" s="2062"/>
    </row>
    <row r="37" spans="1:18" ht="18" customHeight="1">
      <c r="A37" s="1634" t="s">
        <v>1890</v>
      </c>
      <c r="B37" s="784" t="s">
        <v>679</v>
      </c>
      <c r="C37" s="53">
        <f ca="1">ROUND(C13*F37,1)</f>
        <v>2.7</v>
      </c>
      <c r="D37" s="1962" t="s">
        <v>1804</v>
      </c>
      <c r="E37" s="784" t="s">
        <v>1796</v>
      </c>
      <c r="F37" s="818">
        <f ca="1">INDIRECT("'数据-取费表'!Al"&amp;$G$1)</f>
        <v>2E-3</v>
      </c>
      <c r="G37" s="2047"/>
      <c r="H37" s="2062"/>
      <c r="I37" s="841" t="s">
        <v>1816</v>
      </c>
      <c r="J37" s="842"/>
      <c r="K37" s="2067"/>
      <c r="L37" s="2062"/>
      <c r="M37" s="2062"/>
    </row>
    <row r="38" spans="1:18" ht="18" customHeight="1" thickBot="1">
      <c r="A38" s="2515" t="s">
        <v>1891</v>
      </c>
      <c r="B38" s="2510" t="s">
        <v>666</v>
      </c>
      <c r="C38" s="2508">
        <f ca="1">ROUND(C5*F38,1)</f>
        <v>6.1</v>
      </c>
      <c r="D38" s="2509" t="s">
        <v>1805</v>
      </c>
      <c r="E38" s="2510" t="s">
        <v>1796</v>
      </c>
      <c r="F38" s="2506">
        <f ca="1">INDIRECT("'数据-取费表'!Am"&amp;$G$1)</f>
        <v>1.4999999999999999E-2</v>
      </c>
      <c r="G38" s="2047"/>
      <c r="H38" s="2062"/>
      <c r="I38" s="843" t="s">
        <v>1817</v>
      </c>
      <c r="J38" s="844"/>
      <c r="K38" s="2068"/>
      <c r="L38" s="2062"/>
      <c r="M38" s="2062"/>
    </row>
    <row r="39" spans="1:18" ht="24.6" customHeight="1" thickTop="1">
      <c r="A39" s="1814" t="s">
        <v>1894</v>
      </c>
      <c r="B39" s="2962" t="s">
        <v>2819</v>
      </c>
      <c r="C39" s="792">
        <f ca="1">C5-C30</f>
        <v>311</v>
      </c>
      <c r="D39" s="2512" t="s">
        <v>1806</v>
      </c>
      <c r="E39" s="2513"/>
      <c r="F39" s="2514"/>
      <c r="G39" s="2047"/>
      <c r="H39" s="2062"/>
      <c r="I39" s="837" t="s">
        <v>1818</v>
      </c>
      <c r="J39" s="845">
        <f ca="1">ROUND(J35/C39,3)</f>
        <v>0.36699999999999999</v>
      </c>
      <c r="K39" s="2068"/>
      <c r="L39" s="2062"/>
      <c r="M39" s="2062"/>
    </row>
    <row r="40" spans="1:18" ht="18" customHeight="1">
      <c r="A40" s="781" t="s">
        <v>1895</v>
      </c>
      <c r="B40" s="2217" t="s">
        <v>2301</v>
      </c>
      <c r="C40" s="783">
        <f ca="1">ROUND(C39*(1-((1+F42)/(1+F40))^F41)/(F40-F42),0)</f>
        <v>6700</v>
      </c>
      <c r="D40" s="814" t="s">
        <v>1807</v>
      </c>
      <c r="E40" s="784" t="s">
        <v>2418</v>
      </c>
      <c r="F40" s="794">
        <f ca="1">INDIRECT("'数据-取费表'!I"&amp;$G$1)</f>
        <v>5.5E-2</v>
      </c>
      <c r="G40" s="2047"/>
      <c r="H40" s="2047"/>
      <c r="I40" s="837" t="s">
        <v>1819</v>
      </c>
      <c r="J40" s="845">
        <f ca="1">1-J39</f>
        <v>0.63300000000000001</v>
      </c>
      <c r="K40" s="2068"/>
      <c r="L40" s="2047"/>
      <c r="M40" s="2047"/>
    </row>
    <row r="41" spans="1:18" ht="18" customHeight="1">
      <c r="A41" s="786"/>
      <c r="B41" s="787"/>
      <c r="C41" s="788"/>
      <c r="D41" s="821" t="s">
        <v>1808</v>
      </c>
      <c r="E41" s="784" t="s">
        <v>2956</v>
      </c>
      <c r="F41" s="822">
        <f ca="1">IF(INDIRECT("'数据-取费表'!af"&amp;$G$1)=0,INDIRECT("'数据-取费表'!ae"&amp;$G$1),INDIRECT("'数据-取费表'!af"&amp;$G$1))</f>
        <v>36.03</v>
      </c>
      <c r="G41" s="2047"/>
      <c r="H41" s="1973"/>
      <c r="I41" s="843" t="s">
        <v>1820</v>
      </c>
      <c r="J41" s="846"/>
      <c r="K41" s="2067"/>
      <c r="L41" s="1973"/>
      <c r="M41" s="1973"/>
    </row>
    <row r="42" spans="1:18" ht="18" customHeight="1">
      <c r="A42" s="790"/>
      <c r="B42" s="791"/>
      <c r="C42" s="792"/>
      <c r="D42" s="816"/>
      <c r="E42" s="784" t="s">
        <v>1809</v>
      </c>
      <c r="F42" s="794">
        <f ca="1">INDIRECT("'数据-取费表'!v"&amp;$G$1)</f>
        <v>2.5000000000000001E-2</v>
      </c>
      <c r="G42" s="2047"/>
      <c r="H42" s="1973"/>
      <c r="I42" s="847" t="s">
        <v>1821</v>
      </c>
      <c r="J42" s="845">
        <f ca="1">ROUND(C13/C40,3)</f>
        <v>0.19900000000000001</v>
      </c>
      <c r="K42" s="2067"/>
      <c r="L42" s="1973"/>
      <c r="M42" s="1973"/>
    </row>
    <row r="43" spans="1:18" ht="18" customHeight="1" thickBot="1">
      <c r="A43" s="823" t="s">
        <v>1787</v>
      </c>
      <c r="B43" s="824" t="s">
        <v>1810</v>
      </c>
      <c r="C43" s="825">
        <f ca="1">ROUND(C40*10000/F43,0)</f>
        <v>24275</v>
      </c>
      <c r="D43" s="826" t="s">
        <v>1811</v>
      </c>
      <c r="E43" s="827" t="s">
        <v>1812</v>
      </c>
      <c r="F43" s="828">
        <f ca="1">INDIRECT("'数据-取费表'!k"&amp;$G$1)</f>
        <v>2760.01</v>
      </c>
      <c r="G43" s="2047"/>
      <c r="H43" s="1973"/>
      <c r="I43" s="847" t="s">
        <v>1822</v>
      </c>
      <c r="J43" s="848">
        <f ca="1">1-J42</f>
        <v>0.80099999999999993</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2295</v>
      </c>
      <c r="B46" s="2070"/>
      <c r="C46" s="2538">
        <f ca="1">C67-C40</f>
        <v>-7073</v>
      </c>
      <c r="D46" s="2070"/>
      <c r="E46" s="2070"/>
      <c r="F46" s="2070"/>
      <c r="I46" s="2342" t="s">
        <v>2342</v>
      </c>
      <c r="J46" s="2343"/>
      <c r="K46" s="2344"/>
      <c r="L46" s="3104">
        <f>IF(OR(M47="住宅",D1="土地（套用方法）"),0,IF(L48&gt;J51,L60,J60))</f>
        <v>0</v>
      </c>
      <c r="O46" s="2358" t="s">
        <v>2409</v>
      </c>
      <c r="P46" s="1578"/>
      <c r="Q46" s="1589"/>
      <c r="R46" s="1578"/>
    </row>
    <row r="47" spans="1:18" s="2044" customFormat="1" ht="18" customHeight="1" thickBot="1">
      <c r="A47" s="2336">
        <v>1</v>
      </c>
      <c r="B47" s="2337" t="s">
        <v>635</v>
      </c>
      <c r="C47" s="2538">
        <f ca="1">C48+C52+C54</f>
        <v>0</v>
      </c>
      <c r="D47" s="2070"/>
      <c r="E47" s="2070"/>
      <c r="F47" s="2070"/>
      <c r="I47" s="3095" t="s">
        <v>2343</v>
      </c>
      <c r="J47" s="2345" t="s">
        <v>3026</v>
      </c>
      <c r="K47" s="3101" t="s">
        <v>2348</v>
      </c>
      <c r="L47" s="3105">
        <f ca="1">INDIRECT("'数据-取费表'!d"&amp;$G$1)</f>
        <v>40</v>
      </c>
      <c r="M47" s="1589" t="str">
        <f>IF(ISNUMBER(FIND("住宅",C1)),"住宅","非住宅")</f>
        <v>非住宅</v>
      </c>
      <c r="O47" s="2359" t="s">
        <v>2374</v>
      </c>
      <c r="P47" s="2360" t="s">
        <v>2375</v>
      </c>
      <c r="Q47" s="2361" t="s">
        <v>2376</v>
      </c>
      <c r="R47" s="2360" t="s">
        <v>2377</v>
      </c>
    </row>
    <row r="48" spans="1:18" s="2044" customFormat="1" ht="18" customHeight="1" thickBot="1">
      <c r="A48" s="2606" t="s">
        <v>2534</v>
      </c>
      <c r="B48" s="2607" t="s">
        <v>2535</v>
      </c>
      <c r="C48" s="2338">
        <f ca="1">ROUND(F48*F50*F49*(1-F51)/10000,0)</f>
        <v>0</v>
      </c>
      <c r="D48" s="2339" t="s">
        <v>636</v>
      </c>
      <c r="E48" s="2340" t="s">
        <v>2296</v>
      </c>
      <c r="F48" s="2341"/>
      <c r="G48" s="2075"/>
      <c r="I48" s="3074" t="s">
        <v>2344</v>
      </c>
      <c r="J48" s="2346" t="s">
        <v>2349</v>
      </c>
      <c r="K48" s="3102" t="s">
        <v>2350</v>
      </c>
      <c r="L48" s="1893">
        <f ca="1">INDIRECT("'数据-取费表'!f"&amp;$G$1)</f>
        <v>38.03</v>
      </c>
      <c r="O48" s="2362" t="s">
        <v>2378</v>
      </c>
      <c r="P48" s="2363" t="s">
        <v>2404</v>
      </c>
      <c r="Q48" s="2364">
        <f ca="1">C40+J29</f>
        <v>6700</v>
      </c>
      <c r="R48" s="2363" t="s">
        <v>2379</v>
      </c>
    </row>
    <row r="49" spans="1:18" s="2044" customFormat="1" ht="18" customHeight="1" thickBot="1">
      <c r="A49" s="786"/>
      <c r="B49" s="787"/>
      <c r="C49" s="788"/>
      <c r="D49" s="789"/>
      <c r="E49" s="784" t="s">
        <v>1739</v>
      </c>
      <c r="F49" s="785">
        <f ca="1">F7</f>
        <v>2760.01</v>
      </c>
      <c r="G49" s="2075"/>
      <c r="H49" s="2078"/>
      <c r="I49" s="3074" t="s">
        <v>2345</v>
      </c>
      <c r="J49" s="2347">
        <v>2022</v>
      </c>
      <c r="K49" s="3103" t="s">
        <v>2351</v>
      </c>
      <c r="L49" s="2348"/>
      <c r="O49" s="2362" t="s">
        <v>2380</v>
      </c>
      <c r="P49" s="2363" t="s">
        <v>2405</v>
      </c>
      <c r="Q49" s="2364" t="str">
        <f ca="1">J60</f>
        <v>0</v>
      </c>
      <c r="R49" s="2363" t="s">
        <v>2381</v>
      </c>
    </row>
    <row r="50" spans="1:18" s="2044" customFormat="1" ht="18" customHeight="1" thickBot="1">
      <c r="A50" s="786"/>
      <c r="B50" s="787"/>
      <c r="C50" s="788"/>
      <c r="D50" s="789"/>
      <c r="E50" s="784" t="s">
        <v>1740</v>
      </c>
      <c r="F50" s="785">
        <f ca="1">F8</f>
        <v>365</v>
      </c>
      <c r="G50" s="2080"/>
      <c r="H50" s="2078"/>
      <c r="I50" s="3074" t="s">
        <v>2346</v>
      </c>
      <c r="J50" s="3099">
        <f>SUMPRODUCT((I63:I65=J47)*(J62:L62=J48)*(J63:L65))</f>
        <v>60</v>
      </c>
      <c r="K50" s="3103" t="s">
        <v>2352</v>
      </c>
      <c r="L50" s="2348"/>
      <c r="O50" s="2365" t="s">
        <v>2382</v>
      </c>
      <c r="P50" s="2363" t="s">
        <v>2406</v>
      </c>
      <c r="Q50" s="2364">
        <f ca="1">C29</f>
        <v>1336</v>
      </c>
      <c r="R50" s="2363" t="s">
        <v>2379</v>
      </c>
    </row>
    <row r="51" spans="1:18" s="2044" customFormat="1" ht="18" customHeight="1" thickBot="1">
      <c r="A51" s="786"/>
      <c r="B51" s="787"/>
      <c r="C51" s="788"/>
      <c r="D51" s="789"/>
      <c r="E51" s="784" t="s">
        <v>640</v>
      </c>
      <c r="F51" s="2335"/>
      <c r="H51" s="2078"/>
      <c r="I51" s="3096" t="s">
        <v>2347</v>
      </c>
      <c r="J51" s="3100">
        <f>IF(J49="",J50,J49+J50-YEAR('数据-取费表'!B2))</f>
        <v>62</v>
      </c>
      <c r="K51" s="3074" t="s">
        <v>2353</v>
      </c>
      <c r="L51" s="3106">
        <f ca="1">ROUND(-PV(INDIRECT("'数据-取费表'!h"&amp;$G$1),L48,(C39-C13*J36),0),0)</f>
        <v>3331</v>
      </c>
      <c r="O51" s="2365" t="s">
        <v>2383</v>
      </c>
      <c r="P51" s="2363" t="s">
        <v>2384</v>
      </c>
      <c r="Q51" s="2366" t="e">
        <f ca="1">J58</f>
        <v>#VALUE!</v>
      </c>
      <c r="R51" s="2367"/>
    </row>
    <row r="52" spans="1:18" s="2044" customFormat="1" ht="18" customHeight="1" thickBot="1">
      <c r="A52" s="781" t="s">
        <v>2533</v>
      </c>
      <c r="B52" s="2458" t="s">
        <v>2456</v>
      </c>
      <c r="C52" s="799">
        <f ca="1">ROUND(IF(F52="押一",C48/12*F11,IF(F52="押二",C48/12*2*F11,IF(F52="押三",C48/12*3*F11,C53*F11))),0)</f>
        <v>0</v>
      </c>
      <c r="D52" s="2465" t="s">
        <v>2967</v>
      </c>
      <c r="E52" s="2462" t="s">
        <v>2461</v>
      </c>
      <c r="F52" s="2585"/>
      <c r="I52" s="3097" t="s">
        <v>2420</v>
      </c>
      <c r="J52" s="2349">
        <v>0.09</v>
      </c>
      <c r="K52" s="3097" t="s">
        <v>2419</v>
      </c>
      <c r="L52" s="2349"/>
      <c r="O52" s="2365" t="s">
        <v>2385</v>
      </c>
      <c r="P52" s="2363" t="s">
        <v>2386</v>
      </c>
      <c r="Q52" s="2366">
        <f>J52</f>
        <v>0.09</v>
      </c>
      <c r="R52" s="2367"/>
    </row>
    <row r="53" spans="1:18" s="2044" customFormat="1" ht="39.75" customHeight="1" thickBot="1">
      <c r="A53" s="786"/>
      <c r="B53" s="2459" t="s">
        <v>2570</v>
      </c>
      <c r="C53" s="2463"/>
      <c r="D53" s="2465"/>
      <c r="E53" s="2462"/>
      <c r="F53" s="800"/>
      <c r="I53" s="3098" t="s">
        <v>2970</v>
      </c>
      <c r="J53" s="3177">
        <f ca="1">IF(M47="住宅",IF(D1="——",MAX(J51,L48),MAX(J51,L48-'数据-取费表'!B20)),IF(D1="——",MIN(J51,L48),MIN(J51,L48-'数据-取费表'!B20)))</f>
        <v>36.03</v>
      </c>
      <c r="K53" s="3519" t="s">
        <v>2958</v>
      </c>
      <c r="L53" s="3520"/>
      <c r="O53" s="2365" t="s">
        <v>2387</v>
      </c>
      <c r="P53" s="2363" t="s">
        <v>2388</v>
      </c>
      <c r="Q53" s="2364">
        <f ca="1">J53</f>
        <v>36.03</v>
      </c>
      <c r="R53" s="2363" t="s">
        <v>2389</v>
      </c>
    </row>
    <row r="54" spans="1:18" s="2044" customFormat="1" ht="18" customHeight="1" thickBot="1">
      <c r="A54" s="2501" t="s">
        <v>2464</v>
      </c>
      <c r="B54" s="2502" t="s">
        <v>2457</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2390</v>
      </c>
      <c r="P54" s="2363" t="s">
        <v>2407</v>
      </c>
      <c r="Q54" s="2364">
        <f ca="1">Q48+Q49</f>
        <v>6700</v>
      </c>
      <c r="R54" s="2367" t="s">
        <v>2391</v>
      </c>
    </row>
    <row r="55" spans="1:18" s="2044" customFormat="1" ht="18" customHeight="1" thickTop="1" thickBot="1">
      <c r="A55" s="797">
        <v>2</v>
      </c>
      <c r="B55" s="798" t="s">
        <v>644</v>
      </c>
      <c r="C55" s="799">
        <f ca="1">C13</f>
        <v>1336</v>
      </c>
      <c r="D55" s="795"/>
      <c r="E55" s="795"/>
      <c r="F55" s="800"/>
      <c r="I55" s="3109" t="s">
        <v>2354</v>
      </c>
      <c r="J55" s="3049" t="e">
        <f ca="1">ROUND(IF(J47="钢混",J57/J50,1-(1-2%)*(J50-J57)/J50),3)</f>
        <v>#VALUE!</v>
      </c>
      <c r="K55" s="3110" t="s">
        <v>2355</v>
      </c>
      <c r="L55" s="2350"/>
      <c r="O55" s="2368" t="s">
        <v>2410</v>
      </c>
      <c r="P55" s="1578"/>
      <c r="Q55" s="1589"/>
      <c r="R55" s="1578"/>
    </row>
    <row r="56" spans="1:18" s="2044" customFormat="1" ht="42.75" customHeight="1" thickBot="1">
      <c r="A56" s="1635"/>
      <c r="B56" s="2216" t="s">
        <v>2302</v>
      </c>
      <c r="C56" s="53">
        <f ca="1">C29</f>
        <v>1336</v>
      </c>
      <c r="D56" s="2603"/>
      <c r="E56" s="784"/>
      <c r="F56" s="809"/>
      <c r="I56" s="3111" t="s">
        <v>2356</v>
      </c>
      <c r="J56" s="3121" t="s">
        <v>1678</v>
      </c>
      <c r="K56" s="3074" t="s">
        <v>2361</v>
      </c>
      <c r="L56" s="1893" t="str">
        <f ca="1">IF(L48&lt;J51,"——",L48-J51)</f>
        <v>——</v>
      </c>
      <c r="O56" s="2359" t="s">
        <v>2374</v>
      </c>
      <c r="P56" s="2360" t="s">
        <v>2375</v>
      </c>
      <c r="Q56" s="2361" t="s">
        <v>2376</v>
      </c>
      <c r="R56" s="2360" t="s">
        <v>2377</v>
      </c>
    </row>
    <row r="57" spans="1:18" s="2044" customFormat="1" ht="28.5" customHeight="1" thickBot="1">
      <c r="A57" s="797" t="s">
        <v>1748</v>
      </c>
      <c r="B57" s="798" t="s">
        <v>651</v>
      </c>
      <c r="C57" s="799">
        <f ca="1">ROUND(C58+C63+C64+C65,0)</f>
        <v>24</v>
      </c>
      <c r="D57" s="26" t="s">
        <v>1750</v>
      </c>
      <c r="E57" s="2604"/>
      <c r="F57" s="56"/>
      <c r="I57" s="3112" t="s">
        <v>2357</v>
      </c>
      <c r="J57" s="3113" t="str">
        <f ca="1">IF(OR(M47="住宅",J51&lt;L48,J56="是"),"——",J51-L48)</f>
        <v>——</v>
      </c>
      <c r="K57" s="3074" t="s">
        <v>2362</v>
      </c>
      <c r="L57" s="1893" t="str">
        <f ca="1">IF(L48&lt;J51,"——",IF(L55="比较法",L49,IF(L55="基准地价",L50,L51)))</f>
        <v>——</v>
      </c>
      <c r="O57" s="2362" t="s">
        <v>2378</v>
      </c>
      <c r="P57" s="2363" t="s">
        <v>2408</v>
      </c>
      <c r="Q57" s="2364">
        <f ca="1">C40+J29</f>
        <v>6700</v>
      </c>
      <c r="R57" s="2363" t="s">
        <v>2379</v>
      </c>
    </row>
    <row r="58" spans="1:18" s="2044" customFormat="1" ht="28.5" customHeight="1" thickBot="1">
      <c r="A58" s="1634" t="s">
        <v>1824</v>
      </c>
      <c r="B58" s="784" t="s">
        <v>656</v>
      </c>
      <c r="C58" s="53">
        <f ca="1">ROUND(IF(项目基本情况!B11="自然人",C47*F58,C59+C60+C61),1)</f>
        <v>1</v>
      </c>
      <c r="D58" s="2602" t="s">
        <v>657</v>
      </c>
      <c r="E58" s="2603" t="s">
        <v>690</v>
      </c>
      <c r="F58" s="810" t="str">
        <f ca="1">IF(项目基本情况!B11="企业","",IF(INDIRECT("'数据-取费表'!c"&amp;$G$1)="住宅",5%,IF(F48*F49*F50/12/(1+'数据-取费表'!C42)&gt;20000,12%,7%)))</f>
        <v/>
      </c>
      <c r="I58" s="3112" t="s">
        <v>2358</v>
      </c>
      <c r="J58" s="3050" t="e">
        <f ca="1">IF(J55&lt;0.4,0.4,J55)</f>
        <v>#VALUE!</v>
      </c>
      <c r="K58" s="3074" t="s">
        <v>2363</v>
      </c>
      <c r="L58" s="1893" t="e">
        <f ca="1">ROUND(POWER(1+L52,L47-L48)*(POWER(1+L52,L48)-1)/(POWER(1+L52,L47)-1),4)</f>
        <v>#DIV/0!</v>
      </c>
      <c r="O58" s="2362" t="s">
        <v>2380</v>
      </c>
      <c r="P58" s="2363" t="s">
        <v>2411</v>
      </c>
      <c r="Q58" s="2364">
        <f ca="1">L60</f>
        <v>0</v>
      </c>
      <c r="R58" s="2367" t="s">
        <v>2413</v>
      </c>
    </row>
    <row r="59" spans="1:18" s="2044" customFormat="1" ht="28.5" customHeight="1" thickBot="1">
      <c r="A59" s="1633" t="s">
        <v>1831</v>
      </c>
      <c r="B59" s="784" t="s">
        <v>660</v>
      </c>
      <c r="C59" s="53">
        <f ca="1">ROUND(C47*F59/1.05,1)</f>
        <v>0</v>
      </c>
      <c r="D59" s="2603" t="s">
        <v>1756</v>
      </c>
      <c r="E59" s="784" t="s">
        <v>1747</v>
      </c>
      <c r="F59" s="809">
        <f t="shared" ref="F59:F65" si="0">F32</f>
        <v>5.6500000000000002E-2</v>
      </c>
      <c r="I59" s="3112" t="s">
        <v>2359</v>
      </c>
      <c r="J59" s="3113" t="str">
        <f ca="1">IF(OR(M47="住宅",J51&lt;L48,J56="是"),"——",ROUND(C29*J58,0))</f>
        <v>——</v>
      </c>
      <c r="K59" s="3074"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2382</v>
      </c>
      <c r="P59" s="2363" t="s">
        <v>2412</v>
      </c>
      <c r="Q59" s="2364">
        <f>IF(L55="比较法",L49,IF(L55="基准地价",L50,0))</f>
        <v>0</v>
      </c>
      <c r="R59" s="2363" t="s">
        <v>2379</v>
      </c>
    </row>
    <row r="60" spans="1:18" s="2044" customFormat="1" ht="18" customHeight="1" thickBot="1">
      <c r="A60" s="1633" t="s">
        <v>1832</v>
      </c>
      <c r="B60" s="784" t="s">
        <v>1758</v>
      </c>
      <c r="C60" s="53">
        <f ca="1">IF(D60="按租金收入计税",ROUND(C47*F60,1),IF(D60="按房产原值计税",ROUND(C56*F60*0.7,1),INDIRECT("'数据-取费表'!Aj"&amp;$G$1)))</f>
        <v>0</v>
      </c>
      <c r="D60" s="2603" t="str">
        <f>D33</f>
        <v>按租金收入计税</v>
      </c>
      <c r="E60" s="784" t="s">
        <v>1747</v>
      </c>
      <c r="F60" s="809">
        <f t="shared" si="0"/>
        <v>0.12</v>
      </c>
      <c r="I60" s="3114" t="s">
        <v>2360</v>
      </c>
      <c r="J60" s="3115" t="str">
        <f ca="1">IF(OR(M47="住宅",J51&lt;L48,J56="是"),"0",ROUND(J59/(1+J52)^J53,0))</f>
        <v>0</v>
      </c>
      <c r="K60" s="3116" t="s">
        <v>2365</v>
      </c>
      <c r="L60" s="3115">
        <f ca="1">IF(OR(M47="住宅",L48&lt;J51),0,ROUND(L57*(L58/L59-1),0))</f>
        <v>0</v>
      </c>
      <c r="O60" s="2365" t="s">
        <v>2383</v>
      </c>
      <c r="P60" s="2363" t="s">
        <v>2392</v>
      </c>
      <c r="Q60" s="2366">
        <f>L52</f>
        <v>0</v>
      </c>
      <c r="R60" s="2367"/>
    </row>
    <row r="61" spans="1:18" s="2044" customFormat="1" ht="18" customHeight="1" thickBot="1">
      <c r="A61" s="1636" t="s">
        <v>1833</v>
      </c>
      <c r="B61" s="341" t="s">
        <v>668</v>
      </c>
      <c r="C61" s="54">
        <f ca="1">ROUND(F61*F62/10000,1)</f>
        <v>1</v>
      </c>
      <c r="D61" s="814" t="s">
        <v>669</v>
      </c>
      <c r="E61" s="784" t="s">
        <v>670</v>
      </c>
      <c r="F61" s="640">
        <f t="shared" si="0"/>
        <v>9</v>
      </c>
      <c r="K61" s="2071"/>
      <c r="O61" s="2365" t="s">
        <v>2385</v>
      </c>
      <c r="P61" s="2363" t="s">
        <v>2393</v>
      </c>
      <c r="Q61" s="2364" t="e">
        <f ca="1">L58</f>
        <v>#DIV/0!</v>
      </c>
      <c r="R61" s="2367" t="s">
        <v>2394</v>
      </c>
    </row>
    <row r="62" spans="1:18" s="2044" customFormat="1" ht="15.75" thickBot="1">
      <c r="A62" s="815"/>
      <c r="B62" s="793"/>
      <c r="C62" s="69"/>
      <c r="D62" s="816"/>
      <c r="E62" s="784" t="s">
        <v>674</v>
      </c>
      <c r="F62" s="785">
        <f t="shared" ca="1" si="0"/>
        <v>1112.47</v>
      </c>
      <c r="I62" s="3117" t="s">
        <v>2366</v>
      </c>
      <c r="J62" s="3118" t="s">
        <v>2367</v>
      </c>
      <c r="K62" s="3118" t="s">
        <v>2368</v>
      </c>
      <c r="L62" s="3118" t="s">
        <v>2349</v>
      </c>
      <c r="M62" s="3119" t="s">
        <v>2935</v>
      </c>
      <c r="O62" s="2365" t="s">
        <v>2387</v>
      </c>
      <c r="P62" s="2363" t="str">
        <f>K59</f>
        <v>建设期及建筑物耐用年限下的土地年期修正系数Kn</v>
      </c>
      <c r="Q62" s="2364" t="e">
        <f ca="1">L59</f>
        <v>#DIV/0!</v>
      </c>
      <c r="R62" s="2367" t="s">
        <v>2396</v>
      </c>
    </row>
    <row r="63" spans="1:18" s="2044" customFormat="1" ht="15.75" thickBot="1">
      <c r="A63" s="1634" t="s">
        <v>1889</v>
      </c>
      <c r="B63" s="784" t="s">
        <v>676</v>
      </c>
      <c r="C63" s="53">
        <f ca="1">ROUND(C56*F63,1)</f>
        <v>20</v>
      </c>
      <c r="D63" s="2603" t="s">
        <v>1803</v>
      </c>
      <c r="E63" s="784" t="s">
        <v>1747</v>
      </c>
      <c r="F63" s="817">
        <f t="shared" ca="1" si="0"/>
        <v>1.4999999999999999E-2</v>
      </c>
      <c r="I63" s="3117" t="s">
        <v>2369</v>
      </c>
      <c r="J63" s="3118">
        <v>70</v>
      </c>
      <c r="K63" s="3118">
        <v>50</v>
      </c>
      <c r="L63" s="3118">
        <v>80</v>
      </c>
      <c r="M63" s="3120">
        <v>0.02</v>
      </c>
      <c r="O63" s="2362" t="s">
        <v>2390</v>
      </c>
      <c r="P63" s="2363" t="s">
        <v>2407</v>
      </c>
      <c r="Q63" s="2364">
        <f ca="1">Q57+Q58</f>
        <v>6700</v>
      </c>
      <c r="R63" s="2367" t="s">
        <v>2391</v>
      </c>
    </row>
    <row r="64" spans="1:18" s="2044" customFormat="1" ht="16.5" thickBot="1">
      <c r="A64" s="1634" t="s">
        <v>1890</v>
      </c>
      <c r="B64" s="784" t="s">
        <v>679</v>
      </c>
      <c r="C64" s="53">
        <f ca="1">ROUND(C55*F64,1)</f>
        <v>2.7</v>
      </c>
      <c r="D64" s="2603" t="s">
        <v>680</v>
      </c>
      <c r="E64" s="784" t="s">
        <v>1747</v>
      </c>
      <c r="F64" s="818">
        <f t="shared" ca="1" si="0"/>
        <v>2E-3</v>
      </c>
      <c r="I64" s="3117" t="s">
        <v>2370</v>
      </c>
      <c r="J64" s="3118">
        <v>50</v>
      </c>
      <c r="K64" s="3118">
        <v>35</v>
      </c>
      <c r="L64" s="3118">
        <v>60</v>
      </c>
      <c r="M64" s="846">
        <v>0</v>
      </c>
      <c r="O64" s="2368" t="s">
        <v>2414</v>
      </c>
      <c r="P64" s="1578"/>
      <c r="Q64" s="1589"/>
      <c r="R64" s="1578"/>
    </row>
    <row r="65" spans="1:18" s="2044" customFormat="1" ht="15.75" thickBot="1">
      <c r="A65" s="1634" t="s">
        <v>1891</v>
      </c>
      <c r="B65" s="784" t="s">
        <v>666</v>
      </c>
      <c r="C65" s="53">
        <f ca="1">ROUND(C47*F65,1)</f>
        <v>0</v>
      </c>
      <c r="D65" s="2603" t="s">
        <v>683</v>
      </c>
      <c r="E65" s="784" t="s">
        <v>1747</v>
      </c>
      <c r="F65" s="794">
        <f t="shared" ca="1" si="0"/>
        <v>1.4999999999999999E-2</v>
      </c>
      <c r="I65" s="3117" t="s">
        <v>2371</v>
      </c>
      <c r="J65" s="3118">
        <v>40</v>
      </c>
      <c r="K65" s="3118">
        <v>30</v>
      </c>
      <c r="L65" s="3118">
        <v>50</v>
      </c>
      <c r="M65" s="3120">
        <v>0.02</v>
      </c>
      <c r="O65" s="2359" t="s">
        <v>2374</v>
      </c>
      <c r="P65" s="2360" t="s">
        <v>2375</v>
      </c>
      <c r="Q65" s="2361" t="s">
        <v>2376</v>
      </c>
      <c r="R65" s="2360" t="s">
        <v>2377</v>
      </c>
    </row>
    <row r="66" spans="1:18" s="2044" customFormat="1" ht="24.75" thickBot="1">
      <c r="A66" s="797" t="s">
        <v>1776</v>
      </c>
      <c r="B66" s="2963" t="s">
        <v>2819</v>
      </c>
      <c r="C66" s="799">
        <f ca="1">C47-C57</f>
        <v>-24</v>
      </c>
      <c r="D66" s="2602" t="s">
        <v>700</v>
      </c>
      <c r="E66" s="2601"/>
      <c r="F66" s="820"/>
      <c r="K66" s="2071"/>
      <c r="O66" s="2362" t="s">
        <v>2378</v>
      </c>
      <c r="P66" s="2363" t="s">
        <v>2408</v>
      </c>
      <c r="Q66" s="2364">
        <f ca="1">C40+J29</f>
        <v>6700</v>
      </c>
      <c r="R66" s="2363" t="s">
        <v>2379</v>
      </c>
    </row>
    <row r="67" spans="1:18" s="2044" customFormat="1" ht="20.25" thickBot="1">
      <c r="A67" s="781" t="s">
        <v>1780</v>
      </c>
      <c r="B67" s="2217" t="s">
        <v>2301</v>
      </c>
      <c r="C67" s="783">
        <f ca="1">ROUND(C66*(1-((1+F69)/(1+F67))^F68)/(F67-F69),0)</f>
        <v>-373</v>
      </c>
      <c r="D67" s="814" t="s">
        <v>704</v>
      </c>
      <c r="E67" s="784" t="s">
        <v>705</v>
      </c>
      <c r="F67" s="794">
        <f ca="1">F40</f>
        <v>5.5E-2</v>
      </c>
      <c r="K67" s="2071"/>
      <c r="O67" s="2362" t="s">
        <v>2380</v>
      </c>
      <c r="P67" s="2363" t="s">
        <v>2411</v>
      </c>
      <c r="Q67" s="2364">
        <f ca="1">L60</f>
        <v>0</v>
      </c>
      <c r="R67" s="2367" t="s">
        <v>2413</v>
      </c>
    </row>
    <row r="68" spans="1:18" ht="21.75" thickBot="1">
      <c r="A68" s="786"/>
      <c r="B68" s="787"/>
      <c r="C68" s="788"/>
      <c r="D68" s="821" t="s">
        <v>1808</v>
      </c>
      <c r="E68" s="784" t="s">
        <v>1784</v>
      </c>
      <c r="F68" s="822">
        <f ca="1">F41</f>
        <v>36.03</v>
      </c>
      <c r="O68" s="2365" t="s">
        <v>2382</v>
      </c>
      <c r="P68" s="2363" t="s">
        <v>2412</v>
      </c>
      <c r="Q68" s="2369">
        <f ca="1">L51</f>
        <v>3331</v>
      </c>
      <c r="R68" s="2370" t="s">
        <v>2415</v>
      </c>
    </row>
    <row r="69" spans="1:18" ht="20.25" thickBot="1">
      <c r="A69" s="790"/>
      <c r="B69" s="791"/>
      <c r="C69" s="792"/>
      <c r="D69" s="816"/>
      <c r="E69" s="784" t="s">
        <v>710</v>
      </c>
      <c r="F69" s="2335"/>
      <c r="O69" s="2365" t="s">
        <v>2383</v>
      </c>
      <c r="P69" s="2371" t="s">
        <v>2397</v>
      </c>
      <c r="Q69" s="2364">
        <f ca="1">ROUND(Q70-Q71*Q72,0)</f>
        <v>197</v>
      </c>
      <c r="R69" s="2367"/>
    </row>
    <row r="70" spans="1:18" ht="15.75" thickBot="1">
      <c r="A70" s="823" t="s">
        <v>1787</v>
      </c>
      <c r="B70" s="824" t="s">
        <v>1810</v>
      </c>
      <c r="C70" s="825">
        <f ca="1">ROUND(C67*10000/F70,0)</f>
        <v>-1351</v>
      </c>
      <c r="D70" s="826" t="s">
        <v>1811</v>
      </c>
      <c r="E70" s="827" t="s">
        <v>1812</v>
      </c>
      <c r="F70" s="828">
        <f ca="1">F43</f>
        <v>2760.01</v>
      </c>
      <c r="O70" s="2365" t="s">
        <v>2398</v>
      </c>
      <c r="P70" s="2371" t="s">
        <v>2399</v>
      </c>
      <c r="Q70" s="2364">
        <f ca="1">C39</f>
        <v>311</v>
      </c>
      <c r="R70" s="2363" t="s">
        <v>2379</v>
      </c>
    </row>
    <row r="71" spans="1:18" ht="15.75" thickBot="1">
      <c r="O71" s="2365" t="s">
        <v>2400</v>
      </c>
      <c r="P71" s="2371" t="s">
        <v>2401</v>
      </c>
      <c r="Q71" s="2364">
        <f ca="1">C13</f>
        <v>1336</v>
      </c>
      <c r="R71" s="2363" t="s">
        <v>2379</v>
      </c>
    </row>
    <row r="72" spans="1:18" ht="15.75" thickBot="1">
      <c r="O72" s="2365" t="s">
        <v>2402</v>
      </c>
      <c r="P72" s="2371" t="s">
        <v>2403</v>
      </c>
      <c r="Q72" s="2366">
        <f ca="1">J36</f>
        <v>8.5000000000000006E-2</v>
      </c>
      <c r="R72" s="2367"/>
    </row>
    <row r="73" spans="1:18" ht="15.75" thickBot="1">
      <c r="O73" s="2365" t="s">
        <v>2385</v>
      </c>
      <c r="P73" s="2363" t="s">
        <v>2392</v>
      </c>
      <c r="Q73" s="2366">
        <f>L52</f>
        <v>0</v>
      </c>
      <c r="R73" s="2367"/>
    </row>
    <row r="74" spans="1:18" ht="20.25" thickBot="1">
      <c r="O74" s="2365" t="s">
        <v>2387</v>
      </c>
      <c r="P74" s="2363" t="s">
        <v>2393</v>
      </c>
      <c r="Q74" s="2364" t="e">
        <f ca="1">L58</f>
        <v>#DIV/0!</v>
      </c>
      <c r="R74" s="2367" t="s">
        <v>2394</v>
      </c>
    </row>
    <row r="75" spans="1:18" ht="15.75" thickBot="1">
      <c r="O75" s="2365" t="s">
        <v>2416</v>
      </c>
      <c r="P75" s="2363" t="str">
        <f>K59</f>
        <v>建设期及建筑物耐用年限下的土地年期修正系数Kn</v>
      </c>
      <c r="Q75" s="2364" t="e">
        <f ca="1">L59</f>
        <v>#DIV/0!</v>
      </c>
      <c r="R75" s="2367" t="s">
        <v>2396</v>
      </c>
    </row>
    <row r="76" spans="1:18" ht="15.75" thickBot="1">
      <c r="O76" s="2362" t="s">
        <v>2390</v>
      </c>
      <c r="P76" s="2363" t="s">
        <v>2407</v>
      </c>
      <c r="Q76" s="2364">
        <f ca="1">Q66+Q67</f>
        <v>6700</v>
      </c>
      <c r="R76" s="2367"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126" sqref="C126:F131"/>
    </sheetView>
  </sheetViews>
  <sheetFormatPr defaultRowHeight="13.5"/>
  <cols>
    <col min="1" max="1" width="10.5" customWidth="1"/>
    <col min="2" max="2" width="12.875" customWidth="1"/>
    <col min="3" max="3" width="8.75" customWidth="1"/>
  </cols>
  <sheetData>
    <row r="1" spans="1:9" ht="14.25">
      <c r="A1" s="3521" t="s">
        <v>2468</v>
      </c>
      <c r="B1" s="3522"/>
      <c r="C1" s="3523"/>
      <c r="D1" s="3524">
        <f>SUM(I10,I15,I20,I21,I23)</f>
        <v>0</v>
      </c>
      <c r="E1" s="3524"/>
      <c r="F1" s="3524"/>
      <c r="G1" s="3524"/>
      <c r="H1" s="3524"/>
      <c r="I1" s="3525"/>
    </row>
    <row r="2" spans="1:9">
      <c r="A2" s="3526" t="s">
        <v>2469</v>
      </c>
      <c r="B2" s="3527" t="s">
        <v>2470</v>
      </c>
      <c r="C2" s="3527"/>
      <c r="D2" s="2471" t="s">
        <v>2471</v>
      </c>
      <c r="E2" s="2471" t="s">
        <v>2472</v>
      </c>
      <c r="F2" s="2471" t="s">
        <v>2473</v>
      </c>
      <c r="G2" s="2471" t="s">
        <v>2474</v>
      </c>
      <c r="H2" s="2471" t="s">
        <v>2475</v>
      </c>
      <c r="I2" s="2472" t="s">
        <v>2476</v>
      </c>
    </row>
    <row r="3" spans="1:9">
      <c r="A3" s="3526"/>
      <c r="B3" s="3527" t="s">
        <v>2477</v>
      </c>
      <c r="C3" s="3527"/>
      <c r="D3" s="2473"/>
      <c r="E3" s="2471"/>
      <c r="F3" s="2474"/>
      <c r="G3" s="2474"/>
      <c r="H3" s="2475"/>
      <c r="I3" s="2476">
        <f>ROUND(D3*E3*F3*G3*H3/10000,0)</f>
        <v>0</v>
      </c>
    </row>
    <row r="4" spans="1:9">
      <c r="A4" s="3526"/>
      <c r="B4" s="3527" t="s">
        <v>2478</v>
      </c>
      <c r="C4" s="3527"/>
      <c r="D4" s="2473"/>
      <c r="E4" s="2471"/>
      <c r="F4" s="2474"/>
      <c r="G4" s="2474"/>
      <c r="H4" s="2475"/>
      <c r="I4" s="2476">
        <f t="shared" ref="I4:I9" si="0">ROUND(D4*E4*F4*G4*H4/10000,0)</f>
        <v>0</v>
      </c>
    </row>
    <row r="5" spans="1:9">
      <c r="A5" s="3526"/>
      <c r="B5" s="3527" t="s">
        <v>2479</v>
      </c>
      <c r="C5" s="3527"/>
      <c r="D5" s="2473"/>
      <c r="E5" s="2471"/>
      <c r="F5" s="2474"/>
      <c r="G5" s="2474"/>
      <c r="H5" s="2475"/>
      <c r="I5" s="2476">
        <f t="shared" si="0"/>
        <v>0</v>
      </c>
    </row>
    <row r="6" spans="1:9">
      <c r="A6" s="3526"/>
      <c r="B6" s="3527" t="s">
        <v>2480</v>
      </c>
      <c r="C6" s="3527"/>
      <c r="D6" s="2473"/>
      <c r="E6" s="2471"/>
      <c r="F6" s="2474"/>
      <c r="G6" s="2474"/>
      <c r="H6" s="2475"/>
      <c r="I6" s="2476">
        <f t="shared" si="0"/>
        <v>0</v>
      </c>
    </row>
    <row r="7" spans="1:9">
      <c r="A7" s="3526"/>
      <c r="B7" s="3527" t="s">
        <v>2481</v>
      </c>
      <c r="C7" s="3527"/>
      <c r="D7" s="2473"/>
      <c r="E7" s="2471"/>
      <c r="F7" s="2474"/>
      <c r="G7" s="2474"/>
      <c r="H7" s="2475"/>
      <c r="I7" s="2476">
        <f t="shared" si="0"/>
        <v>0</v>
      </c>
    </row>
    <row r="8" spans="1:9">
      <c r="A8" s="3526"/>
      <c r="B8" s="3527" t="s">
        <v>2482</v>
      </c>
      <c r="C8" s="3527"/>
      <c r="D8" s="2473"/>
      <c r="E8" s="2471"/>
      <c r="F8" s="2474"/>
      <c r="G8" s="2474"/>
      <c r="H8" s="2475"/>
      <c r="I8" s="2476">
        <f t="shared" si="0"/>
        <v>0</v>
      </c>
    </row>
    <row r="9" spans="1:9">
      <c r="A9" s="3526"/>
      <c r="B9" s="3527" t="s">
        <v>2483</v>
      </c>
      <c r="C9" s="3527"/>
      <c r="D9" s="2473"/>
      <c r="E9" s="2471"/>
      <c r="F9" s="2474"/>
      <c r="G9" s="2474"/>
      <c r="H9" s="2475"/>
      <c r="I9" s="2476">
        <f t="shared" si="0"/>
        <v>0</v>
      </c>
    </row>
    <row r="10" spans="1:9">
      <c r="A10" s="3526"/>
      <c r="B10" s="3528" t="s">
        <v>2484</v>
      </c>
      <c r="C10" s="3528"/>
      <c r="D10" s="2477">
        <v>527</v>
      </c>
      <c r="E10" s="2477" t="e">
        <f>ROUND(D1*10000/D10/H9,0)</f>
        <v>#DIV/0!</v>
      </c>
      <c r="F10" s="2478"/>
      <c r="G10" s="2478"/>
      <c r="H10" s="2479"/>
      <c r="I10" s="2480">
        <f>SUM(I3:I9)</f>
        <v>0</v>
      </c>
    </row>
    <row r="11" spans="1:9" ht="14.25">
      <c r="A11" s="3526" t="s">
        <v>2485</v>
      </c>
      <c r="B11" s="3527" t="s">
        <v>2486</v>
      </c>
      <c r="C11" s="3527"/>
      <c r="D11" s="2473" t="s">
        <v>2487</v>
      </c>
      <c r="E11" s="2473" t="s">
        <v>2488</v>
      </c>
      <c r="F11" s="2474" t="s">
        <v>2489</v>
      </c>
      <c r="G11" s="2474" t="s">
        <v>2490</v>
      </c>
      <c r="H11" s="2481" t="s">
        <v>2491</v>
      </c>
      <c r="I11" s="2472" t="s">
        <v>2492</v>
      </c>
    </row>
    <row r="12" spans="1:9">
      <c r="A12" s="3526"/>
      <c r="B12" s="3527" t="s">
        <v>2493</v>
      </c>
      <c r="C12" s="3527"/>
      <c r="D12" s="2473"/>
      <c r="E12" s="2473"/>
      <c r="F12" s="2474"/>
      <c r="G12" s="2475"/>
      <c r="H12" s="2482"/>
      <c r="I12" s="2472">
        <f>ROUND(D12*E12*F12*G12/10000,0)</f>
        <v>0</v>
      </c>
    </row>
    <row r="13" spans="1:9">
      <c r="A13" s="3526"/>
      <c r="B13" s="3527" t="s">
        <v>2494</v>
      </c>
      <c r="C13" s="3527"/>
      <c r="D13" s="2473"/>
      <c r="E13" s="2473"/>
      <c r="F13" s="2474"/>
      <c r="G13" s="2475"/>
      <c r="H13" s="2482"/>
      <c r="I13" s="2472">
        <f>ROUND(D13*E13*F13*G13/10000,0)</f>
        <v>0</v>
      </c>
    </row>
    <row r="14" spans="1:9">
      <c r="A14" s="3526"/>
      <c r="B14" s="3527" t="s">
        <v>2495</v>
      </c>
      <c r="C14" s="3527"/>
      <c r="D14" s="2473"/>
      <c r="E14" s="2473"/>
      <c r="F14" s="2474"/>
      <c r="G14" s="2475"/>
      <c r="H14" s="2482"/>
      <c r="I14" s="2472">
        <f>ROUND(D14*E14*F14*G14/10000,0)</f>
        <v>0</v>
      </c>
    </row>
    <row r="15" spans="1:9">
      <c r="A15" s="3526"/>
      <c r="B15" s="3528" t="s">
        <v>2484</v>
      </c>
      <c r="C15" s="3528"/>
      <c r="D15" s="2477"/>
      <c r="E15" s="2477">
        <f>SUM(E12:E14)</f>
        <v>0</v>
      </c>
      <c r="F15" s="2478"/>
      <c r="G15" s="2475"/>
      <c r="H15" s="2482"/>
      <c r="I15" s="2483">
        <f>SUM(I12:I14)</f>
        <v>0</v>
      </c>
    </row>
    <row r="16" spans="1:9" ht="24">
      <c r="A16" s="3526" t="s">
        <v>2496</v>
      </c>
      <c r="B16" s="3527" t="s">
        <v>2497</v>
      </c>
      <c r="C16" s="3527"/>
      <c r="D16" s="2473" t="s">
        <v>2498</v>
      </c>
      <c r="E16" s="2484" t="s">
        <v>2499</v>
      </c>
      <c r="F16" s="2474" t="s">
        <v>2500</v>
      </c>
      <c r="G16" s="2475" t="s">
        <v>2490</v>
      </c>
      <c r="H16" s="2481" t="s">
        <v>2491</v>
      </c>
      <c r="I16" s="2472" t="s">
        <v>2492</v>
      </c>
    </row>
    <row r="17" spans="1:9" ht="14.25">
      <c r="A17" s="3526"/>
      <c r="B17" s="3527" t="s">
        <v>2501</v>
      </c>
      <c r="C17" s="3527"/>
      <c r="D17" s="2473"/>
      <c r="E17" s="2473"/>
      <c r="F17" s="2474"/>
      <c r="G17" s="2475"/>
      <c r="H17" s="2485"/>
      <c r="I17" s="2486">
        <f>ROUND(D17*E17*F17*G17/10000,0)</f>
        <v>0</v>
      </c>
    </row>
    <row r="18" spans="1:9" ht="14.25">
      <c r="A18" s="3526"/>
      <c r="B18" s="3527" t="s">
        <v>2502</v>
      </c>
      <c r="C18" s="3527"/>
      <c r="D18" s="2473"/>
      <c r="E18" s="2473"/>
      <c r="F18" s="2474"/>
      <c r="G18" s="2475"/>
      <c r="H18" s="2485"/>
      <c r="I18" s="2486">
        <f>ROUND(D18*E18*F18*G18/10000,0)</f>
        <v>0</v>
      </c>
    </row>
    <row r="19" spans="1:9" ht="14.25">
      <c r="A19" s="3526"/>
      <c r="B19" s="3527" t="s">
        <v>2503</v>
      </c>
      <c r="C19" s="3527"/>
      <c r="D19" s="2473"/>
      <c r="E19" s="2473"/>
      <c r="F19" s="2474"/>
      <c r="G19" s="2475"/>
      <c r="H19" s="2485"/>
      <c r="I19" s="2486">
        <f>ROUND(D19*E19*F19*G19/10000,0)</f>
        <v>0</v>
      </c>
    </row>
    <row r="20" spans="1:9">
      <c r="A20" s="3526"/>
      <c r="B20" s="3528" t="s">
        <v>2484</v>
      </c>
      <c r="C20" s="3528"/>
      <c r="D20" s="2477">
        <f>SUM(D17:D19)</f>
        <v>0</v>
      </c>
      <c r="E20" s="2477"/>
      <c r="F20" s="2478"/>
      <c r="G20" s="2475"/>
      <c r="H20" s="2482"/>
      <c r="I20" s="2483">
        <f>SUM(I17:I19)</f>
        <v>0</v>
      </c>
    </row>
    <row r="21" spans="1:9">
      <c r="A21" s="3526" t="s">
        <v>2504</v>
      </c>
      <c r="B21" s="3530"/>
      <c r="C21" s="3530"/>
      <c r="D21" s="3530"/>
      <c r="E21" s="3530"/>
      <c r="F21" s="3530"/>
      <c r="G21" s="3530"/>
      <c r="H21" s="2487">
        <v>0.1</v>
      </c>
      <c r="I21" s="2480">
        <f>ROUND(I10*H21,0)</f>
        <v>0</v>
      </c>
    </row>
    <row r="22" spans="1:9" ht="14.25">
      <c r="A22" s="3531" t="s">
        <v>2505</v>
      </c>
      <c r="B22" s="3532"/>
      <c r="C22" s="3533"/>
      <c r="D22" s="2488" t="s">
        <v>2506</v>
      </c>
      <c r="E22" s="2488" t="s">
        <v>2507</v>
      </c>
      <c r="F22" s="2489" t="s">
        <v>2508</v>
      </c>
      <c r="G22" s="2489" t="s">
        <v>2509</v>
      </c>
      <c r="H22" s="2481" t="s">
        <v>2510</v>
      </c>
      <c r="I22" s="2472" t="s">
        <v>2511</v>
      </c>
    </row>
    <row r="23" spans="1:9" ht="14.25" thickBot="1">
      <c r="A23" s="3534"/>
      <c r="B23" s="3535"/>
      <c r="C23" s="3536"/>
      <c r="D23" s="2490"/>
      <c r="E23" s="2490"/>
      <c r="F23" s="2490"/>
      <c r="G23" s="2491"/>
      <c r="H23" s="2492"/>
      <c r="I23" s="2493">
        <f>ROUND(E23*D23*F23*(1-G23)/10000,0)</f>
        <v>0</v>
      </c>
    </row>
    <row r="26" spans="1:9">
      <c r="A26" s="2494" t="s">
        <v>2512</v>
      </c>
      <c r="B26" s="2494"/>
      <c r="C26" s="2494"/>
      <c r="D26" s="2494"/>
      <c r="E26" s="3537">
        <f>C27-C30-C31-C32</f>
        <v>0</v>
      </c>
      <c r="F26" s="3537"/>
      <c r="G26" s="3537"/>
      <c r="H26" s="2991" t="s">
        <v>2840</v>
      </c>
    </row>
    <row r="27" spans="1:9">
      <c r="A27" s="2495">
        <v>1</v>
      </c>
      <c r="B27" s="2496" t="s">
        <v>2513</v>
      </c>
      <c r="C27" s="2496"/>
      <c r="D27" s="2496"/>
      <c r="E27" s="3538"/>
      <c r="F27" s="3538"/>
      <c r="G27" s="3538"/>
    </row>
    <row r="28" spans="1:9">
      <c r="A28" s="2497" t="s">
        <v>2514</v>
      </c>
      <c r="B28" s="2496" t="s">
        <v>2515</v>
      </c>
      <c r="C28" s="2496"/>
      <c r="D28" s="2496"/>
      <c r="E28" s="3538"/>
      <c r="F28" s="3538"/>
      <c r="G28" s="3538"/>
    </row>
    <row r="29" spans="1:9">
      <c r="A29" s="2497" t="s">
        <v>2516</v>
      </c>
      <c r="B29" s="2496" t="s">
        <v>2457</v>
      </c>
      <c r="C29" s="2496"/>
      <c r="D29" s="2496"/>
      <c r="E29" s="2496" t="s">
        <v>2517</v>
      </c>
      <c r="F29" s="2496"/>
      <c r="G29" s="2496"/>
    </row>
    <row r="30" spans="1:9">
      <c r="A30" s="2495">
        <v>2</v>
      </c>
      <c r="B30" s="2496" t="s">
        <v>2518</v>
      </c>
      <c r="C30" s="2496">
        <f>C27*D30</f>
        <v>0</v>
      </c>
      <c r="D30" s="2498">
        <v>0.2</v>
      </c>
      <c r="E30" s="2496" t="s">
        <v>2519</v>
      </c>
      <c r="F30" s="2496"/>
      <c r="G30" s="2496"/>
    </row>
    <row r="31" spans="1:9">
      <c r="A31" s="2495">
        <v>3</v>
      </c>
      <c r="B31" s="2496" t="s">
        <v>2520</v>
      </c>
      <c r="C31" s="2496">
        <f>C25*D31</f>
        <v>0</v>
      </c>
      <c r="D31" s="2498">
        <v>0.15</v>
      </c>
      <c r="E31" s="2496" t="s">
        <v>2521</v>
      </c>
      <c r="F31" s="2496"/>
      <c r="G31" s="2496"/>
    </row>
    <row r="32" spans="1:9">
      <c r="A32" s="2495">
        <v>4</v>
      </c>
      <c r="B32" s="2496" t="s">
        <v>2522</v>
      </c>
      <c r="C32" s="2496">
        <f>C27*D32</f>
        <v>0</v>
      </c>
      <c r="D32" s="2498">
        <v>0.05</v>
      </c>
      <c r="E32" s="3529"/>
      <c r="F32" s="3529"/>
      <c r="G32" s="3529"/>
    </row>
    <row r="33" spans="1:7" hidden="1">
      <c r="A33" s="3539" t="s">
        <v>2523</v>
      </c>
      <c r="B33" s="3540"/>
      <c r="C33" s="3540"/>
      <c r="D33" s="3541"/>
      <c r="E33" s="3537"/>
      <c r="F33" s="3537"/>
      <c r="G33" s="3537"/>
    </row>
    <row r="34" spans="1:7" hidden="1">
      <c r="A34" s="2499">
        <v>1</v>
      </c>
      <c r="B34" s="2496" t="s">
        <v>2524</v>
      </c>
      <c r="C34" s="2496"/>
      <c r="D34" s="2496"/>
      <c r="E34" s="3538"/>
      <c r="F34" s="3538"/>
      <c r="G34" s="3538"/>
    </row>
    <row r="35" spans="1:7" hidden="1">
      <c r="A35" s="2499">
        <v>2</v>
      </c>
      <c r="B35" s="2496" t="s">
        <v>2525</v>
      </c>
      <c r="C35" s="2496"/>
      <c r="D35" s="2496"/>
      <c r="E35" s="3538"/>
      <c r="F35" s="3538"/>
      <c r="G35" s="3538"/>
    </row>
    <row r="36" spans="1:7" hidden="1">
      <c r="A36" s="2499">
        <v>3</v>
      </c>
      <c r="B36" s="2496" t="s">
        <v>2526</v>
      </c>
      <c r="C36" s="2496"/>
      <c r="D36" s="2496"/>
      <c r="E36" s="3538"/>
      <c r="F36" s="3538"/>
      <c r="G36" s="3538"/>
    </row>
    <row r="37" spans="1:7" hidden="1">
      <c r="A37" s="2499">
        <v>4</v>
      </c>
      <c r="B37" s="2496" t="s">
        <v>2527</v>
      </c>
      <c r="C37" s="2496"/>
      <c r="D37" s="2496"/>
      <c r="E37" s="3538"/>
      <c r="F37" s="3538"/>
      <c r="G37" s="3538"/>
    </row>
    <row r="38" spans="1:7" hidden="1">
      <c r="A38" s="3539" t="s">
        <v>2528</v>
      </c>
      <c r="B38" s="3540"/>
      <c r="C38" s="3540"/>
      <c r="D38" s="3541"/>
      <c r="E38" s="3537"/>
      <c r="F38" s="3537"/>
      <c r="G38" s="353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C126" sqref="C126:F131"/>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1" t="s">
        <v>603</v>
      </c>
      <c r="B1" s="742"/>
      <c r="C1" s="2167"/>
      <c r="D1" s="2167"/>
      <c r="E1" s="2167"/>
      <c r="F1" s="2167"/>
      <c r="G1" s="2093"/>
    </row>
    <row r="2" spans="1:25" s="2044" customFormat="1" ht="18" customHeight="1">
      <c r="A2" s="423" t="s">
        <v>467</v>
      </c>
      <c r="B2" s="425">
        <f ca="1">C23</f>
        <v>0</v>
      </c>
      <c r="C2" s="2093"/>
      <c r="D2" s="2093"/>
      <c r="E2" s="2093"/>
      <c r="F2" s="2093"/>
      <c r="G2" s="2093"/>
    </row>
    <row r="3" spans="1:25" s="2044" customFormat="1" ht="18" customHeight="1">
      <c r="A3" s="1375" t="s">
        <v>1685</v>
      </c>
      <c r="B3" s="425">
        <f ca="1">ROUND(B2*10000/'数据-汇总表'!E3,0)</f>
        <v>0</v>
      </c>
      <c r="C3" s="2093"/>
      <c r="D3" s="2093"/>
      <c r="E3" s="2093"/>
      <c r="F3" s="2093"/>
      <c r="G3" s="2093"/>
    </row>
    <row r="4" spans="1:25" s="2044" customFormat="1" ht="18" customHeight="1">
      <c r="A4" s="426" t="s">
        <v>468</v>
      </c>
      <c r="B4" s="427">
        <f ca="1">ROUND(B2*10000/'数据-汇总表'!D3,0)</f>
        <v>0</v>
      </c>
      <c r="C4" s="2046"/>
      <c r="D4" s="2093"/>
      <c r="E4" s="2093"/>
      <c r="F4" s="2093"/>
      <c r="G4" s="2093"/>
    </row>
    <row r="5" spans="1:25" s="2044" customFormat="1" ht="18" customHeight="1" thickBot="1">
      <c r="A5" s="429"/>
      <c r="B5" s="430">
        <f ca="1">ROUND(B2/('数据-汇总表'!D3/666.67),0)</f>
        <v>0</v>
      </c>
      <c r="C5" s="431" t="s">
        <v>469</v>
      </c>
      <c r="D5" s="2093"/>
      <c r="E5" s="2093"/>
      <c r="F5" s="2093"/>
      <c r="G5" s="2093"/>
    </row>
    <row r="6" spans="1:25" s="2168" customFormat="1" ht="13.5" customHeight="1">
      <c r="A6" s="743"/>
      <c r="B6" s="744" t="s">
        <v>604</v>
      </c>
      <c r="C6" s="745" t="s">
        <v>605</v>
      </c>
      <c r="D6" s="745" t="s">
        <v>606</v>
      </c>
      <c r="E6" s="746" t="s">
        <v>607</v>
      </c>
      <c r="F6" s="746" t="s">
        <v>608</v>
      </c>
      <c r="G6" s="747"/>
    </row>
    <row r="7" spans="1:25" s="2168" customFormat="1" ht="13.5" customHeight="1">
      <c r="A7" s="2433">
        <v>1</v>
      </c>
      <c r="B7" s="748" t="s">
        <v>609</v>
      </c>
      <c r="C7" s="749">
        <f>C8+C9</f>
        <v>0</v>
      </c>
      <c r="D7" s="749"/>
      <c r="E7" s="750"/>
      <c r="F7" s="750"/>
      <c r="G7" s="2443"/>
    </row>
    <row r="8" spans="1:25" s="2168" customFormat="1" ht="13.5" customHeight="1">
      <c r="A8" s="2433" t="s">
        <v>2438</v>
      </c>
      <c r="B8" s="2436" t="s">
        <v>2440</v>
      </c>
      <c r="C8" s="2437"/>
      <c r="D8" s="749"/>
      <c r="E8" s="750"/>
      <c r="F8" s="750"/>
      <c r="G8" s="751"/>
    </row>
    <row r="9" spans="1:25" s="2168" customFormat="1" ht="13.5" customHeight="1">
      <c r="A9" s="2433" t="s">
        <v>2439</v>
      </c>
      <c r="B9" s="2436" t="s">
        <v>2441</v>
      </c>
      <c r="C9" s="2437"/>
      <c r="D9" s="749"/>
      <c r="E9" s="750"/>
      <c r="F9" s="750"/>
      <c r="G9" s="751"/>
    </row>
    <row r="10" spans="1:25" s="2168" customFormat="1" ht="36">
      <c r="A10" s="2433">
        <v>2</v>
      </c>
      <c r="B10" s="748" t="s">
        <v>613</v>
      </c>
      <c r="C10" s="749">
        <f>C11+C14+C15</f>
        <v>0</v>
      </c>
      <c r="D10" s="760">
        <f>'数据-汇总表'!E3</f>
        <v>79462.3</v>
      </c>
      <c r="E10" s="749">
        <f>'数据-取费表'!B31</f>
        <v>100</v>
      </c>
      <c r="F10" s="761"/>
      <c r="G10" s="759" t="s">
        <v>614</v>
      </c>
    </row>
    <row r="11" spans="1:25" s="2168" customFormat="1" ht="13.5" customHeight="1">
      <c r="A11" s="2433" t="s">
        <v>2438</v>
      </c>
      <c r="B11" s="752" t="s">
        <v>610</v>
      </c>
      <c r="C11" s="753">
        <f>'数据-取费表'!B29</f>
        <v>0</v>
      </c>
      <c r="D11" s="754"/>
      <c r="E11" s="753"/>
      <c r="F11" s="755"/>
      <c r="G11" s="2442" t="s">
        <v>2449</v>
      </c>
    </row>
    <row r="12" spans="1:25" s="2168" customFormat="1" ht="13.5" customHeight="1">
      <c r="A12" s="2440" t="s">
        <v>2446</v>
      </c>
      <c r="B12" s="756" t="s">
        <v>611</v>
      </c>
      <c r="C12" s="757">
        <f>ROUND(D12*E12/10000,0)</f>
        <v>520</v>
      </c>
      <c r="D12" s="758">
        <f>'数据-汇总表'!E5</f>
        <v>23657.200000000001</v>
      </c>
      <c r="E12" s="757">
        <f>'数据-取费表'!B27</f>
        <v>220</v>
      </c>
      <c r="F12" s="755"/>
      <c r="G12" s="759"/>
    </row>
    <row r="13" spans="1:25" s="2168" customFormat="1" ht="13.5" customHeight="1">
      <c r="A13" s="2440" t="s">
        <v>2445</v>
      </c>
      <c r="B13" s="756" t="s">
        <v>612</v>
      </c>
      <c r="C13" s="757">
        <f>ROUND(D13*E13/10000,0)</f>
        <v>1228</v>
      </c>
      <c r="D13" s="758">
        <f>'数据-汇总表'!E6</f>
        <v>55805.100000000006</v>
      </c>
      <c r="E13" s="757">
        <f>'数据-取费表'!B28</f>
        <v>220</v>
      </c>
      <c r="F13" s="755"/>
      <c r="G13" s="759"/>
    </row>
    <row r="14" spans="1:25" s="2168" customFormat="1" ht="13.5" customHeight="1">
      <c r="A14" s="2433" t="s">
        <v>2439</v>
      </c>
      <c r="B14" s="2439" t="s">
        <v>2442</v>
      </c>
      <c r="C14" s="2437"/>
      <c r="D14" s="758"/>
      <c r="E14" s="757"/>
      <c r="F14" s="2438"/>
      <c r="G14" s="2441" t="s">
        <v>2447</v>
      </c>
    </row>
    <row r="15" spans="1:25" s="2168" customFormat="1" ht="13.5" customHeight="1">
      <c r="A15" s="2433" t="s">
        <v>2444</v>
      </c>
      <c r="B15" s="2439" t="s">
        <v>2443</v>
      </c>
      <c r="C15" s="2437"/>
      <c r="D15" s="758"/>
      <c r="E15" s="757"/>
      <c r="F15" s="2438"/>
      <c r="G15" s="2441" t="s">
        <v>2448</v>
      </c>
    </row>
    <row r="16" spans="1:25" s="2169" customFormat="1" ht="48">
      <c r="A16" s="2433">
        <v>3</v>
      </c>
      <c r="B16" s="748" t="s">
        <v>615</v>
      </c>
      <c r="C16" s="2437"/>
      <c r="D16" s="760"/>
      <c r="E16" s="749"/>
      <c r="F16" s="761"/>
      <c r="G16" s="759" t="s">
        <v>2450</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4">
        <v>4</v>
      </c>
      <c r="B17" s="748" t="s">
        <v>616</v>
      </c>
      <c r="C17" s="253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8" t="s">
        <v>617</v>
      </c>
      <c r="C18" s="749">
        <f>ROUND((C7+C10+C16)*F18,0)</f>
        <v>0</v>
      </c>
      <c r="D18" s="762"/>
      <c r="E18" s="763"/>
      <c r="F18" s="761">
        <f>'数据-取费表'!Q16</f>
        <v>0.19</v>
      </c>
      <c r="G18" s="765" t="s">
        <v>618</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8" t="s">
        <v>619</v>
      </c>
      <c r="C19" s="749">
        <f ca="1">C7+C10+C16+C17+C18</f>
        <v>0</v>
      </c>
      <c r="D19" s="760"/>
      <c r="E19" s="749"/>
      <c r="F19" s="761"/>
      <c r="G19" s="765" t="s">
        <v>620</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3">
        <v>7</v>
      </c>
      <c r="B20" s="748" t="s">
        <v>621</v>
      </c>
      <c r="C20" s="749">
        <f ca="1">ROUND(C19*F20,0)</f>
        <v>0</v>
      </c>
      <c r="D20" s="760"/>
      <c r="E20" s="749"/>
      <c r="F20" s="1345"/>
      <c r="G20" s="765" t="s">
        <v>622</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8" t="s">
        <v>623</v>
      </c>
      <c r="C21" s="749">
        <f ca="1">C19+C20</f>
        <v>0</v>
      </c>
      <c r="D21" s="760"/>
      <c r="E21" s="749"/>
      <c r="F21" s="761"/>
      <c r="G21" s="765" t="s">
        <v>624</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8" t="s">
        <v>625</v>
      </c>
      <c r="C22" s="749">
        <f ca="1">ROUND(C21*F22,0)</f>
        <v>0</v>
      </c>
      <c r="D22" s="760"/>
      <c r="E22" s="749"/>
      <c r="F22" s="766">
        <f>'数据-取费表'!AP16</f>
        <v>0.87</v>
      </c>
      <c r="G22" s="765" t="s">
        <v>626</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7" t="s">
        <v>627</v>
      </c>
      <c r="C23" s="768">
        <f ca="1">C22</f>
        <v>0</v>
      </c>
      <c r="D23" s="769"/>
      <c r="E23" s="768"/>
      <c r="F23" s="770"/>
      <c r="G23" s="771"/>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B1" zoomScale="80" zoomScaleNormal="80" workbookViewId="0">
      <selection activeCell="K15" sqref="K15"/>
    </sheetView>
  </sheetViews>
  <sheetFormatPr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7" t="s">
        <v>719</v>
      </c>
      <c r="C1" s="2588" t="s">
        <v>720</v>
      </c>
      <c r="D1" s="2589" t="s">
        <v>3165</v>
      </c>
      <c r="E1" s="2590"/>
      <c r="F1" s="2762" t="s">
        <v>2999</v>
      </c>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8" customFormat="1" ht="28.5" customHeight="1">
      <c r="A2" s="3238" t="s">
        <v>467</v>
      </c>
      <c r="B2" s="2586">
        <f>ROUND(B3*D3/10000,0)</f>
        <v>108787</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8" customFormat="1" ht="28.5" customHeight="1" thickBot="1">
      <c r="A3" s="3239" t="s">
        <v>519</v>
      </c>
      <c r="B3" s="851">
        <f>C49</f>
        <v>20745</v>
      </c>
      <c r="C3" s="852" t="s">
        <v>722</v>
      </c>
      <c r="D3" s="851">
        <f>SUMIF('数据-汇总表'!$C19:$C33,D1,'数据-汇总表'!$E19:$E33)</f>
        <v>52440.110000000008</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5">
      <c r="A4" s="512" t="s">
        <v>521</v>
      </c>
      <c r="B4" s="513"/>
      <c r="C4" s="3430" t="s">
        <v>522</v>
      </c>
      <c r="D4" s="3431"/>
      <c r="E4" s="3466" t="s">
        <v>523</v>
      </c>
      <c r="F4" s="3467"/>
      <c r="G4" s="3430" t="s">
        <v>524</v>
      </c>
      <c r="H4" s="3431"/>
      <c r="I4" s="3430" t="s">
        <v>525</v>
      </c>
      <c r="J4" s="3431"/>
      <c r="K4" s="853" t="s">
        <v>526</v>
      </c>
      <c r="L4" s="2118"/>
      <c r="M4" s="2119"/>
      <c r="N4" s="2119"/>
      <c r="O4" s="2119"/>
      <c r="P4" s="3432" t="s">
        <v>527</v>
      </c>
      <c r="Q4" s="3433"/>
      <c r="R4" s="3438" t="s">
        <v>523</v>
      </c>
      <c r="S4" s="3439"/>
      <c r="T4" s="3438" t="s">
        <v>524</v>
      </c>
      <c r="U4" s="3439"/>
      <c r="V4" s="3425" t="s">
        <v>525</v>
      </c>
      <c r="W4" s="3425"/>
      <c r="X4" s="3202"/>
      <c r="Y4" s="3438" t="s">
        <v>527</v>
      </c>
      <c r="Z4" s="3439"/>
      <c r="AA4" s="3427" t="s">
        <v>523</v>
      </c>
      <c r="AB4" s="3427" t="s">
        <v>524</v>
      </c>
      <c r="AC4" s="3427" t="s">
        <v>525</v>
      </c>
    </row>
    <row r="5" spans="1:29" ht="15" customHeight="1">
      <c r="A5" s="515"/>
      <c r="B5" s="516"/>
      <c r="C5" s="3446" t="s">
        <v>2922</v>
      </c>
      <c r="D5" s="3447"/>
      <c r="E5" s="3545" t="s">
        <v>3358</v>
      </c>
      <c r="F5" s="3546"/>
      <c r="G5" s="3547" t="s">
        <v>3362</v>
      </c>
      <c r="H5" s="3548"/>
      <c r="I5" s="3547" t="s">
        <v>3363</v>
      </c>
      <c r="J5" s="3548"/>
      <c r="K5" s="854"/>
      <c r="L5" s="2118"/>
      <c r="M5" s="2119"/>
      <c r="N5" s="2119"/>
      <c r="O5" s="2119"/>
      <c r="P5" s="3434"/>
      <c r="Q5" s="3435"/>
      <c r="R5" s="3440"/>
      <c r="S5" s="3441"/>
      <c r="T5" s="3440"/>
      <c r="U5" s="3441"/>
      <c r="V5" s="3425"/>
      <c r="W5" s="3425"/>
      <c r="X5" s="3202"/>
      <c r="Y5" s="3440"/>
      <c r="Z5" s="3441"/>
      <c r="AA5" s="3428"/>
      <c r="AB5" s="3428"/>
      <c r="AC5" s="3428"/>
    </row>
    <row r="6" spans="1:29" ht="15.75" thickBot="1">
      <c r="A6" s="517"/>
      <c r="B6" s="518"/>
      <c r="C6" s="3444" t="s">
        <v>2926</v>
      </c>
      <c r="D6" s="3445"/>
      <c r="E6" s="3464" t="s">
        <v>2926</v>
      </c>
      <c r="F6" s="3465"/>
      <c r="G6" s="3444" t="s">
        <v>2926</v>
      </c>
      <c r="H6" s="3445"/>
      <c r="I6" s="3444" t="s">
        <v>2926</v>
      </c>
      <c r="J6" s="3445"/>
      <c r="K6" s="854" t="s">
        <v>528</v>
      </c>
      <c r="L6" s="2118"/>
      <c r="M6" s="2119"/>
      <c r="N6" s="2119"/>
      <c r="O6" s="2119"/>
      <c r="P6" s="3436"/>
      <c r="Q6" s="3437"/>
      <c r="R6" s="3440"/>
      <c r="S6" s="3441"/>
      <c r="T6" s="3442"/>
      <c r="U6" s="3443"/>
      <c r="V6" s="3425"/>
      <c r="W6" s="3425"/>
      <c r="X6" s="3202"/>
      <c r="Y6" s="3442"/>
      <c r="Z6" s="3443"/>
      <c r="AA6" s="3429"/>
      <c r="AB6" s="3429"/>
      <c r="AC6" s="3429"/>
    </row>
    <row r="7" spans="1:29" s="1216" customFormat="1" ht="15.75" thickBot="1">
      <c r="A7" s="2867"/>
      <c r="B7" s="2874" t="s">
        <v>529</v>
      </c>
      <c r="C7" s="519">
        <f>'数据-取费表'!B2</f>
        <v>43868</v>
      </c>
      <c r="D7" s="520">
        <v>100</v>
      </c>
      <c r="E7" s="3240">
        <v>43862</v>
      </c>
      <c r="F7" s="522">
        <f>SUMIF(58:58,YEAR(E7)&amp;"-"&amp;MONTH(E7),59:59)</f>
        <v>100</v>
      </c>
      <c r="G7" s="3240">
        <v>43862</v>
      </c>
      <c r="H7" s="520">
        <f>SUMIF(58:58,YEAR(G7)&amp;"-"&amp;MONTH(G7),59:59)</f>
        <v>100</v>
      </c>
      <c r="I7" s="3240">
        <v>43862</v>
      </c>
      <c r="J7" s="520">
        <f>SUMIF(58:58,YEAR(I7)&amp;"-"&amp;MONTH(I7),59:59)</f>
        <v>100</v>
      </c>
      <c r="K7" s="855"/>
      <c r="L7" s="2120"/>
      <c r="M7" s="2121"/>
      <c r="N7" s="2121"/>
      <c r="O7" s="2121"/>
      <c r="P7" s="3457" t="s">
        <v>530</v>
      </c>
      <c r="Q7" s="3459"/>
      <c r="R7" s="1554" t="s">
        <v>13</v>
      </c>
      <c r="S7" s="1555">
        <f t="shared" ref="S7:S15" si="0">F7</f>
        <v>100</v>
      </c>
      <c r="T7" s="1554" t="s">
        <v>13</v>
      </c>
      <c r="U7" s="1555">
        <f t="shared" ref="U7:U15" si="1">H7</f>
        <v>100</v>
      </c>
      <c r="V7" s="1554" t="s">
        <v>13</v>
      </c>
      <c r="W7" s="1555">
        <f t="shared" ref="W7:W15" si="2">J7</f>
        <v>100</v>
      </c>
      <c r="X7" s="1556"/>
      <c r="Y7" s="3457" t="s">
        <v>530</v>
      </c>
      <c r="Z7" s="3458"/>
      <c r="AA7" s="1557">
        <f>D7/F7</f>
        <v>1</v>
      </c>
      <c r="AB7" s="1557">
        <f>D7/H7</f>
        <v>1</v>
      </c>
      <c r="AC7" s="1557">
        <f>D7/J7</f>
        <v>1</v>
      </c>
    </row>
    <row r="8" spans="1:29" s="1216" customFormat="1" ht="15.75" thickBot="1">
      <c r="A8" s="2868"/>
      <c r="B8" s="2875" t="s">
        <v>531</v>
      </c>
      <c r="C8" s="525" t="s">
        <v>576</v>
      </c>
      <c r="D8" s="520">
        <v>100</v>
      </c>
      <c r="E8" s="3252" t="s">
        <v>3354</v>
      </c>
      <c r="F8" s="522">
        <f>SUMIF(61:61,E8,62:62)-SUMIF(61:61,C8,62:62)+100</f>
        <v>100</v>
      </c>
      <c r="G8" s="3252" t="s">
        <v>3354</v>
      </c>
      <c r="H8" s="520">
        <f>SUMIF(61:61,G8,62:62)-SUMIF(61:61,C8,62:62)+100</f>
        <v>100</v>
      </c>
      <c r="I8" s="3252" t="s">
        <v>3354</v>
      </c>
      <c r="J8" s="520">
        <f>SUMIF(61:61,I8,62:62)-SUMIF(61:61,C8,62:62)+100</f>
        <v>100</v>
      </c>
      <c r="K8" s="855"/>
      <c r="L8" s="2120"/>
      <c r="M8" s="2121"/>
      <c r="N8" s="2121"/>
      <c r="O8" s="2121"/>
      <c r="P8" s="3457" t="s">
        <v>533</v>
      </c>
      <c r="Q8" s="3458"/>
      <c r="R8" s="1554" t="s">
        <v>13</v>
      </c>
      <c r="S8" s="1555">
        <f t="shared" si="0"/>
        <v>100</v>
      </c>
      <c r="T8" s="1554" t="s">
        <v>13</v>
      </c>
      <c r="U8" s="1555">
        <f t="shared" si="1"/>
        <v>100</v>
      </c>
      <c r="V8" s="1554" t="s">
        <v>13</v>
      </c>
      <c r="W8" s="1555">
        <f t="shared" si="2"/>
        <v>100</v>
      </c>
      <c r="X8" s="1556"/>
      <c r="Y8" s="3457" t="s">
        <v>533</v>
      </c>
      <c r="Z8" s="3458"/>
      <c r="AA8" s="1557">
        <f t="shared" ref="AA8:AA46" si="3">D8/F8</f>
        <v>1</v>
      </c>
      <c r="AB8" s="1557">
        <f t="shared" ref="AB8:AB46" si="4">D8/H8</f>
        <v>1</v>
      </c>
      <c r="AC8" s="1557">
        <f t="shared" ref="AC8:AC46" si="5">D8/J8</f>
        <v>1</v>
      </c>
    </row>
    <row r="9" spans="1:29" s="1216" customFormat="1" ht="15">
      <c r="A9" s="2869"/>
      <c r="B9" s="2876" t="s">
        <v>2753</v>
      </c>
      <c r="C9" s="3183" t="s">
        <v>3361</v>
      </c>
      <c r="D9" s="254">
        <v>100</v>
      </c>
      <c r="E9" s="3253" t="s">
        <v>923</v>
      </c>
      <c r="F9" s="859">
        <f>SUMIF(63:63,E9,64:64)-SUMIF(63:63,C9,64:64)+100</f>
        <v>100</v>
      </c>
      <c r="G9" s="3253" t="s">
        <v>923</v>
      </c>
      <c r="H9" s="254">
        <f>SUMIF(63:63,G9,64:64)-SUMIF(63:63,C9,64:64)+100</f>
        <v>100</v>
      </c>
      <c r="I9" s="3253" t="s">
        <v>923</v>
      </c>
      <c r="J9" s="254">
        <f>SUMIF(63:63,I9,64:64)-SUMIF(63:63,C9,64:64)+100</f>
        <v>100</v>
      </c>
      <c r="K9" s="855"/>
      <c r="L9" s="2120"/>
      <c r="M9" s="2121"/>
      <c r="N9" s="2121"/>
      <c r="O9" s="2122"/>
      <c r="P9" s="3424" t="s">
        <v>535</v>
      </c>
      <c r="Q9" s="3199" t="str">
        <f t="shared" ref="Q9:Q15" si="6">B9</f>
        <v>用途</v>
      </c>
      <c r="R9" s="1554" t="s">
        <v>8</v>
      </c>
      <c r="S9" s="1555">
        <f t="shared" si="0"/>
        <v>100</v>
      </c>
      <c r="T9" s="1554" t="s">
        <v>8</v>
      </c>
      <c r="U9" s="1555">
        <f t="shared" si="1"/>
        <v>100</v>
      </c>
      <c r="V9" s="1554" t="s">
        <v>8</v>
      </c>
      <c r="W9" s="1555">
        <f t="shared" si="2"/>
        <v>100</v>
      </c>
      <c r="X9" s="1556"/>
      <c r="Y9" s="3370" t="s">
        <v>536</v>
      </c>
      <c r="Z9" s="3198" t="str">
        <f t="shared" ref="Z9:Z15" si="7">Q9</f>
        <v>用途</v>
      </c>
      <c r="AA9" s="1557">
        <f t="shared" si="3"/>
        <v>1</v>
      </c>
      <c r="AB9" s="1557">
        <f t="shared" si="4"/>
        <v>1</v>
      </c>
      <c r="AC9" s="1557">
        <f t="shared" si="5"/>
        <v>1</v>
      </c>
    </row>
    <row r="10" spans="1:29" s="1334" customFormat="1" ht="27">
      <c r="A10" s="2870"/>
      <c r="B10" s="2875" t="s">
        <v>2754</v>
      </c>
      <c r="C10" s="861"/>
      <c r="D10" s="255">
        <v>100</v>
      </c>
      <c r="E10" s="862"/>
      <c r="F10" s="863">
        <f>SUMIF(65:65,E10,66:66)-SUMIF(65:65,C10,66:66)+100</f>
        <v>100</v>
      </c>
      <c r="G10" s="862"/>
      <c r="H10" s="255">
        <f>SUMIF(65:65,G10,66:66)-SUMIF(65:65,C10,66:66)+100</f>
        <v>100</v>
      </c>
      <c r="I10" s="862"/>
      <c r="J10" s="255">
        <f>SUMIF(65:65,I10,66:66)-SUMIF(65:65,C10,66:66)+100</f>
        <v>100</v>
      </c>
      <c r="K10" s="864"/>
      <c r="L10" s="2123"/>
      <c r="M10" s="2163"/>
      <c r="N10" s="2163"/>
      <c r="O10" s="2124"/>
      <c r="P10" s="3424"/>
      <c r="Q10" s="3199" t="str">
        <f t="shared" si="6"/>
        <v>土地使用年限（年）</v>
      </c>
      <c r="R10" s="1554" t="s">
        <v>8</v>
      </c>
      <c r="S10" s="1555">
        <f t="shared" si="0"/>
        <v>100</v>
      </c>
      <c r="T10" s="1554" t="s">
        <v>8</v>
      </c>
      <c r="U10" s="1555">
        <f t="shared" si="1"/>
        <v>100</v>
      </c>
      <c r="V10" s="1554" t="s">
        <v>8</v>
      </c>
      <c r="W10" s="1555">
        <f t="shared" si="2"/>
        <v>100</v>
      </c>
      <c r="X10" s="1556"/>
      <c r="Y10" s="3370"/>
      <c r="Z10" s="3198" t="str">
        <f t="shared" si="7"/>
        <v>土地使用年限（年）</v>
      </c>
      <c r="AA10" s="1557">
        <f t="shared" si="3"/>
        <v>1</v>
      </c>
      <c r="AB10" s="1557">
        <f t="shared" si="4"/>
        <v>1</v>
      </c>
      <c r="AC10" s="1557">
        <f t="shared" si="5"/>
        <v>1</v>
      </c>
    </row>
    <row r="11" spans="1:29" ht="15">
      <c r="A11" s="2871"/>
      <c r="B11" s="2875" t="s">
        <v>2755</v>
      </c>
      <c r="C11" s="533">
        <f>'数据-汇总表'!I6</f>
        <v>2.5</v>
      </c>
      <c r="D11" s="255">
        <v>100</v>
      </c>
      <c r="E11" s="534">
        <v>2</v>
      </c>
      <c r="F11" s="863">
        <f>LOOKUP(E11,68:68,69:69)-LOOKUP(C11,68:68,69:69)+100</f>
        <v>100</v>
      </c>
      <c r="G11" s="533">
        <v>4.9000000000000004</v>
      </c>
      <c r="H11" s="255">
        <f>LOOKUP(G11,68:68,69:69)-LOOKUP(C11,68:68,69:69)+100</f>
        <v>98</v>
      </c>
      <c r="I11" s="533">
        <v>1.2</v>
      </c>
      <c r="J11" s="255">
        <f>LOOKUP(I11,68:68,69:69)-LOOKUP(C11,68:68,69:69)+100</f>
        <v>101</v>
      </c>
      <c r="K11" s="864">
        <v>1</v>
      </c>
      <c r="L11" s="2125"/>
      <c r="M11" s="2119"/>
      <c r="N11" s="2119"/>
      <c r="O11" s="2126"/>
      <c r="P11" s="3424"/>
      <c r="Q11" s="3199" t="str">
        <f t="shared" si="6"/>
        <v>容积率</v>
      </c>
      <c r="R11" s="1554" t="s">
        <v>11</v>
      </c>
      <c r="S11" s="1555">
        <f t="shared" si="0"/>
        <v>100</v>
      </c>
      <c r="T11" s="1554" t="s">
        <v>11</v>
      </c>
      <c r="U11" s="1555">
        <f t="shared" si="1"/>
        <v>98</v>
      </c>
      <c r="V11" s="1554" t="s">
        <v>11</v>
      </c>
      <c r="W11" s="1555">
        <f t="shared" si="2"/>
        <v>101</v>
      </c>
      <c r="X11" s="1556"/>
      <c r="Y11" s="3370"/>
      <c r="Z11" s="3198" t="str">
        <f t="shared" si="7"/>
        <v>容积率</v>
      </c>
      <c r="AA11" s="1557">
        <f t="shared" si="3"/>
        <v>1</v>
      </c>
      <c r="AB11" s="1557">
        <f t="shared" si="4"/>
        <v>1.0204081632653061</v>
      </c>
      <c r="AC11" s="1557">
        <f t="shared" si="5"/>
        <v>0.99009900990099009</v>
      </c>
    </row>
    <row r="12" spans="1:29" s="1216" customFormat="1" ht="15">
      <c r="A12" s="2872"/>
      <c r="B12" s="2878">
        <v>111</v>
      </c>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424"/>
      <c r="Q12" s="3199">
        <f t="shared" si="6"/>
        <v>111</v>
      </c>
      <c r="R12" s="1554" t="s">
        <v>11</v>
      </c>
      <c r="S12" s="1555">
        <f t="shared" si="0"/>
        <v>100</v>
      </c>
      <c r="T12" s="1554" t="s">
        <v>11</v>
      </c>
      <c r="U12" s="1555">
        <f t="shared" si="1"/>
        <v>100</v>
      </c>
      <c r="V12" s="1554" t="s">
        <v>11</v>
      </c>
      <c r="W12" s="1555">
        <f t="shared" si="2"/>
        <v>100</v>
      </c>
      <c r="X12" s="1556"/>
      <c r="Y12" s="3370"/>
      <c r="Z12" s="3198">
        <f t="shared" si="7"/>
        <v>111</v>
      </c>
      <c r="AA12" s="1557">
        <f>D12/F12</f>
        <v>1</v>
      </c>
      <c r="AB12" s="1557">
        <f>D12/H12</f>
        <v>1</v>
      </c>
      <c r="AC12" s="1557">
        <f>D12/J12</f>
        <v>1</v>
      </c>
    </row>
    <row r="13" spans="1:29" ht="15">
      <c r="A13" s="2872"/>
      <c r="B13" s="2878">
        <v>111</v>
      </c>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424"/>
      <c r="Q13" s="3199">
        <f t="shared" si="6"/>
        <v>111</v>
      </c>
      <c r="R13" s="1554" t="s">
        <v>11</v>
      </c>
      <c r="S13" s="1555">
        <f t="shared" si="0"/>
        <v>100</v>
      </c>
      <c r="T13" s="1554" t="s">
        <v>11</v>
      </c>
      <c r="U13" s="1555">
        <f t="shared" si="1"/>
        <v>100</v>
      </c>
      <c r="V13" s="1554" t="s">
        <v>11</v>
      </c>
      <c r="W13" s="1555">
        <f t="shared" si="2"/>
        <v>100</v>
      </c>
      <c r="X13" s="1556"/>
      <c r="Y13" s="3370"/>
      <c r="Z13" s="3198">
        <f t="shared" si="7"/>
        <v>111</v>
      </c>
      <c r="AA13" s="1557">
        <f t="shared" si="3"/>
        <v>1</v>
      </c>
      <c r="AB13" s="1557">
        <f t="shared" si="4"/>
        <v>1</v>
      </c>
      <c r="AC13" s="1557">
        <f t="shared" si="5"/>
        <v>1</v>
      </c>
    </row>
    <row r="14" spans="1:29" ht="15.75" thickBot="1">
      <c r="A14" s="2873"/>
      <c r="B14" s="2879">
        <v>111</v>
      </c>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424"/>
      <c r="Q14" s="3199">
        <f t="shared" si="6"/>
        <v>111</v>
      </c>
      <c r="R14" s="1554" t="s">
        <v>11</v>
      </c>
      <c r="S14" s="1555">
        <f t="shared" si="0"/>
        <v>100</v>
      </c>
      <c r="T14" s="1554" t="s">
        <v>11</v>
      </c>
      <c r="U14" s="1555">
        <f t="shared" si="1"/>
        <v>100</v>
      </c>
      <c r="V14" s="1554" t="s">
        <v>11</v>
      </c>
      <c r="W14" s="1555">
        <f t="shared" si="2"/>
        <v>100</v>
      </c>
      <c r="X14" s="1556"/>
      <c r="Y14" s="3370"/>
      <c r="Z14" s="3198">
        <f t="shared" si="7"/>
        <v>111</v>
      </c>
      <c r="AA14" s="1557">
        <f t="shared" si="3"/>
        <v>1</v>
      </c>
      <c r="AB14" s="1557">
        <f t="shared" si="4"/>
        <v>1</v>
      </c>
      <c r="AC14" s="1557">
        <f t="shared" si="5"/>
        <v>1</v>
      </c>
    </row>
    <row r="15" spans="1:29" ht="15">
      <c r="A15" s="2865" t="s">
        <v>2751</v>
      </c>
      <c r="B15" s="166" t="s">
        <v>295</v>
      </c>
      <c r="C15" s="867">
        <f>估价对象房地状况!C3</f>
        <v>0</v>
      </c>
      <c r="D15" s="549">
        <v>100</v>
      </c>
      <c r="E15" s="550"/>
      <c r="F15" s="551">
        <f>SUMIF(76:76,E16,77:77)-SUMIF(76:76,C16,77:77)+100</f>
        <v>106</v>
      </c>
      <c r="G15" s="552"/>
      <c r="H15" s="549">
        <f>SUMIF(76:76,G16,77:77)-SUMIF(76:76,C16,77:77)+100</f>
        <v>106</v>
      </c>
      <c r="I15" s="550"/>
      <c r="J15" s="549">
        <f>SUMIF(76:76,I16,77:77)-SUMIF(76:76,C16,77:77)+100</f>
        <v>106</v>
      </c>
      <c r="K15" s="868">
        <v>6</v>
      </c>
      <c r="L15" s="2127"/>
      <c r="M15" s="2119"/>
      <c r="N15" s="2119"/>
      <c r="O15" s="2126"/>
      <c r="P15" s="3460" t="s">
        <v>540</v>
      </c>
      <c r="Q15" s="3200" t="str">
        <f t="shared" si="6"/>
        <v>居住社区成熟度</v>
      </c>
      <c r="R15" s="1559" t="s">
        <v>11</v>
      </c>
      <c r="S15" s="1560">
        <f t="shared" si="0"/>
        <v>106</v>
      </c>
      <c r="T15" s="1559" t="s">
        <v>11</v>
      </c>
      <c r="U15" s="1560">
        <f t="shared" si="1"/>
        <v>106</v>
      </c>
      <c r="V15" s="1559" t="s">
        <v>11</v>
      </c>
      <c r="W15" s="1560">
        <f t="shared" si="2"/>
        <v>106</v>
      </c>
      <c r="X15" s="3202"/>
      <c r="Y15" s="3460" t="s">
        <v>540</v>
      </c>
      <c r="Z15" s="3201" t="str">
        <f t="shared" si="7"/>
        <v>居住社区成熟度</v>
      </c>
      <c r="AA15" s="3203">
        <f t="shared" si="3"/>
        <v>0.94339622641509435</v>
      </c>
      <c r="AB15" s="3203">
        <f t="shared" si="4"/>
        <v>0.94339622641509435</v>
      </c>
      <c r="AC15" s="3203">
        <f t="shared" si="5"/>
        <v>0.94339622641509435</v>
      </c>
    </row>
    <row r="16" spans="1:29" ht="15">
      <c r="A16" s="532"/>
      <c r="B16" s="869"/>
      <c r="C16" s="576" t="s">
        <v>3019</v>
      </c>
      <c r="D16" s="555"/>
      <c r="E16" s="3243" t="s">
        <v>3020</v>
      </c>
      <c r="F16" s="557"/>
      <c r="G16" s="3243" t="s">
        <v>3020</v>
      </c>
      <c r="H16" s="559"/>
      <c r="I16" s="3243" t="s">
        <v>3020</v>
      </c>
      <c r="J16" s="555"/>
      <c r="K16" s="870"/>
      <c r="L16" s="2127"/>
      <c r="M16" s="2119"/>
      <c r="N16" s="2119"/>
      <c r="O16" s="2126"/>
      <c r="P16" s="3461"/>
      <c r="Q16" s="3200"/>
      <c r="R16" s="1559"/>
      <c r="S16" s="1560"/>
      <c r="T16" s="1559"/>
      <c r="U16" s="1560"/>
      <c r="V16" s="1559"/>
      <c r="W16" s="1560"/>
      <c r="X16" s="3202"/>
      <c r="Y16" s="3461"/>
      <c r="Z16" s="3201"/>
      <c r="AA16" s="3203">
        <v>1</v>
      </c>
      <c r="AB16" s="3203">
        <v>1</v>
      </c>
      <c r="AC16" s="3203">
        <v>1</v>
      </c>
    </row>
    <row r="17" spans="1:29" ht="15">
      <c r="A17" s="532"/>
      <c r="B17" s="871" t="s">
        <v>296</v>
      </c>
      <c r="C17" s="872" t="str">
        <f>估价对象房地状况!C6</f>
        <v>较好</v>
      </c>
      <c r="D17" s="559">
        <v>100</v>
      </c>
      <c r="E17" s="3244"/>
      <c r="F17" s="563">
        <f>SUMIF(78:78,E18,79:79)-SUMIF(78:78,C18,79:79)+100</f>
        <v>105</v>
      </c>
      <c r="G17" s="3244"/>
      <c r="H17" s="565">
        <f>SUMIF(78:78,G18,79:79)-SUMIF(78:78,C18,79:79)+100</f>
        <v>105</v>
      </c>
      <c r="I17" s="3244"/>
      <c r="J17" s="565">
        <f>SUMIF(78:78,I18,79:79)-SUMIF(78:78,C18,79:79)+100</f>
        <v>105</v>
      </c>
      <c r="K17" s="868">
        <v>5</v>
      </c>
      <c r="L17" s="2127"/>
      <c r="M17" s="2119"/>
      <c r="N17" s="2119"/>
      <c r="O17" s="2126"/>
      <c r="P17" s="3461"/>
      <c r="Q17" s="3200" t="str">
        <f>B17</f>
        <v>交通便捷度</v>
      </c>
      <c r="R17" s="1559" t="s">
        <v>11</v>
      </c>
      <c r="S17" s="1560">
        <f>F17</f>
        <v>105</v>
      </c>
      <c r="T17" s="1559" t="s">
        <v>11</v>
      </c>
      <c r="U17" s="1560">
        <f>H17</f>
        <v>105</v>
      </c>
      <c r="V17" s="1559" t="s">
        <v>11</v>
      </c>
      <c r="W17" s="1560">
        <f>J17</f>
        <v>105</v>
      </c>
      <c r="X17" s="3202"/>
      <c r="Y17" s="3461"/>
      <c r="Z17" s="3201" t="str">
        <f>Q17</f>
        <v>交通便捷度</v>
      </c>
      <c r="AA17" s="3203">
        <f t="shared" si="3"/>
        <v>0.95238095238095233</v>
      </c>
      <c r="AB17" s="3203">
        <f t="shared" si="4"/>
        <v>0.95238095238095233</v>
      </c>
      <c r="AC17" s="3203">
        <f t="shared" si="5"/>
        <v>0.95238095238095233</v>
      </c>
    </row>
    <row r="18" spans="1:29" ht="15">
      <c r="A18" s="532"/>
      <c r="B18" s="595"/>
      <c r="C18" s="873" t="s">
        <v>3019</v>
      </c>
      <c r="D18" s="559"/>
      <c r="E18" s="3243" t="s">
        <v>3020</v>
      </c>
      <c r="F18" s="563"/>
      <c r="G18" s="3243" t="s">
        <v>3020</v>
      </c>
      <c r="H18" s="555"/>
      <c r="I18" s="3243" t="s">
        <v>3020</v>
      </c>
      <c r="J18" s="555"/>
      <c r="K18" s="870"/>
      <c r="L18" s="2127"/>
      <c r="M18" s="2119"/>
      <c r="N18" s="2119"/>
      <c r="O18" s="2126"/>
      <c r="P18" s="3461"/>
      <c r="Q18" s="3200"/>
      <c r="R18" s="1559"/>
      <c r="S18" s="1560"/>
      <c r="T18" s="1559"/>
      <c r="U18" s="1560"/>
      <c r="V18" s="1559"/>
      <c r="W18" s="1560"/>
      <c r="X18" s="3202"/>
      <c r="Y18" s="3461"/>
      <c r="Z18" s="3201"/>
      <c r="AA18" s="3203">
        <v>1</v>
      </c>
      <c r="AB18" s="3203">
        <v>1</v>
      </c>
      <c r="AC18" s="3203">
        <v>1</v>
      </c>
    </row>
    <row r="19" spans="1:29" ht="15">
      <c r="A19" s="532"/>
      <c r="B19" s="2564" t="s">
        <v>2543</v>
      </c>
      <c r="C19" s="872" t="str">
        <f>估价对象房地状况!C7</f>
        <v>一般</v>
      </c>
      <c r="D19" s="565">
        <v>100</v>
      </c>
      <c r="E19" s="3245"/>
      <c r="F19" s="571">
        <f>SUMIF(80:80,E20,81:81)-SUMIF(80:80,C20,81:81)+100</f>
        <v>100</v>
      </c>
      <c r="G19" s="3245"/>
      <c r="H19" s="559">
        <f>SUMIF(80:80,G20,81:81)-SUMIF(80:80,C20,81:81)+100</f>
        <v>100</v>
      </c>
      <c r="I19" s="3245"/>
      <c r="J19" s="559">
        <f>SUMIF(80:80,I20,81:81)-SUMIF(80:80,C20,81:81)+100</f>
        <v>100</v>
      </c>
      <c r="K19" s="868"/>
      <c r="L19" s="2127"/>
      <c r="M19" s="2119"/>
      <c r="N19" s="2119"/>
      <c r="O19" s="2126"/>
      <c r="P19" s="3461"/>
      <c r="Q19" s="3200" t="str">
        <f>B19</f>
        <v>公共配套设施</v>
      </c>
      <c r="R19" s="1559" t="s">
        <v>11</v>
      </c>
      <c r="S19" s="1560">
        <f>F19</f>
        <v>100</v>
      </c>
      <c r="T19" s="1559" t="s">
        <v>11</v>
      </c>
      <c r="U19" s="1560">
        <f>H19</f>
        <v>100</v>
      </c>
      <c r="V19" s="1559" t="s">
        <v>11</v>
      </c>
      <c r="W19" s="1560">
        <f>J19</f>
        <v>100</v>
      </c>
      <c r="X19" s="3202"/>
      <c r="Y19" s="3461"/>
      <c r="Z19" s="3201" t="str">
        <f>Q19</f>
        <v>公共配套设施</v>
      </c>
      <c r="AA19" s="3203">
        <f t="shared" si="3"/>
        <v>1</v>
      </c>
      <c r="AB19" s="3203">
        <f t="shared" si="4"/>
        <v>1</v>
      </c>
      <c r="AC19" s="3203">
        <f t="shared" si="5"/>
        <v>1</v>
      </c>
    </row>
    <row r="20" spans="1:29" ht="15">
      <c r="A20" s="532"/>
      <c r="B20" s="595"/>
      <c r="C20" s="576"/>
      <c r="D20" s="555"/>
      <c r="E20" s="3243"/>
      <c r="F20" s="557"/>
      <c r="G20" s="3243"/>
      <c r="H20" s="555"/>
      <c r="I20" s="3243"/>
      <c r="J20" s="555"/>
      <c r="K20" s="870"/>
      <c r="L20" s="2127"/>
      <c r="M20" s="2119"/>
      <c r="N20" s="2119"/>
      <c r="O20" s="2126"/>
      <c r="P20" s="3461"/>
      <c r="Q20" s="3200"/>
      <c r="R20" s="1559"/>
      <c r="S20" s="1560"/>
      <c r="T20" s="1559"/>
      <c r="U20" s="1560"/>
      <c r="V20" s="1559"/>
      <c r="W20" s="1560"/>
      <c r="X20" s="3202"/>
      <c r="Y20" s="3461"/>
      <c r="Z20" s="3201"/>
      <c r="AA20" s="3203">
        <v>1</v>
      </c>
      <c r="AB20" s="3203">
        <v>1</v>
      </c>
      <c r="AC20" s="3203">
        <v>1</v>
      </c>
    </row>
    <row r="21" spans="1:29" ht="15">
      <c r="A21" s="532"/>
      <c r="B21" s="2557" t="s">
        <v>2544</v>
      </c>
      <c r="C21" s="872" t="str">
        <f>估价对象房地状况!C8</f>
        <v>六通</v>
      </c>
      <c r="D21" s="565">
        <v>100</v>
      </c>
      <c r="E21" s="3246"/>
      <c r="F21" s="571">
        <f>SUMIF(82:82,E22,83:83)-SUMIF(82:82,C22,83:83)+100</f>
        <v>100</v>
      </c>
      <c r="G21" s="3246"/>
      <c r="H21" s="565">
        <f>SUMIF(82:82,G22,83:83)-SUMIF(82:82,C22,83:83)+100</f>
        <v>100</v>
      </c>
      <c r="I21" s="3246"/>
      <c r="J21" s="565">
        <f>SUMIF(82:82,I22,83:83)-SUMIF(82:82,C22,83:83)+100</f>
        <v>100</v>
      </c>
      <c r="K21" s="868"/>
      <c r="L21" s="2127"/>
      <c r="M21" s="2119"/>
      <c r="N21" s="2119"/>
      <c r="O21" s="2126"/>
      <c r="P21" s="3461"/>
      <c r="Q21" s="3200" t="str">
        <f>B21</f>
        <v>基础设施水平</v>
      </c>
      <c r="R21" s="1559" t="s">
        <v>11</v>
      </c>
      <c r="S21" s="1560">
        <f>F21</f>
        <v>100</v>
      </c>
      <c r="T21" s="1559" t="s">
        <v>11</v>
      </c>
      <c r="U21" s="1560">
        <f>H21</f>
        <v>100</v>
      </c>
      <c r="V21" s="1559" t="s">
        <v>11</v>
      </c>
      <c r="W21" s="1560">
        <f>J21</f>
        <v>100</v>
      </c>
      <c r="X21" s="3202"/>
      <c r="Y21" s="3461"/>
      <c r="Z21" s="3201" t="str">
        <f>Q21</f>
        <v>基础设施水平</v>
      </c>
      <c r="AA21" s="3203">
        <f t="shared" ref="AA21" si="8">D21/F21</f>
        <v>1</v>
      </c>
      <c r="AB21" s="3203">
        <f t="shared" ref="AB21" si="9">D21/H21</f>
        <v>1</v>
      </c>
      <c r="AC21" s="3203">
        <f t="shared" ref="AC21" si="10">D21/J21</f>
        <v>1</v>
      </c>
    </row>
    <row r="22" spans="1:29" ht="15">
      <c r="A22" s="532"/>
      <c r="B22" s="922"/>
      <c r="C22" s="873"/>
      <c r="D22" s="555"/>
      <c r="E22" s="3247"/>
      <c r="F22" s="557"/>
      <c r="G22" s="3247"/>
      <c r="H22" s="555"/>
      <c r="I22" s="3247"/>
      <c r="J22" s="555"/>
      <c r="K22" s="2563"/>
      <c r="L22" s="2127"/>
      <c r="M22" s="2119"/>
      <c r="N22" s="2119"/>
      <c r="O22" s="2126"/>
      <c r="P22" s="3461"/>
      <c r="Q22" s="3200"/>
      <c r="R22" s="1559"/>
      <c r="S22" s="1560"/>
      <c r="T22" s="1559"/>
      <c r="U22" s="1560"/>
      <c r="V22" s="1559"/>
      <c r="W22" s="1560"/>
      <c r="X22" s="3202"/>
      <c r="Y22" s="3461"/>
      <c r="Z22" s="3201"/>
      <c r="AA22" s="3203">
        <v>1</v>
      </c>
      <c r="AB22" s="3203">
        <v>1</v>
      </c>
      <c r="AC22" s="3203">
        <v>1</v>
      </c>
    </row>
    <row r="23" spans="1:29" ht="15">
      <c r="A23" s="532"/>
      <c r="B23" s="871" t="s">
        <v>297</v>
      </c>
      <c r="C23" s="872" t="str">
        <f>估价对象房地状况!C9</f>
        <v>较好</v>
      </c>
      <c r="D23" s="559">
        <v>100</v>
      </c>
      <c r="E23" s="3244"/>
      <c r="F23" s="563">
        <f>SUMIF(84:84,E24,85:85)-SUMIF(84:84,C24,85:85)+100</f>
        <v>103</v>
      </c>
      <c r="G23" s="3244"/>
      <c r="H23" s="559">
        <f>SUMIF(84:84,G24,85:85)-SUMIF(84:84,C24,85:85)+100</f>
        <v>103</v>
      </c>
      <c r="I23" s="3244"/>
      <c r="J23" s="559">
        <f>SUMIF(84:84,I24,85:85)-SUMIF(84:84,C24,85:85)+100</f>
        <v>103</v>
      </c>
      <c r="K23" s="868">
        <v>3</v>
      </c>
      <c r="L23" s="2127"/>
      <c r="M23" s="2119"/>
      <c r="N23" s="2119"/>
      <c r="O23" s="2126"/>
      <c r="P23" s="3461"/>
      <c r="Q23" s="3200" t="str">
        <f>B23</f>
        <v>自然及人文环境</v>
      </c>
      <c r="R23" s="1559" t="s">
        <v>11</v>
      </c>
      <c r="S23" s="1560">
        <f>F23</f>
        <v>103</v>
      </c>
      <c r="T23" s="1559" t="s">
        <v>11</v>
      </c>
      <c r="U23" s="1560">
        <f>H23</f>
        <v>103</v>
      </c>
      <c r="V23" s="1559" t="s">
        <v>11</v>
      </c>
      <c r="W23" s="1560">
        <f>J23</f>
        <v>103</v>
      </c>
      <c r="X23" s="3202"/>
      <c r="Y23" s="3461"/>
      <c r="Z23" s="3201" t="str">
        <f>Q23</f>
        <v>自然及人文环境</v>
      </c>
      <c r="AA23" s="3203">
        <f t="shared" si="3"/>
        <v>0.970873786407767</v>
      </c>
      <c r="AB23" s="3203">
        <f t="shared" si="4"/>
        <v>0.970873786407767</v>
      </c>
      <c r="AC23" s="3203">
        <f t="shared" si="5"/>
        <v>0.970873786407767</v>
      </c>
    </row>
    <row r="24" spans="1:29" ht="15">
      <c r="A24" s="532"/>
      <c r="B24" s="595"/>
      <c r="C24" s="576" t="s">
        <v>3019</v>
      </c>
      <c r="D24" s="555"/>
      <c r="E24" s="3243" t="s">
        <v>3020</v>
      </c>
      <c r="F24" s="557"/>
      <c r="G24" s="3243" t="s">
        <v>3020</v>
      </c>
      <c r="H24" s="555"/>
      <c r="I24" s="3243" t="s">
        <v>3020</v>
      </c>
      <c r="J24" s="555"/>
      <c r="K24" s="870"/>
      <c r="L24" s="2127"/>
      <c r="M24" s="2119"/>
      <c r="N24" s="2119"/>
      <c r="O24" s="2126"/>
      <c r="P24" s="3461"/>
      <c r="Q24" s="3200"/>
      <c r="R24" s="1559"/>
      <c r="S24" s="1560"/>
      <c r="T24" s="1559"/>
      <c r="U24" s="1560"/>
      <c r="V24" s="1559"/>
      <c r="W24" s="1560"/>
      <c r="X24" s="3202"/>
      <c r="Y24" s="3461"/>
      <c r="Z24" s="3201"/>
      <c r="AA24" s="3203">
        <v>1</v>
      </c>
      <c r="AB24" s="3203">
        <v>1</v>
      </c>
      <c r="AC24" s="3203">
        <v>1</v>
      </c>
    </row>
    <row r="25" spans="1:29" ht="15">
      <c r="A25" s="532"/>
      <c r="B25" s="1880" t="s">
        <v>2256</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3461"/>
      <c r="Q25" s="3200" t="str">
        <f t="shared" ref="Q25:Q46" si="11">B25</f>
        <v>楼层-1</v>
      </c>
      <c r="R25" s="1559" t="s">
        <v>11</v>
      </c>
      <c r="S25" s="1560">
        <f>F25</f>
        <v>100</v>
      </c>
      <c r="T25" s="1559" t="s">
        <v>11</v>
      </c>
      <c r="U25" s="1560">
        <f>H25</f>
        <v>100</v>
      </c>
      <c r="V25" s="1559" t="s">
        <v>11</v>
      </c>
      <c r="W25" s="1560">
        <f>J25</f>
        <v>100</v>
      </c>
      <c r="X25" s="3202"/>
      <c r="Y25" s="3461"/>
      <c r="Z25" s="3201" t="str">
        <f>Q25</f>
        <v>楼层-1</v>
      </c>
      <c r="AA25" s="3203">
        <f t="shared" si="3"/>
        <v>1</v>
      </c>
      <c r="AB25" s="3203">
        <f t="shared" si="4"/>
        <v>1</v>
      </c>
      <c r="AC25" s="320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3461"/>
      <c r="Q26" s="3200" t="str">
        <f t="shared" si="11"/>
        <v>朝向</v>
      </c>
      <c r="R26" s="1559" t="s">
        <v>11</v>
      </c>
      <c r="S26" s="1560">
        <f>F26</f>
        <v>100</v>
      </c>
      <c r="T26" s="1559" t="s">
        <v>11</v>
      </c>
      <c r="U26" s="1560">
        <f>H26</f>
        <v>100</v>
      </c>
      <c r="V26" s="1559" t="s">
        <v>11</v>
      </c>
      <c r="W26" s="1560">
        <f>J26</f>
        <v>100</v>
      </c>
      <c r="X26" s="3202"/>
      <c r="Y26" s="3461"/>
      <c r="Z26" s="3201" t="str">
        <f>Q26</f>
        <v>朝向</v>
      </c>
      <c r="AA26" s="3203">
        <f t="shared" si="3"/>
        <v>1</v>
      </c>
      <c r="AB26" s="3203">
        <f t="shared" si="4"/>
        <v>1</v>
      </c>
      <c r="AC26" s="320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0"/>
      <c r="M27" s="2121"/>
      <c r="N27" s="2121"/>
      <c r="O27" s="2122"/>
      <c r="P27" s="3461"/>
      <c r="Q27" s="3199" t="str">
        <f t="shared" si="11"/>
        <v>道路级别</v>
      </c>
      <c r="R27" s="1554" t="s">
        <v>11</v>
      </c>
      <c r="S27" s="1555">
        <f>F27</f>
        <v>100</v>
      </c>
      <c r="T27" s="1554" t="s">
        <v>11</v>
      </c>
      <c r="U27" s="1555">
        <f>H27</f>
        <v>100</v>
      </c>
      <c r="V27" s="1554" t="s">
        <v>11</v>
      </c>
      <c r="W27" s="1555">
        <f>J27</f>
        <v>100</v>
      </c>
      <c r="X27" s="1556"/>
      <c r="Y27" s="3461"/>
      <c r="Z27" s="3198" t="str">
        <f>Q27</f>
        <v>道路级别</v>
      </c>
      <c r="AA27" s="3203">
        <f>D27/F27</f>
        <v>1</v>
      </c>
      <c r="AB27" s="3203">
        <f>D27/H27</f>
        <v>1</v>
      </c>
      <c r="AC27" s="320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7"/>
      <c r="M28" s="2119"/>
      <c r="N28" s="2119"/>
      <c r="O28" s="2126"/>
      <c r="P28" s="3461"/>
      <c r="Q28" s="3200">
        <f t="shared" si="11"/>
        <v>111</v>
      </c>
      <c r="R28" s="1559" t="s">
        <v>11</v>
      </c>
      <c r="S28" s="1560">
        <f t="shared" ref="S28:S46" si="12">F28</f>
        <v>100</v>
      </c>
      <c r="T28" s="1559" t="s">
        <v>11</v>
      </c>
      <c r="U28" s="1560">
        <f t="shared" ref="U28:U46" si="13">H28</f>
        <v>100</v>
      </c>
      <c r="V28" s="1559" t="s">
        <v>11</v>
      </c>
      <c r="W28" s="1560">
        <f t="shared" ref="W28:W46" si="14">J28</f>
        <v>100</v>
      </c>
      <c r="X28" s="3202"/>
      <c r="Y28" s="3461"/>
      <c r="Z28" s="3201">
        <f t="shared" ref="Z28:Z46" si="15">Q28</f>
        <v>111</v>
      </c>
      <c r="AA28" s="3203">
        <f t="shared" si="3"/>
        <v>1</v>
      </c>
      <c r="AB28" s="3203">
        <f t="shared" si="4"/>
        <v>1</v>
      </c>
      <c r="AC28" s="320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461"/>
      <c r="Q29" s="3200">
        <f t="shared" si="11"/>
        <v>111</v>
      </c>
      <c r="R29" s="1559" t="s">
        <v>11</v>
      </c>
      <c r="S29" s="1560">
        <f t="shared" si="12"/>
        <v>100</v>
      </c>
      <c r="T29" s="1559" t="s">
        <v>11</v>
      </c>
      <c r="U29" s="1560">
        <f t="shared" si="13"/>
        <v>100</v>
      </c>
      <c r="V29" s="1559" t="s">
        <v>11</v>
      </c>
      <c r="W29" s="1560">
        <f t="shared" si="14"/>
        <v>100</v>
      </c>
      <c r="X29" s="3202"/>
      <c r="Y29" s="3461"/>
      <c r="Z29" s="3201">
        <f t="shared" si="15"/>
        <v>111</v>
      </c>
      <c r="AA29" s="3203">
        <f t="shared" si="3"/>
        <v>1</v>
      </c>
      <c r="AB29" s="3203">
        <f t="shared" si="4"/>
        <v>1</v>
      </c>
      <c r="AC29" s="320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461"/>
      <c r="Q30" s="3200">
        <f t="shared" si="11"/>
        <v>111</v>
      </c>
      <c r="R30" s="1559" t="s">
        <v>11</v>
      </c>
      <c r="S30" s="1560">
        <f t="shared" si="12"/>
        <v>100</v>
      </c>
      <c r="T30" s="1559" t="s">
        <v>11</v>
      </c>
      <c r="U30" s="1560">
        <f t="shared" si="13"/>
        <v>100</v>
      </c>
      <c r="V30" s="1559" t="s">
        <v>11</v>
      </c>
      <c r="W30" s="1560">
        <f t="shared" si="14"/>
        <v>100</v>
      </c>
      <c r="X30" s="3202"/>
      <c r="Y30" s="3461"/>
      <c r="Z30" s="3201">
        <f t="shared" si="15"/>
        <v>111</v>
      </c>
      <c r="AA30" s="3203">
        <f t="shared" si="3"/>
        <v>1</v>
      </c>
      <c r="AB30" s="3203">
        <f t="shared" si="4"/>
        <v>1</v>
      </c>
      <c r="AC30" s="320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461"/>
      <c r="Q31" s="3200">
        <f t="shared" si="11"/>
        <v>111</v>
      </c>
      <c r="R31" s="1559" t="s">
        <v>11</v>
      </c>
      <c r="S31" s="1560">
        <f t="shared" si="12"/>
        <v>100</v>
      </c>
      <c r="T31" s="1559" t="s">
        <v>11</v>
      </c>
      <c r="U31" s="1560">
        <f t="shared" si="13"/>
        <v>100</v>
      </c>
      <c r="V31" s="1559" t="s">
        <v>11</v>
      </c>
      <c r="W31" s="1560">
        <f t="shared" si="14"/>
        <v>100</v>
      </c>
      <c r="X31" s="3202"/>
      <c r="Y31" s="3461"/>
      <c r="Z31" s="3201">
        <f t="shared" si="15"/>
        <v>111</v>
      </c>
      <c r="AA31" s="3203">
        <f t="shared" si="3"/>
        <v>1</v>
      </c>
      <c r="AB31" s="3203">
        <f t="shared" si="4"/>
        <v>1</v>
      </c>
      <c r="AC31" s="3203">
        <f t="shared" si="5"/>
        <v>1</v>
      </c>
    </row>
    <row r="32" spans="1:29" ht="15">
      <c r="A32" s="2862" t="s">
        <v>2752</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7"/>
      <c r="M32" s="2119"/>
      <c r="N32" s="2119"/>
      <c r="O32" s="2126"/>
      <c r="P32" s="3462" t="s">
        <v>550</v>
      </c>
      <c r="Q32" s="3200" t="str">
        <f t="shared" si="11"/>
        <v>建筑类型</v>
      </c>
      <c r="R32" s="1559" t="s">
        <v>11</v>
      </c>
      <c r="S32" s="1560">
        <f t="shared" si="12"/>
        <v>100</v>
      </c>
      <c r="T32" s="1559" t="s">
        <v>11</v>
      </c>
      <c r="U32" s="1560">
        <f t="shared" si="13"/>
        <v>100</v>
      </c>
      <c r="V32" s="1559" t="s">
        <v>11</v>
      </c>
      <c r="W32" s="1560">
        <f t="shared" si="14"/>
        <v>100</v>
      </c>
      <c r="X32" s="3202"/>
      <c r="Y32" s="3463" t="s">
        <v>550</v>
      </c>
      <c r="Z32" s="3201" t="str">
        <f t="shared" si="15"/>
        <v>建筑类型</v>
      </c>
      <c r="AA32" s="3203">
        <f t="shared" si="3"/>
        <v>1</v>
      </c>
      <c r="AB32" s="3203">
        <f t="shared" si="4"/>
        <v>1</v>
      </c>
      <c r="AC32" s="3203">
        <f t="shared" si="5"/>
        <v>1</v>
      </c>
    </row>
    <row r="33" spans="1:29" s="1335" customFormat="1" ht="15">
      <c r="A33" s="603"/>
      <c r="B33" s="527" t="s">
        <v>726</v>
      </c>
      <c r="C33" s="880">
        <f>'数据-汇总表'!E3</f>
        <v>79462.3</v>
      </c>
      <c r="D33" s="255">
        <v>100</v>
      </c>
      <c r="E33" s="3241">
        <v>114125.25</v>
      </c>
      <c r="F33" s="863">
        <f>LOOKUP(E33,103:103,104:104)-LOOKUP(C33,103:103,104:104)+100</f>
        <v>101</v>
      </c>
      <c r="G33" s="3254">
        <v>133849</v>
      </c>
      <c r="H33" s="255">
        <f>LOOKUP(G33,103:103,104:104)-LOOKUP(C33,103:103,104:104)+100</f>
        <v>101</v>
      </c>
      <c r="I33" s="3255">
        <v>150000</v>
      </c>
      <c r="J33" s="255">
        <f>LOOKUP(I33,103:103,104:104)-LOOKUP(C33,103:103,104:104)+100</f>
        <v>101</v>
      </c>
      <c r="K33" s="865"/>
      <c r="L33" s="2125"/>
      <c r="M33" s="2156"/>
      <c r="N33" s="2156"/>
      <c r="O33" s="2128"/>
      <c r="P33" s="3463"/>
      <c r="Q33" s="1590" t="str">
        <f t="shared" si="11"/>
        <v>项目建筑规模</v>
      </c>
      <c r="R33" s="1563" t="s">
        <v>11</v>
      </c>
      <c r="S33" s="1564">
        <f t="shared" si="12"/>
        <v>101</v>
      </c>
      <c r="T33" s="1563" t="s">
        <v>11</v>
      </c>
      <c r="U33" s="1564">
        <f t="shared" si="13"/>
        <v>101</v>
      </c>
      <c r="V33" s="1563" t="s">
        <v>11</v>
      </c>
      <c r="W33" s="1564">
        <f t="shared" si="14"/>
        <v>101</v>
      </c>
      <c r="X33" s="1565"/>
      <c r="Y33" s="3463"/>
      <c r="Z33" s="1566" t="str">
        <f t="shared" si="15"/>
        <v>项目建筑规模</v>
      </c>
      <c r="AA33" s="3203">
        <f t="shared" si="3"/>
        <v>0.99009900990099009</v>
      </c>
      <c r="AB33" s="3203">
        <f t="shared" si="4"/>
        <v>0.99009900990099009</v>
      </c>
      <c r="AC33" s="3203">
        <f t="shared" si="5"/>
        <v>0.99009900990099009</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7"/>
      <c r="M34" s="2119"/>
      <c r="N34" s="2119"/>
      <c r="O34" s="2126"/>
      <c r="P34" s="3463"/>
      <c r="Q34" s="3200" t="str">
        <f t="shared" si="11"/>
        <v>建筑结构</v>
      </c>
      <c r="R34" s="1559" t="s">
        <v>11</v>
      </c>
      <c r="S34" s="1560">
        <f t="shared" si="12"/>
        <v>100</v>
      </c>
      <c r="T34" s="1559" t="s">
        <v>11</v>
      </c>
      <c r="U34" s="1560">
        <f t="shared" si="13"/>
        <v>100</v>
      </c>
      <c r="V34" s="1559" t="s">
        <v>11</v>
      </c>
      <c r="W34" s="1560">
        <f t="shared" si="14"/>
        <v>100</v>
      </c>
      <c r="X34" s="3202"/>
      <c r="Y34" s="3463"/>
      <c r="Z34" s="3201" t="str">
        <f t="shared" si="15"/>
        <v>建筑结构</v>
      </c>
      <c r="AA34" s="3203">
        <f t="shared" si="3"/>
        <v>1</v>
      </c>
      <c r="AB34" s="3203">
        <f t="shared" si="4"/>
        <v>1</v>
      </c>
      <c r="AC34" s="320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7"/>
      <c r="M35" s="2119"/>
      <c r="N35" s="2119"/>
      <c r="O35" s="2126"/>
      <c r="P35" s="3463"/>
      <c r="Q35" s="3200" t="str">
        <f t="shared" si="11"/>
        <v>建筑品质</v>
      </c>
      <c r="R35" s="1559" t="s">
        <v>11</v>
      </c>
      <c r="S35" s="1560">
        <f t="shared" si="12"/>
        <v>100</v>
      </c>
      <c r="T35" s="1559" t="s">
        <v>11</v>
      </c>
      <c r="U35" s="1560">
        <f t="shared" si="13"/>
        <v>100</v>
      </c>
      <c r="V35" s="1559" t="s">
        <v>11</v>
      </c>
      <c r="W35" s="1560">
        <f t="shared" si="14"/>
        <v>100</v>
      </c>
      <c r="X35" s="3202"/>
      <c r="Y35" s="3463"/>
      <c r="Z35" s="3201" t="str">
        <f t="shared" si="15"/>
        <v>建筑品质</v>
      </c>
      <c r="AA35" s="3203">
        <f t="shared" si="3"/>
        <v>1</v>
      </c>
      <c r="AB35" s="3203">
        <f t="shared" si="4"/>
        <v>1</v>
      </c>
      <c r="AC35" s="320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7"/>
      <c r="M36" s="2119"/>
      <c r="N36" s="2119"/>
      <c r="O36" s="2126"/>
      <c r="P36" s="3463"/>
      <c r="Q36" s="3200" t="str">
        <f t="shared" si="11"/>
        <v>公共部分装修</v>
      </c>
      <c r="R36" s="1559" t="s">
        <v>11</v>
      </c>
      <c r="S36" s="1560">
        <f t="shared" si="12"/>
        <v>100</v>
      </c>
      <c r="T36" s="1559" t="s">
        <v>11</v>
      </c>
      <c r="U36" s="1560">
        <f t="shared" si="13"/>
        <v>100</v>
      </c>
      <c r="V36" s="1559" t="s">
        <v>11</v>
      </c>
      <c r="W36" s="1560">
        <f t="shared" si="14"/>
        <v>100</v>
      </c>
      <c r="X36" s="3202"/>
      <c r="Y36" s="3463"/>
      <c r="Z36" s="3201" t="str">
        <f t="shared" si="15"/>
        <v>公共部分装修</v>
      </c>
      <c r="AA36" s="3203">
        <f t="shared" si="3"/>
        <v>1</v>
      </c>
      <c r="AB36" s="3203">
        <f t="shared" si="4"/>
        <v>1</v>
      </c>
      <c r="AC36" s="3203">
        <f t="shared" si="5"/>
        <v>1</v>
      </c>
    </row>
    <row r="37" spans="1:29" s="1216"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c r="L37" s="2120"/>
      <c r="M37" s="2121"/>
      <c r="N37" s="2121"/>
      <c r="O37" s="2122"/>
      <c r="P37" s="3463"/>
      <c r="Q37" s="3199" t="str">
        <f t="shared" si="11"/>
        <v>成新度</v>
      </c>
      <c r="R37" s="1554" t="s">
        <v>11</v>
      </c>
      <c r="S37" s="1555">
        <f t="shared" si="12"/>
        <v>100</v>
      </c>
      <c r="T37" s="1554" t="s">
        <v>11</v>
      </c>
      <c r="U37" s="1555">
        <f t="shared" si="13"/>
        <v>100</v>
      </c>
      <c r="V37" s="1554" t="s">
        <v>11</v>
      </c>
      <c r="W37" s="1555">
        <f t="shared" si="14"/>
        <v>100</v>
      </c>
      <c r="X37" s="1556"/>
      <c r="Y37" s="3463"/>
      <c r="Z37" s="3198" t="str">
        <f t="shared" si="15"/>
        <v>成新度</v>
      </c>
      <c r="AA37" s="1557">
        <f t="shared" si="3"/>
        <v>1</v>
      </c>
      <c r="AB37" s="1557">
        <f t="shared" si="4"/>
        <v>1</v>
      </c>
      <c r="AC37" s="1557">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7"/>
      <c r="M38" s="2119"/>
      <c r="N38" s="2119"/>
      <c r="O38" s="2126"/>
      <c r="P38" s="3463" t="s">
        <v>550</v>
      </c>
      <c r="Q38" s="3200" t="str">
        <f t="shared" si="11"/>
        <v>物业管理</v>
      </c>
      <c r="R38" s="1559" t="s">
        <v>11</v>
      </c>
      <c r="S38" s="1560">
        <f t="shared" si="12"/>
        <v>100</v>
      </c>
      <c r="T38" s="1559" t="s">
        <v>11</v>
      </c>
      <c r="U38" s="1560">
        <f t="shared" si="13"/>
        <v>100</v>
      </c>
      <c r="V38" s="1559" t="s">
        <v>11</v>
      </c>
      <c r="W38" s="1560">
        <f t="shared" si="14"/>
        <v>100</v>
      </c>
      <c r="X38" s="3202"/>
      <c r="Y38" s="3463" t="s">
        <v>550</v>
      </c>
      <c r="Z38" s="3201" t="str">
        <f t="shared" si="15"/>
        <v>物业管理</v>
      </c>
      <c r="AA38" s="3203">
        <f t="shared" si="3"/>
        <v>1</v>
      </c>
      <c r="AB38" s="3203">
        <f t="shared" si="4"/>
        <v>1</v>
      </c>
      <c r="AC38" s="3203">
        <f t="shared" si="5"/>
        <v>1</v>
      </c>
    </row>
    <row r="39" spans="1:29" ht="15">
      <c r="A39" s="594"/>
      <c r="B39" s="1880" t="s">
        <v>2561</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7"/>
      <c r="M39" s="2119"/>
      <c r="N39" s="2119"/>
      <c r="O39" s="2126"/>
      <c r="P39" s="3463"/>
      <c r="Q39" s="3200" t="str">
        <f t="shared" si="11"/>
        <v>市政基础设施</v>
      </c>
      <c r="R39" s="1559" t="s">
        <v>11</v>
      </c>
      <c r="S39" s="1560">
        <f t="shared" si="12"/>
        <v>100</v>
      </c>
      <c r="T39" s="1559" t="s">
        <v>11</v>
      </c>
      <c r="U39" s="1560">
        <f t="shared" si="13"/>
        <v>100</v>
      </c>
      <c r="V39" s="1559" t="s">
        <v>11</v>
      </c>
      <c r="W39" s="1560">
        <f t="shared" si="14"/>
        <v>100</v>
      </c>
      <c r="X39" s="3202"/>
      <c r="Y39" s="3463"/>
      <c r="Z39" s="3201" t="str">
        <f t="shared" si="15"/>
        <v>市政基础设施</v>
      </c>
      <c r="AA39" s="3203">
        <f t="shared" si="3"/>
        <v>1</v>
      </c>
      <c r="AB39" s="3203">
        <f t="shared" si="4"/>
        <v>1</v>
      </c>
      <c r="AC39" s="320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3463"/>
      <c r="Q40" s="3200" t="str">
        <f t="shared" si="11"/>
        <v>房型</v>
      </c>
      <c r="R40" s="1559" t="s">
        <v>11</v>
      </c>
      <c r="S40" s="1560">
        <f t="shared" si="12"/>
        <v>100</v>
      </c>
      <c r="T40" s="1559" t="s">
        <v>11</v>
      </c>
      <c r="U40" s="1560">
        <f t="shared" si="13"/>
        <v>100</v>
      </c>
      <c r="V40" s="1559" t="s">
        <v>11</v>
      </c>
      <c r="W40" s="1560">
        <f t="shared" si="14"/>
        <v>100</v>
      </c>
      <c r="X40" s="3202"/>
      <c r="Y40" s="3463"/>
      <c r="Z40" s="3201" t="str">
        <f t="shared" si="15"/>
        <v>房型</v>
      </c>
      <c r="AA40" s="3203">
        <f t="shared" si="3"/>
        <v>1</v>
      </c>
      <c r="AB40" s="3203">
        <f t="shared" si="4"/>
        <v>1</v>
      </c>
      <c r="AC40" s="3203">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5"/>
      <c r="M41" s="2156"/>
      <c r="N41" s="2156"/>
      <c r="O41" s="2128"/>
      <c r="P41" s="3463"/>
      <c r="Q41" s="1590" t="str">
        <f t="shared" si="11"/>
        <v>单套/主力户型建筑面积</v>
      </c>
      <c r="R41" s="1563" t="s">
        <v>11</v>
      </c>
      <c r="S41" s="1564">
        <f t="shared" si="12"/>
        <v>100</v>
      </c>
      <c r="T41" s="1563" t="s">
        <v>11</v>
      </c>
      <c r="U41" s="1564">
        <f t="shared" si="13"/>
        <v>100</v>
      </c>
      <c r="V41" s="1563" t="s">
        <v>11</v>
      </c>
      <c r="W41" s="1564">
        <f t="shared" si="14"/>
        <v>100</v>
      </c>
      <c r="X41" s="1565"/>
      <c r="Y41" s="3463"/>
      <c r="Z41" s="1566" t="str">
        <f t="shared" si="15"/>
        <v>单套/主力户型建筑面积</v>
      </c>
      <c r="AA41" s="3203">
        <f t="shared" si="3"/>
        <v>1</v>
      </c>
      <c r="AB41" s="3203">
        <f t="shared" si="4"/>
        <v>1</v>
      </c>
      <c r="AC41" s="320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7"/>
      <c r="M42" s="2119"/>
      <c r="N42" s="2119"/>
      <c r="O42" s="2126"/>
      <c r="P42" s="3463"/>
      <c r="Q42" s="3200" t="str">
        <f t="shared" si="11"/>
        <v>内部装修</v>
      </c>
      <c r="R42" s="1559" t="s">
        <v>11</v>
      </c>
      <c r="S42" s="1560">
        <f t="shared" si="12"/>
        <v>100</v>
      </c>
      <c r="T42" s="1559" t="s">
        <v>11</v>
      </c>
      <c r="U42" s="1560">
        <f t="shared" si="13"/>
        <v>100</v>
      </c>
      <c r="V42" s="1559" t="s">
        <v>11</v>
      </c>
      <c r="W42" s="1560">
        <f t="shared" si="14"/>
        <v>100</v>
      </c>
      <c r="X42" s="3202"/>
      <c r="Y42" s="3463"/>
      <c r="Z42" s="3201" t="str">
        <f t="shared" si="15"/>
        <v>内部装修</v>
      </c>
      <c r="AA42" s="3203">
        <f t="shared" si="3"/>
        <v>1</v>
      </c>
      <c r="AB42" s="3203">
        <f t="shared" si="4"/>
        <v>1</v>
      </c>
      <c r="AC42" s="3203">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7"/>
      <c r="M43" s="2119"/>
      <c r="N43" s="2119"/>
      <c r="O43" s="2126"/>
      <c r="P43" s="3463"/>
      <c r="Q43" s="3200" t="str">
        <f t="shared" si="11"/>
        <v>内部装修维护情况</v>
      </c>
      <c r="R43" s="1559" t="s">
        <v>11</v>
      </c>
      <c r="S43" s="1560">
        <f t="shared" si="12"/>
        <v>100</v>
      </c>
      <c r="T43" s="1559" t="s">
        <v>11</v>
      </c>
      <c r="U43" s="1560">
        <f t="shared" si="13"/>
        <v>100</v>
      </c>
      <c r="V43" s="1559" t="s">
        <v>11</v>
      </c>
      <c r="W43" s="1560">
        <f t="shared" si="14"/>
        <v>100</v>
      </c>
      <c r="X43" s="3202"/>
      <c r="Y43" s="3463"/>
      <c r="Z43" s="3201" t="str">
        <f t="shared" si="15"/>
        <v>内部装修维护情况</v>
      </c>
      <c r="AA43" s="3203">
        <f t="shared" si="3"/>
        <v>1</v>
      </c>
      <c r="AB43" s="3203">
        <f t="shared" si="4"/>
        <v>1</v>
      </c>
      <c r="AC43" s="320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3463"/>
      <c r="Q44" s="3199">
        <f t="shared" si="11"/>
        <v>111</v>
      </c>
      <c r="R44" s="1554" t="s">
        <v>11</v>
      </c>
      <c r="S44" s="1555">
        <f t="shared" si="12"/>
        <v>100</v>
      </c>
      <c r="T44" s="1554" t="s">
        <v>11</v>
      </c>
      <c r="U44" s="1555">
        <f t="shared" si="13"/>
        <v>100</v>
      </c>
      <c r="V44" s="1554" t="s">
        <v>11</v>
      </c>
      <c r="W44" s="1555">
        <f t="shared" si="14"/>
        <v>100</v>
      </c>
      <c r="X44" s="1556"/>
      <c r="Y44" s="3463"/>
      <c r="Z44" s="3198">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463"/>
      <c r="Q45" s="3200">
        <f t="shared" si="11"/>
        <v>111</v>
      </c>
      <c r="R45" s="1559" t="s">
        <v>11</v>
      </c>
      <c r="S45" s="1560">
        <f t="shared" si="12"/>
        <v>100</v>
      </c>
      <c r="T45" s="1559" t="s">
        <v>11</v>
      </c>
      <c r="U45" s="1560">
        <f t="shared" si="13"/>
        <v>100</v>
      </c>
      <c r="V45" s="1559" t="s">
        <v>11</v>
      </c>
      <c r="W45" s="1560">
        <f t="shared" si="14"/>
        <v>100</v>
      </c>
      <c r="X45" s="3202"/>
      <c r="Y45" s="3463"/>
      <c r="Z45" s="3201">
        <f t="shared" si="15"/>
        <v>111</v>
      </c>
      <c r="AA45" s="3203">
        <f t="shared" si="3"/>
        <v>1</v>
      </c>
      <c r="AB45" s="3203">
        <f t="shared" si="4"/>
        <v>1</v>
      </c>
      <c r="AC45" s="320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544"/>
      <c r="Q46" s="3200">
        <f t="shared" si="11"/>
        <v>111</v>
      </c>
      <c r="R46" s="1559" t="s">
        <v>10</v>
      </c>
      <c r="S46" s="1560">
        <f t="shared" si="12"/>
        <v>100</v>
      </c>
      <c r="T46" s="1559" t="s">
        <v>10</v>
      </c>
      <c r="U46" s="1560">
        <f t="shared" si="13"/>
        <v>100</v>
      </c>
      <c r="V46" s="1559" t="s">
        <v>10</v>
      </c>
      <c r="W46" s="1560">
        <f t="shared" si="14"/>
        <v>100</v>
      </c>
      <c r="X46" s="3202"/>
      <c r="Y46" s="3544"/>
      <c r="Z46" s="3201">
        <f t="shared" si="15"/>
        <v>111</v>
      </c>
      <c r="AA46" s="3203">
        <f t="shared" si="3"/>
        <v>1</v>
      </c>
      <c r="AB46" s="3203">
        <f t="shared" si="4"/>
        <v>1</v>
      </c>
      <c r="AC46" s="3203">
        <f t="shared" si="5"/>
        <v>1</v>
      </c>
    </row>
    <row r="47" spans="1:29" ht="15">
      <c r="A47" s="607" t="s">
        <v>736</v>
      </c>
      <c r="B47" s="887"/>
      <c r="C47" s="2591" t="s">
        <v>9</v>
      </c>
      <c r="D47" s="2592"/>
      <c r="E47" s="2593">
        <v>25000</v>
      </c>
      <c r="F47" s="2594"/>
      <c r="G47" s="2595">
        <v>23800</v>
      </c>
      <c r="H47" s="2596"/>
      <c r="I47" s="2593">
        <v>23000</v>
      </c>
      <c r="J47" s="2596"/>
      <c r="K47" s="1591"/>
      <c r="L47" s="2129"/>
      <c r="M47" s="2130"/>
      <c r="N47" s="2119"/>
      <c r="O47" s="2130"/>
      <c r="P47" s="3424" t="str">
        <f>A47</f>
        <v>成交单价（元/平方米）</v>
      </c>
      <c r="Q47" s="3424"/>
      <c r="R47" s="3542">
        <f>E47</f>
        <v>25000</v>
      </c>
      <c r="S47" s="3542"/>
      <c r="T47" s="3542">
        <f>G47</f>
        <v>23800</v>
      </c>
      <c r="U47" s="3542"/>
      <c r="V47" s="3542">
        <f>I47</f>
        <v>23000</v>
      </c>
      <c r="W47" s="3542"/>
      <c r="X47" s="1545"/>
      <c r="Y47" s="1567"/>
      <c r="Z47" s="1545"/>
      <c r="AA47" s="1545"/>
      <c r="AB47" s="1545"/>
      <c r="AC47" s="1545"/>
    </row>
    <row r="48" spans="1:29" ht="15.75" thickBot="1">
      <c r="A48" s="615" t="s">
        <v>2690</v>
      </c>
      <c r="B48" s="888"/>
      <c r="C48" s="2597">
        <f>R49</f>
        <v>20745</v>
      </c>
      <c r="D48" s="2598"/>
      <c r="E48" s="2599">
        <f>R48</f>
        <v>21592</v>
      </c>
      <c r="F48" s="2599"/>
      <c r="G48" s="2597">
        <f>T48</f>
        <v>20975</v>
      </c>
      <c r="H48" s="2598"/>
      <c r="I48" s="2599">
        <f>V48</f>
        <v>19668</v>
      </c>
      <c r="J48" s="2598"/>
      <c r="K48" s="1592"/>
      <c r="L48" s="2129"/>
      <c r="M48" s="2130"/>
      <c r="N48" s="2130"/>
      <c r="O48" s="2130"/>
      <c r="P48" s="3424" t="str">
        <f>A48</f>
        <v>比较价格（元/平方米）</v>
      </c>
      <c r="Q48" s="3424"/>
      <c r="R48" s="3542">
        <f>IF(F1="售价",ROUND(PRODUCT(R47,AA7:AA46),0),ROUND(PRODUCT(R47,AA7:AA46),1))</f>
        <v>21592</v>
      </c>
      <c r="S48" s="3542"/>
      <c r="T48" s="3542">
        <f>IF(F1="售价",ROUND(PRODUCT(T47,AB7:AB46),0),ROUND(PRODUCT(T47,AB7:AB46),1))</f>
        <v>20975</v>
      </c>
      <c r="U48" s="3542"/>
      <c r="V48" s="3542">
        <f>IF(F1="售价",ROUND(PRODUCT(V47,AC7:AC46),0),ROUND(PRODUCT(V47,AC7:AC46),1))</f>
        <v>19668</v>
      </c>
      <c r="W48" s="3542"/>
      <c r="X48" s="1545"/>
      <c r="Y48" s="1545"/>
      <c r="Z48" s="1545"/>
      <c r="AA48" s="1545"/>
      <c r="AB48" s="1545"/>
      <c r="AC48" s="1545"/>
    </row>
    <row r="49" spans="1:29" ht="15.75" thickBot="1">
      <c r="A49" s="621" t="s">
        <v>2928</v>
      </c>
      <c r="B49" s="622"/>
      <c r="C49" s="2600">
        <f>R49</f>
        <v>20745</v>
      </c>
      <c r="D49" s="2600"/>
      <c r="E49" s="2600"/>
      <c r="F49" s="2600"/>
      <c r="G49" s="2600"/>
      <c r="H49" s="2600"/>
      <c r="I49" s="2600"/>
      <c r="J49" s="2600"/>
      <c r="K49" s="1593"/>
      <c r="L49" s="2129"/>
      <c r="M49" s="2130"/>
      <c r="N49" s="2130"/>
      <c r="O49" s="2130"/>
      <c r="P49" s="3421" t="str">
        <f>A49</f>
        <v>估价对象XX用房的比较价格（楼面单价，元/平方米）</v>
      </c>
      <c r="Q49" s="3422"/>
      <c r="R49" s="3543">
        <f>IF(F1="售价",ROUND(AVERAGE(R48:V48),0),ROUND(AVERAGE(R48:V48),1))</f>
        <v>20745</v>
      </c>
      <c r="S49" s="3543"/>
      <c r="T49" s="3543"/>
      <c r="U49" s="3543"/>
      <c r="V49" s="3543"/>
      <c r="W49" s="3543"/>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f>IF(E47&lt;E48,E48/E47-1,E47/E48-1)</f>
        <v>0.15783623564283067</v>
      </c>
      <c r="F52" s="627" t="str">
        <f>IF(OR(E52&gt;=0.3,E52&lt;=-0.3),"超过30%","")</f>
        <v/>
      </c>
      <c r="G52" s="626">
        <f>IF(G47&lt;G48,G48/G47-1,G47/G48-1)</f>
        <v>0.13468414779499405</v>
      </c>
      <c r="H52" s="627" t="str">
        <f>IF(OR(G52&gt;=0.3,G52&lt;=-0.3),"超过30%","")</f>
        <v/>
      </c>
      <c r="I52" s="626">
        <f>IF(I47&lt;I48,I48/I47-1,I47/I48-1)</f>
        <v>0.16941224323774651</v>
      </c>
      <c r="J52" s="627" t="str">
        <f>IF(OR(I52&gt;=0.3,I52&lt;=-0.3),"超过30%","")</f>
        <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f>IF(E48&lt;G48,G48/E48-1,E48/G48-1)</f>
        <v>2.9415971394517237E-2</v>
      </c>
      <c r="F53" s="627" t="str">
        <f>IF(OR(E53&gt;=0.2,E53&lt;=-0.2),"超过20%","")</f>
        <v/>
      </c>
      <c r="G53" s="626">
        <f>IF(G48&lt;I48,I48/G48-1,G48/I48-1)</f>
        <v>6.6453121822249273E-2</v>
      </c>
      <c r="H53" s="627" t="str">
        <f>IF(OR(G53&gt;=0.2,G53&lt;=-0.2),"超过20%","")</f>
        <v/>
      </c>
      <c r="I53" s="626">
        <f>IF(I48&lt;E48,E48/I48-1,I48/E48-1)</f>
        <v>9.7823876347366223E-2</v>
      </c>
      <c r="J53" s="627" t="str">
        <f>IF(OR(I53&gt;=0.2,I53&lt;=-0.2),"超过20%","")</f>
        <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f>IF(E47&lt;G47,G47/E47-1,E47/G47-1)</f>
        <v>5.0420168067226934E-2</v>
      </c>
      <c r="F54" s="627" t="str">
        <f>IF(OR(E54&gt;=0.3,E54&lt;=-0.3),"超过30%","")</f>
        <v/>
      </c>
      <c r="G54" s="626">
        <f>IF(G47&lt;I47,I47/G47-1,G47/I47-1)</f>
        <v>3.4782608695652195E-2</v>
      </c>
      <c r="H54" s="627" t="str">
        <f>IF(OR(G54&gt;=0.3,G54&lt;=-0.3),"超过30%","")</f>
        <v/>
      </c>
      <c r="I54" s="626">
        <f>IF(I47&lt;E47,E47/I47-1,I47/E47-1)</f>
        <v>8.6956521739130377E-2</v>
      </c>
      <c r="J54" s="627" t="str">
        <f>IF(OR(I54&gt;=0.3,I54&lt;=-0.3),"超过30%","")</f>
        <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5">
      <c r="A58" s="645" t="s">
        <v>529</v>
      </c>
      <c r="B58" s="646"/>
      <c r="C58" s="2759" t="str">
        <f>YEAR(C7)&amp;"-"&amp;MONTH(C7)</f>
        <v>2020-2</v>
      </c>
      <c r="D58" s="2759">
        <f>EDATE(C58,-1)</f>
        <v>43831</v>
      </c>
      <c r="E58" s="2759">
        <f t="shared" ref="E58:O58" si="16">EDATE(D58,-1)</f>
        <v>43800</v>
      </c>
      <c r="F58" s="2759">
        <f t="shared" si="16"/>
        <v>43770</v>
      </c>
      <c r="G58" s="2759">
        <f t="shared" si="16"/>
        <v>43739</v>
      </c>
      <c r="H58" s="2759">
        <f t="shared" si="16"/>
        <v>43709</v>
      </c>
      <c r="I58" s="2759">
        <f t="shared" si="16"/>
        <v>43678</v>
      </c>
      <c r="J58" s="2759">
        <f t="shared" si="16"/>
        <v>43647</v>
      </c>
      <c r="K58" s="2759">
        <f t="shared" si="16"/>
        <v>43617</v>
      </c>
      <c r="L58" s="2759">
        <f t="shared" si="16"/>
        <v>43586</v>
      </c>
      <c r="M58" s="2759">
        <f t="shared" si="16"/>
        <v>43556</v>
      </c>
      <c r="N58" s="2759">
        <f t="shared" si="16"/>
        <v>43525</v>
      </c>
      <c r="O58" s="2759">
        <f t="shared" si="16"/>
        <v>43497</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c r="A63" s="664" t="s">
        <v>577</v>
      </c>
      <c r="B63" s="665" t="s">
        <v>534</v>
      </c>
      <c r="C63" s="704" t="str">
        <f>C9</f>
        <v>住宅</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v>100</v>
      </c>
      <c r="D64" s="671"/>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v>
      </c>
      <c r="H67" s="682" t="str">
        <f t="shared" si="18"/>
        <v>（含）-</v>
      </c>
      <c r="I67" s="682" t="str">
        <f t="shared" si="18"/>
        <v>（含）-</v>
      </c>
      <c r="J67" s="682" t="str">
        <f t="shared" si="18"/>
        <v>（含）-</v>
      </c>
      <c r="K67" s="682" t="str">
        <f t="shared" si="18"/>
        <v>（含）-</v>
      </c>
      <c r="L67" s="682" t="str">
        <f t="shared" si="18"/>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3242">
        <v>0</v>
      </c>
      <c r="D68" s="3242">
        <v>1</v>
      </c>
      <c r="E68" s="3242">
        <v>2</v>
      </c>
      <c r="F68" s="3242">
        <v>3</v>
      </c>
      <c r="G68" s="3242">
        <v>4</v>
      </c>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94</v>
      </c>
      <c r="E77" s="679">
        <f>D77-$K15</f>
        <v>88</v>
      </c>
      <c r="F77" s="679">
        <f>E77-$K15</f>
        <v>82</v>
      </c>
      <c r="G77" s="679">
        <f>F77-$K15</f>
        <v>76</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95</v>
      </c>
      <c r="E79" s="679">
        <f>D79-$K17</f>
        <v>90</v>
      </c>
      <c r="F79" s="679">
        <f>E79-$K17</f>
        <v>85</v>
      </c>
      <c r="G79" s="679">
        <f>F79-$K17</f>
        <v>80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2317</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2544</v>
      </c>
      <c r="C82" s="2562" t="s">
        <v>2556</v>
      </c>
      <c r="D82" s="2562" t="s">
        <v>2557</v>
      </c>
      <c r="E82" s="2562" t="s">
        <v>2558</v>
      </c>
      <c r="F82" s="2562" t="s">
        <v>2559</v>
      </c>
      <c r="G82" s="2562" t="s">
        <v>2560</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97</v>
      </c>
      <c r="E85" s="679">
        <f>D85-$K23</f>
        <v>94</v>
      </c>
      <c r="F85" s="679">
        <f>E85-$K23</f>
        <v>91</v>
      </c>
      <c r="G85" s="679">
        <f>F85-$K23</f>
        <v>88</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1881" t="s">
        <v>2257</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
        <v>746</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道路级别</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692"/>
      <c r="D91" s="692"/>
      <c r="E91" s="692"/>
      <c r="F91" s="692"/>
      <c r="G91" s="692"/>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5.75"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747</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1"/>
      <c r="O101" s="2151"/>
      <c r="P101" s="2150"/>
      <c r="Q101" s="2143"/>
      <c r="R101" s="2130"/>
      <c r="S101" s="2130"/>
      <c r="T101" s="2130"/>
      <c r="U101" s="2130"/>
      <c r="V101" s="2130"/>
      <c r="W101" s="2130"/>
      <c r="X101" s="2130"/>
      <c r="Y101" s="2130"/>
      <c r="Z101" s="2130"/>
      <c r="AA101" s="2130"/>
      <c r="AB101" s="2130"/>
      <c r="AC101" s="2130"/>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500000(含)-600000</v>
      </c>
      <c r="I102" s="708" t="str">
        <f t="shared" si="23"/>
        <v>600000(含)-700000</v>
      </c>
      <c r="J102" s="708" t="str">
        <f t="shared" si="23"/>
        <v>700000(含)-</v>
      </c>
      <c r="K102" s="708" t="str">
        <f t="shared" si="23"/>
        <v>(含)-</v>
      </c>
      <c r="L102" s="708" t="str">
        <f t="shared" si="23"/>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3250">
        <v>0</v>
      </c>
      <c r="D103" s="3250">
        <v>100000</v>
      </c>
      <c r="E103" s="3250">
        <v>200000</v>
      </c>
      <c r="F103" s="3250">
        <v>300000</v>
      </c>
      <c r="G103" s="3250">
        <v>400000</v>
      </c>
      <c r="H103" s="3250">
        <v>500000</v>
      </c>
      <c r="I103" s="3250">
        <v>600000</v>
      </c>
      <c r="J103" s="3251">
        <v>700000</v>
      </c>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3249">
        <v>100</v>
      </c>
      <c r="D104" s="3248">
        <v>101</v>
      </c>
      <c r="E104" s="3248">
        <v>102</v>
      </c>
      <c r="F104" s="3248">
        <v>103</v>
      </c>
      <c r="G104" s="3248">
        <v>104</v>
      </c>
      <c r="H104" s="3248">
        <v>105</v>
      </c>
      <c r="I104" s="3248">
        <v>106</v>
      </c>
      <c r="J104" s="3248">
        <v>107</v>
      </c>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718"/>
      <c r="D107" s="718"/>
      <c r="E107" s="71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688"/>
      <c r="D109" s="688"/>
      <c r="E109" s="688"/>
      <c r="F109" s="718"/>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1"/>
      <c r="O110" s="2151"/>
      <c r="P110" s="2150"/>
      <c r="Q110" s="2143"/>
      <c r="R110" s="2130"/>
      <c r="S110" s="2130"/>
      <c r="T110" s="2130"/>
      <c r="U110" s="2130"/>
      <c r="V110" s="2130"/>
      <c r="W110" s="2130"/>
      <c r="X110" s="2130"/>
      <c r="Y110" s="2130"/>
      <c r="Z110" s="2130"/>
      <c r="AA110" s="2130"/>
      <c r="AB110" s="2130"/>
      <c r="AC110" s="2130"/>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5"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2553</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754</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1"/>
      <c r="O119" s="2151"/>
      <c r="P119" s="2150"/>
      <c r="Q119" s="2143"/>
      <c r="R119" s="2130"/>
      <c r="S119" s="2130"/>
      <c r="T119" s="2130"/>
      <c r="U119" s="2130"/>
      <c r="V119" s="2130"/>
      <c r="W119" s="2130"/>
      <c r="X119" s="2130"/>
      <c r="Y119" s="2130"/>
      <c r="Z119" s="2130"/>
      <c r="AA119" s="2130"/>
      <c r="AB119" s="2130"/>
      <c r="AC119" s="2130"/>
    </row>
    <row r="120" spans="1:29" s="1335" customFormat="1" ht="28.5" thickTop="1">
      <c r="A120" s="728"/>
      <c r="B120" s="673" t="s">
        <v>733</v>
      </c>
      <c r="C120" s="688"/>
      <c r="D120" s="688"/>
      <c r="E120" s="688"/>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692"/>
      <c r="D121" s="671"/>
      <c r="E121" s="671"/>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2258</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2259</v>
      </c>
      <c r="C137" s="1904"/>
      <c r="D137" s="1904"/>
      <c r="E137" s="1904"/>
      <c r="F137" s="1904"/>
      <c r="G137" s="1905"/>
      <c r="H137" s="1906"/>
      <c r="I137" s="1907" t="s">
        <v>2260</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2261</v>
      </c>
      <c r="D138" s="1910" t="s">
        <v>2262</v>
      </c>
      <c r="E138" s="1911" t="s">
        <v>2263</v>
      </c>
      <c r="F138" s="1912" t="s">
        <v>2264</v>
      </c>
      <c r="G138" s="1910" t="s">
        <v>2262</v>
      </c>
      <c r="H138" s="1913" t="s">
        <v>2263</v>
      </c>
      <c r="I138" s="1914"/>
      <c r="J138" s="1910" t="s">
        <v>2267</v>
      </c>
      <c r="K138" s="1913" t="s">
        <v>2268</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2269</v>
      </c>
      <c r="E139" s="1884">
        <v>100</v>
      </c>
      <c r="F139" s="1885">
        <v>102.5</v>
      </c>
      <c r="G139" s="1915" t="s">
        <v>2269</v>
      </c>
      <c r="H139" s="1886">
        <v>105</v>
      </c>
      <c r="I139" s="1916" t="s">
        <v>2271</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2272</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2273</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2274</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2275</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2276</v>
      </c>
      <c r="E144" s="1890">
        <v>102</v>
      </c>
      <c r="F144" s="1896">
        <v>100</v>
      </c>
      <c r="G144" s="1919" t="s">
        <v>2276</v>
      </c>
      <c r="H144" s="1892">
        <v>105</v>
      </c>
      <c r="I144" s="1918" t="s">
        <v>2275</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2277</v>
      </c>
      <c r="C145" s="1897">
        <f>ROUND(MAX(C139:C144)/MIN(C139:C144)-1,3)</f>
        <v>7.2999999999999995E-2</v>
      </c>
      <c r="D145" s="1921"/>
      <c r="E145" s="1921"/>
      <c r="F145" s="1922" t="s">
        <v>2278</v>
      </c>
      <c r="G145" s="1923"/>
      <c r="H145" s="1924"/>
      <c r="I145" s="1925" t="s">
        <v>2275</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2287</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2288</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K15" sqref="K15"/>
    </sheetView>
  </sheetViews>
  <sheetFormatPr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7" t="s">
        <v>719</v>
      </c>
      <c r="C1" s="2588" t="s">
        <v>720</v>
      </c>
      <c r="D1" s="2589" t="s">
        <v>923</v>
      </c>
      <c r="E1" s="2590"/>
      <c r="F1" s="2762" t="s">
        <v>2999</v>
      </c>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8" customFormat="1" ht="28.5" customHeight="1">
      <c r="A2" s="423" t="s">
        <v>467</v>
      </c>
      <c r="B2" s="2586">
        <f>ROUND(B3*D3/10000,0)</f>
        <v>33165</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8" customFormat="1" ht="28.5" customHeight="1" thickBot="1">
      <c r="A3" s="509" t="s">
        <v>519</v>
      </c>
      <c r="B3" s="851">
        <f>C49</f>
        <v>14019</v>
      </c>
      <c r="C3" s="852" t="s">
        <v>722</v>
      </c>
      <c r="D3" s="851">
        <f>SUMIF('数据-汇总表'!$C19:$C33,D1,'数据-汇总表'!$E19:$E33)</f>
        <v>23657.200000000001</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5">
      <c r="A4" s="512" t="s">
        <v>521</v>
      </c>
      <c r="B4" s="513"/>
      <c r="C4" s="3430" t="s">
        <v>522</v>
      </c>
      <c r="D4" s="3431"/>
      <c r="E4" s="3466" t="s">
        <v>523</v>
      </c>
      <c r="F4" s="3467"/>
      <c r="G4" s="3430" t="s">
        <v>524</v>
      </c>
      <c r="H4" s="3431"/>
      <c r="I4" s="3430" t="s">
        <v>525</v>
      </c>
      <c r="J4" s="3431"/>
      <c r="K4" s="853" t="s">
        <v>526</v>
      </c>
      <c r="L4" s="2118"/>
      <c r="M4" s="2119"/>
      <c r="N4" s="2119"/>
      <c r="O4" s="2119"/>
      <c r="P4" s="3432" t="s">
        <v>527</v>
      </c>
      <c r="Q4" s="3433"/>
      <c r="R4" s="3438" t="s">
        <v>523</v>
      </c>
      <c r="S4" s="3439"/>
      <c r="T4" s="3438" t="s">
        <v>524</v>
      </c>
      <c r="U4" s="3439"/>
      <c r="V4" s="3425" t="s">
        <v>525</v>
      </c>
      <c r="W4" s="3425"/>
      <c r="X4" s="1553"/>
      <c r="Y4" s="3438" t="s">
        <v>527</v>
      </c>
      <c r="Z4" s="3439"/>
      <c r="AA4" s="3427" t="s">
        <v>523</v>
      </c>
      <c r="AB4" s="3427" t="s">
        <v>524</v>
      </c>
      <c r="AC4" s="3427" t="s">
        <v>525</v>
      </c>
    </row>
    <row r="5" spans="1:29" ht="15">
      <c r="A5" s="515"/>
      <c r="B5" s="516"/>
      <c r="C5" s="3446" t="s">
        <v>2922</v>
      </c>
      <c r="D5" s="3447"/>
      <c r="E5" s="3545" t="s">
        <v>3358</v>
      </c>
      <c r="F5" s="3546"/>
      <c r="G5" s="3547" t="s">
        <v>3359</v>
      </c>
      <c r="H5" s="3548"/>
      <c r="I5" s="3547" t="s">
        <v>3360</v>
      </c>
      <c r="J5" s="3548"/>
      <c r="K5" s="854"/>
      <c r="L5" s="2118"/>
      <c r="M5" s="2119"/>
      <c r="N5" s="2119"/>
      <c r="O5" s="2119"/>
      <c r="P5" s="3434"/>
      <c r="Q5" s="3435"/>
      <c r="R5" s="3440"/>
      <c r="S5" s="3441"/>
      <c r="T5" s="3440"/>
      <c r="U5" s="3441"/>
      <c r="V5" s="3425"/>
      <c r="W5" s="3425"/>
      <c r="X5" s="1553"/>
      <c r="Y5" s="3440"/>
      <c r="Z5" s="3441"/>
      <c r="AA5" s="3428"/>
      <c r="AB5" s="3428"/>
      <c r="AC5" s="3428"/>
    </row>
    <row r="6" spans="1:29" ht="15.75" thickBot="1">
      <c r="A6" s="517"/>
      <c r="B6" s="518"/>
      <c r="C6" s="3444" t="s">
        <v>2926</v>
      </c>
      <c r="D6" s="3445"/>
      <c r="E6" s="3464" t="s">
        <v>2926</v>
      </c>
      <c r="F6" s="3465"/>
      <c r="G6" s="3444" t="s">
        <v>2926</v>
      </c>
      <c r="H6" s="3445"/>
      <c r="I6" s="3444" t="s">
        <v>2926</v>
      </c>
      <c r="J6" s="3445"/>
      <c r="K6" s="854" t="s">
        <v>528</v>
      </c>
      <c r="L6" s="2118"/>
      <c r="M6" s="2119"/>
      <c r="N6" s="2119"/>
      <c r="O6" s="2119"/>
      <c r="P6" s="3436"/>
      <c r="Q6" s="3437"/>
      <c r="R6" s="3440"/>
      <c r="S6" s="3441"/>
      <c r="T6" s="3442"/>
      <c r="U6" s="3443"/>
      <c r="V6" s="3425"/>
      <c r="W6" s="3425"/>
      <c r="X6" s="1553"/>
      <c r="Y6" s="3442"/>
      <c r="Z6" s="3443"/>
      <c r="AA6" s="3429"/>
      <c r="AB6" s="3429"/>
      <c r="AC6" s="3429"/>
    </row>
    <row r="7" spans="1:29" s="1216" customFormat="1" ht="15.75" thickBot="1">
      <c r="A7" s="2867"/>
      <c r="B7" s="2874" t="s">
        <v>529</v>
      </c>
      <c r="C7" s="519">
        <f>'数据-取费表'!B2</f>
        <v>43868</v>
      </c>
      <c r="D7" s="520">
        <v>100</v>
      </c>
      <c r="E7" s="3216">
        <v>43862</v>
      </c>
      <c r="F7" s="522">
        <f>SUMIF(58:58,YEAR(E7)&amp;"-"&amp;MONTH(E7),59:59)</f>
        <v>100</v>
      </c>
      <c r="G7" s="3216">
        <v>43862</v>
      </c>
      <c r="H7" s="520">
        <f>SUMIF(58:58,YEAR(G7)&amp;"-"&amp;MONTH(G7),59:59)</f>
        <v>100</v>
      </c>
      <c r="I7" s="3216">
        <v>43862</v>
      </c>
      <c r="J7" s="520">
        <f>SUMIF(58:58,YEAR(I7)&amp;"-"&amp;MONTH(I7),59:59)</f>
        <v>100</v>
      </c>
      <c r="K7" s="855"/>
      <c r="L7" s="2120"/>
      <c r="M7" s="2121"/>
      <c r="N7" s="2121"/>
      <c r="O7" s="2121"/>
      <c r="P7" s="3457" t="s">
        <v>530</v>
      </c>
      <c r="Q7" s="3459"/>
      <c r="R7" s="1554" t="s">
        <v>13</v>
      </c>
      <c r="S7" s="1555">
        <f t="shared" ref="S7:S15" si="0">F7</f>
        <v>100</v>
      </c>
      <c r="T7" s="1554" t="s">
        <v>13</v>
      </c>
      <c r="U7" s="1555">
        <f t="shared" ref="U7:U15" si="1">H7</f>
        <v>100</v>
      </c>
      <c r="V7" s="1554" t="s">
        <v>13</v>
      </c>
      <c r="W7" s="1555">
        <f t="shared" ref="W7:W15" si="2">J7</f>
        <v>100</v>
      </c>
      <c r="X7" s="1556"/>
      <c r="Y7" s="3457" t="s">
        <v>530</v>
      </c>
      <c r="Z7" s="3458"/>
      <c r="AA7" s="1557">
        <f>D7/F7</f>
        <v>1</v>
      </c>
      <c r="AB7" s="1557">
        <f>D7/H7</f>
        <v>1</v>
      </c>
      <c r="AC7" s="1557">
        <f>D7/J7</f>
        <v>1</v>
      </c>
    </row>
    <row r="8" spans="1:29" s="1216" customFormat="1" ht="15.75" thickBot="1">
      <c r="A8" s="2868"/>
      <c r="B8" s="2875" t="s">
        <v>531</v>
      </c>
      <c r="C8" s="525" t="s">
        <v>576</v>
      </c>
      <c r="D8" s="520">
        <v>100</v>
      </c>
      <c r="E8" s="3217" t="s">
        <v>3354</v>
      </c>
      <c r="F8" s="522">
        <f>SUMIF(61:61,E8,62:62)-SUMIF(61:61,C8,62:62)+100</f>
        <v>100</v>
      </c>
      <c r="G8" s="3217" t="s">
        <v>3354</v>
      </c>
      <c r="H8" s="520">
        <f>SUMIF(61:61,G8,62:62)-SUMIF(61:61,C8,62:62)+100</f>
        <v>100</v>
      </c>
      <c r="I8" s="3217" t="s">
        <v>3354</v>
      </c>
      <c r="J8" s="520">
        <f>SUMIF(61:61,I8,62:62)-SUMIF(61:61,C8,62:62)+100</f>
        <v>100</v>
      </c>
      <c r="K8" s="855"/>
      <c r="L8" s="2120"/>
      <c r="M8" s="2121"/>
      <c r="N8" s="2121"/>
      <c r="O8" s="2121"/>
      <c r="P8" s="3457" t="s">
        <v>533</v>
      </c>
      <c r="Q8" s="3458"/>
      <c r="R8" s="1554" t="s">
        <v>13</v>
      </c>
      <c r="S8" s="1555">
        <f t="shared" si="0"/>
        <v>100</v>
      </c>
      <c r="T8" s="1554" t="s">
        <v>13</v>
      </c>
      <c r="U8" s="1555">
        <f t="shared" si="1"/>
        <v>100</v>
      </c>
      <c r="V8" s="1554" t="s">
        <v>13</v>
      </c>
      <c r="W8" s="1555">
        <f t="shared" si="2"/>
        <v>100</v>
      </c>
      <c r="X8" s="1556"/>
      <c r="Y8" s="3457" t="s">
        <v>533</v>
      </c>
      <c r="Z8" s="3458"/>
      <c r="AA8" s="1557">
        <f t="shared" ref="AA8:AA46" si="3">D8/F8</f>
        <v>1</v>
      </c>
      <c r="AB8" s="1557">
        <f t="shared" ref="AB8:AB46" si="4">D8/H8</f>
        <v>1</v>
      </c>
      <c r="AC8" s="1557">
        <f t="shared" ref="AC8:AC46" si="5">D8/J8</f>
        <v>1</v>
      </c>
    </row>
    <row r="9" spans="1:29" s="1216" customFormat="1" ht="15">
      <c r="A9" s="2869"/>
      <c r="B9" s="2876" t="s">
        <v>2753</v>
      </c>
      <c r="C9" s="3183" t="s">
        <v>3361</v>
      </c>
      <c r="D9" s="254">
        <v>100</v>
      </c>
      <c r="E9" s="3218" t="s">
        <v>923</v>
      </c>
      <c r="F9" s="859">
        <f>SUMIF(63:63,E9,64:64)-SUMIF(63:63,C9,64:64)+100</f>
        <v>100</v>
      </c>
      <c r="G9" s="3218" t="s">
        <v>923</v>
      </c>
      <c r="H9" s="254">
        <f>SUMIF(63:63,G9,64:64)-SUMIF(63:63,C9,64:64)+100</f>
        <v>100</v>
      </c>
      <c r="I9" s="3218" t="s">
        <v>923</v>
      </c>
      <c r="J9" s="254">
        <f>SUMIF(63:63,I9,64:64)-SUMIF(63:63,C9,64:64)+100</f>
        <v>100</v>
      </c>
      <c r="K9" s="855"/>
      <c r="L9" s="2120"/>
      <c r="M9" s="2121"/>
      <c r="N9" s="2121"/>
      <c r="O9" s="2122"/>
      <c r="P9" s="3424" t="s">
        <v>535</v>
      </c>
      <c r="Q9" s="1147" t="str">
        <f t="shared" ref="Q9:Q15" si="6">B9</f>
        <v>用途</v>
      </c>
      <c r="R9" s="1554" t="s">
        <v>8</v>
      </c>
      <c r="S9" s="1555">
        <f t="shared" si="0"/>
        <v>100</v>
      </c>
      <c r="T9" s="1554" t="s">
        <v>8</v>
      </c>
      <c r="U9" s="1555">
        <f t="shared" si="1"/>
        <v>100</v>
      </c>
      <c r="V9" s="1554" t="s">
        <v>8</v>
      </c>
      <c r="W9" s="1555">
        <f t="shared" si="2"/>
        <v>100</v>
      </c>
      <c r="X9" s="1556"/>
      <c r="Y9" s="3370" t="s">
        <v>536</v>
      </c>
      <c r="Z9" s="1146" t="str">
        <f t="shared" ref="Z9:Z15" si="7">Q9</f>
        <v>用途</v>
      </c>
      <c r="AA9" s="1557">
        <f t="shared" si="3"/>
        <v>1</v>
      </c>
      <c r="AB9" s="1557">
        <f t="shared" si="4"/>
        <v>1</v>
      </c>
      <c r="AC9" s="1557">
        <f t="shared" si="5"/>
        <v>1</v>
      </c>
    </row>
    <row r="10" spans="1:29" s="1334" customFormat="1" ht="27">
      <c r="A10" s="2870"/>
      <c r="B10" s="2875" t="s">
        <v>2754</v>
      </c>
      <c r="C10" s="861"/>
      <c r="D10" s="255">
        <v>100</v>
      </c>
      <c r="E10" s="862"/>
      <c r="F10" s="863">
        <f>SUMIF(65:65,E10,66:66)-SUMIF(65:65,C10,66:66)+100</f>
        <v>100</v>
      </c>
      <c r="G10" s="862"/>
      <c r="H10" s="255">
        <f>SUMIF(65:65,G10,66:66)-SUMIF(65:65,C10,66:66)+100</f>
        <v>100</v>
      </c>
      <c r="I10" s="862"/>
      <c r="J10" s="255">
        <f>SUMIF(65:65,I10,66:66)-SUMIF(65:65,C10,66:66)+100</f>
        <v>100</v>
      </c>
      <c r="K10" s="864"/>
      <c r="L10" s="2123"/>
      <c r="M10" s="2163"/>
      <c r="N10" s="2163"/>
      <c r="O10" s="2124"/>
      <c r="P10" s="3424"/>
      <c r="Q10" s="1147" t="str">
        <f t="shared" si="6"/>
        <v>土地使用年限（年）</v>
      </c>
      <c r="R10" s="1554" t="s">
        <v>8</v>
      </c>
      <c r="S10" s="1555">
        <f t="shared" si="0"/>
        <v>100</v>
      </c>
      <c r="T10" s="1554" t="s">
        <v>8</v>
      </c>
      <c r="U10" s="1555">
        <f t="shared" si="1"/>
        <v>100</v>
      </c>
      <c r="V10" s="1554" t="s">
        <v>8</v>
      </c>
      <c r="W10" s="1555">
        <f t="shared" si="2"/>
        <v>100</v>
      </c>
      <c r="X10" s="1556"/>
      <c r="Y10" s="3370"/>
      <c r="Z10" s="1146" t="str">
        <f t="shared" si="7"/>
        <v>土地使用年限（年）</v>
      </c>
      <c r="AA10" s="1557">
        <f t="shared" si="3"/>
        <v>1</v>
      </c>
      <c r="AB10" s="1557">
        <f t="shared" si="4"/>
        <v>1</v>
      </c>
      <c r="AC10" s="1557">
        <f t="shared" si="5"/>
        <v>1</v>
      </c>
    </row>
    <row r="11" spans="1:29" ht="15">
      <c r="A11" s="2871"/>
      <c r="B11" s="2875" t="s">
        <v>2755</v>
      </c>
      <c r="C11" s="533">
        <f>'数据-汇总表'!I6</f>
        <v>2.5</v>
      </c>
      <c r="D11" s="255">
        <v>100</v>
      </c>
      <c r="E11" s="534">
        <v>2</v>
      </c>
      <c r="F11" s="863">
        <f>LOOKUP(E11,68:68,69:69)-LOOKUP(C11,68:68,69:69)+100</f>
        <v>100</v>
      </c>
      <c r="G11" s="533">
        <v>2</v>
      </c>
      <c r="H11" s="255">
        <f>LOOKUP(G11,68:68,69:69)-LOOKUP(C11,68:68,69:69)+100</f>
        <v>100</v>
      </c>
      <c r="I11" s="533">
        <v>2.5499999999999998</v>
      </c>
      <c r="J11" s="255">
        <f>LOOKUP(I11,68:68,69:69)-LOOKUP(C11,68:68,69:69)+100</f>
        <v>100</v>
      </c>
      <c r="K11" s="864">
        <v>1</v>
      </c>
      <c r="L11" s="2125"/>
      <c r="M11" s="2119"/>
      <c r="N11" s="2119"/>
      <c r="O11" s="2126"/>
      <c r="P11" s="3424"/>
      <c r="Q11" s="1147" t="str">
        <f t="shared" si="6"/>
        <v>容积率</v>
      </c>
      <c r="R11" s="1554" t="s">
        <v>11</v>
      </c>
      <c r="S11" s="1555">
        <f t="shared" si="0"/>
        <v>100</v>
      </c>
      <c r="T11" s="1554" t="s">
        <v>11</v>
      </c>
      <c r="U11" s="1555">
        <f t="shared" si="1"/>
        <v>100</v>
      </c>
      <c r="V11" s="1554" t="s">
        <v>11</v>
      </c>
      <c r="W11" s="1555">
        <f t="shared" si="2"/>
        <v>100</v>
      </c>
      <c r="X11" s="1556"/>
      <c r="Y11" s="3370"/>
      <c r="Z11" s="1146" t="str">
        <f t="shared" si="7"/>
        <v>容积率</v>
      </c>
      <c r="AA11" s="1557">
        <f t="shared" si="3"/>
        <v>1</v>
      </c>
      <c r="AB11" s="1557">
        <f t="shared" si="4"/>
        <v>1</v>
      </c>
      <c r="AC11" s="1557">
        <f t="shared" si="5"/>
        <v>1</v>
      </c>
    </row>
    <row r="12" spans="1:29" s="1216" customFormat="1" ht="15">
      <c r="A12" s="2872"/>
      <c r="B12" s="2878">
        <v>111</v>
      </c>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424"/>
      <c r="Q12" s="1147">
        <f t="shared" si="6"/>
        <v>111</v>
      </c>
      <c r="R12" s="1554" t="s">
        <v>11</v>
      </c>
      <c r="S12" s="1555">
        <f t="shared" si="0"/>
        <v>100</v>
      </c>
      <c r="T12" s="1554" t="s">
        <v>11</v>
      </c>
      <c r="U12" s="1555">
        <f t="shared" si="1"/>
        <v>100</v>
      </c>
      <c r="V12" s="1554" t="s">
        <v>11</v>
      </c>
      <c r="W12" s="1555">
        <f t="shared" si="2"/>
        <v>100</v>
      </c>
      <c r="X12" s="1556"/>
      <c r="Y12" s="3370"/>
      <c r="Z12" s="1146">
        <f t="shared" si="7"/>
        <v>111</v>
      </c>
      <c r="AA12" s="1557">
        <f>D12/F12</f>
        <v>1</v>
      </c>
      <c r="AB12" s="1557">
        <f>D12/H12</f>
        <v>1</v>
      </c>
      <c r="AC12" s="1557">
        <f>D12/J12</f>
        <v>1</v>
      </c>
    </row>
    <row r="13" spans="1:29" ht="15">
      <c r="A13" s="2872"/>
      <c r="B13" s="2878">
        <v>111</v>
      </c>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424"/>
      <c r="Q13" s="1147">
        <f t="shared" si="6"/>
        <v>111</v>
      </c>
      <c r="R13" s="1554" t="s">
        <v>11</v>
      </c>
      <c r="S13" s="1555">
        <f t="shared" si="0"/>
        <v>100</v>
      </c>
      <c r="T13" s="1554" t="s">
        <v>11</v>
      </c>
      <c r="U13" s="1555">
        <f t="shared" si="1"/>
        <v>100</v>
      </c>
      <c r="V13" s="1554" t="s">
        <v>11</v>
      </c>
      <c r="W13" s="1555">
        <f t="shared" si="2"/>
        <v>100</v>
      </c>
      <c r="X13" s="1556"/>
      <c r="Y13" s="3370"/>
      <c r="Z13" s="1146">
        <f t="shared" si="7"/>
        <v>111</v>
      </c>
      <c r="AA13" s="1557">
        <f t="shared" si="3"/>
        <v>1</v>
      </c>
      <c r="AB13" s="1557">
        <f t="shared" si="4"/>
        <v>1</v>
      </c>
      <c r="AC13" s="1557">
        <f t="shared" si="5"/>
        <v>1</v>
      </c>
    </row>
    <row r="14" spans="1:29" ht="15.75" thickBot="1">
      <c r="A14" s="2873"/>
      <c r="B14" s="2879">
        <v>111</v>
      </c>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424"/>
      <c r="Q14" s="1147">
        <f t="shared" si="6"/>
        <v>111</v>
      </c>
      <c r="R14" s="1554" t="s">
        <v>11</v>
      </c>
      <c r="S14" s="1555">
        <f t="shared" si="0"/>
        <v>100</v>
      </c>
      <c r="T14" s="1554" t="s">
        <v>11</v>
      </c>
      <c r="U14" s="1555">
        <f t="shared" si="1"/>
        <v>100</v>
      </c>
      <c r="V14" s="1554" t="s">
        <v>11</v>
      </c>
      <c r="W14" s="1555">
        <f t="shared" si="2"/>
        <v>100</v>
      </c>
      <c r="X14" s="1556"/>
      <c r="Y14" s="3370"/>
      <c r="Z14" s="1146">
        <f t="shared" si="7"/>
        <v>111</v>
      </c>
      <c r="AA14" s="1557">
        <f t="shared" si="3"/>
        <v>1</v>
      </c>
      <c r="AB14" s="1557">
        <f t="shared" si="4"/>
        <v>1</v>
      </c>
      <c r="AC14" s="1557">
        <f t="shared" si="5"/>
        <v>1</v>
      </c>
    </row>
    <row r="15" spans="1:29" ht="15">
      <c r="A15" s="2865" t="s">
        <v>2751</v>
      </c>
      <c r="B15" s="166" t="s">
        <v>295</v>
      </c>
      <c r="C15" s="867">
        <f>估价对象房地状况!C3</f>
        <v>0</v>
      </c>
      <c r="D15" s="549">
        <v>100</v>
      </c>
      <c r="E15" s="550"/>
      <c r="F15" s="551">
        <f>SUMIF(76:76,E16,77:77)-SUMIF(76:76,C16,77:77)+100</f>
        <v>106</v>
      </c>
      <c r="G15" s="552"/>
      <c r="H15" s="549">
        <f>SUMIF(76:76,G16,77:77)-SUMIF(76:76,C16,77:77)+100</f>
        <v>106</v>
      </c>
      <c r="I15" s="550"/>
      <c r="J15" s="549">
        <f>SUMIF(76:76,I16,77:77)-SUMIF(76:76,C16,77:77)+100</f>
        <v>106</v>
      </c>
      <c r="K15" s="868">
        <v>6</v>
      </c>
      <c r="L15" s="2127"/>
      <c r="M15" s="2119"/>
      <c r="N15" s="2119"/>
      <c r="O15" s="2126"/>
      <c r="P15" s="3460" t="s">
        <v>540</v>
      </c>
      <c r="Q15" s="1558" t="str">
        <f t="shared" si="6"/>
        <v>居住社区成熟度</v>
      </c>
      <c r="R15" s="1559" t="s">
        <v>11</v>
      </c>
      <c r="S15" s="1560">
        <f t="shared" si="0"/>
        <v>106</v>
      </c>
      <c r="T15" s="1559" t="s">
        <v>11</v>
      </c>
      <c r="U15" s="1560">
        <f t="shared" si="1"/>
        <v>106</v>
      </c>
      <c r="V15" s="1559" t="s">
        <v>11</v>
      </c>
      <c r="W15" s="1560">
        <f t="shared" si="2"/>
        <v>106</v>
      </c>
      <c r="X15" s="1553"/>
      <c r="Y15" s="3460" t="s">
        <v>540</v>
      </c>
      <c r="Z15" s="1561" t="str">
        <f t="shared" si="7"/>
        <v>居住社区成熟度</v>
      </c>
      <c r="AA15" s="1562">
        <f t="shared" si="3"/>
        <v>0.94339622641509435</v>
      </c>
      <c r="AB15" s="1562">
        <f t="shared" si="4"/>
        <v>0.94339622641509435</v>
      </c>
      <c r="AC15" s="1562">
        <f t="shared" si="5"/>
        <v>0.94339622641509435</v>
      </c>
    </row>
    <row r="16" spans="1:29" ht="15">
      <c r="A16" s="532"/>
      <c r="B16" s="869"/>
      <c r="C16" s="576" t="s">
        <v>3019</v>
      </c>
      <c r="D16" s="555"/>
      <c r="E16" s="3219" t="s">
        <v>3020</v>
      </c>
      <c r="F16" s="557"/>
      <c r="G16" s="3224" t="s">
        <v>3020</v>
      </c>
      <c r="H16" s="559"/>
      <c r="I16" s="3229" t="s">
        <v>3020</v>
      </c>
      <c r="J16" s="555"/>
      <c r="K16" s="870"/>
      <c r="L16" s="2127"/>
      <c r="M16" s="2119"/>
      <c r="N16" s="2119"/>
      <c r="O16" s="2126"/>
      <c r="P16" s="3461"/>
      <c r="Q16" s="1558"/>
      <c r="R16" s="1559"/>
      <c r="S16" s="1560"/>
      <c r="T16" s="1559"/>
      <c r="U16" s="1560"/>
      <c r="V16" s="1559"/>
      <c r="W16" s="1560"/>
      <c r="X16" s="1553"/>
      <c r="Y16" s="3461"/>
      <c r="Z16" s="1561"/>
      <c r="AA16" s="1562">
        <v>1</v>
      </c>
      <c r="AB16" s="1562">
        <v>1</v>
      </c>
      <c r="AC16" s="1562">
        <v>1</v>
      </c>
    </row>
    <row r="17" spans="1:29" ht="15">
      <c r="A17" s="532"/>
      <c r="B17" s="871" t="s">
        <v>296</v>
      </c>
      <c r="C17" s="872" t="str">
        <f>估价对象房地状况!C6</f>
        <v>较好</v>
      </c>
      <c r="D17" s="559">
        <v>100</v>
      </c>
      <c r="E17" s="3220"/>
      <c r="F17" s="563">
        <f>SUMIF(78:78,E18,79:79)-SUMIF(78:78,C18,79:79)+100</f>
        <v>105</v>
      </c>
      <c r="G17" s="3225"/>
      <c r="H17" s="565">
        <f>SUMIF(78:78,G18,79:79)-SUMIF(78:78,C18,79:79)+100</f>
        <v>105</v>
      </c>
      <c r="I17" s="3230"/>
      <c r="J17" s="565">
        <f>SUMIF(78:78,I18,79:79)-SUMIF(78:78,C18,79:79)+100</f>
        <v>105</v>
      </c>
      <c r="K17" s="868">
        <v>5</v>
      </c>
      <c r="L17" s="2127"/>
      <c r="M17" s="2119"/>
      <c r="N17" s="2119"/>
      <c r="O17" s="2126"/>
      <c r="P17" s="3461"/>
      <c r="Q17" s="1558" t="str">
        <f>B17</f>
        <v>交通便捷度</v>
      </c>
      <c r="R17" s="1559" t="s">
        <v>11</v>
      </c>
      <c r="S17" s="1560">
        <f>F17</f>
        <v>105</v>
      </c>
      <c r="T17" s="1559" t="s">
        <v>11</v>
      </c>
      <c r="U17" s="1560">
        <f>H17</f>
        <v>105</v>
      </c>
      <c r="V17" s="1559" t="s">
        <v>11</v>
      </c>
      <c r="W17" s="1560">
        <f>J17</f>
        <v>105</v>
      </c>
      <c r="X17" s="1553"/>
      <c r="Y17" s="3461"/>
      <c r="Z17" s="1561" t="str">
        <f>Q17</f>
        <v>交通便捷度</v>
      </c>
      <c r="AA17" s="1562">
        <f t="shared" si="3"/>
        <v>0.95238095238095233</v>
      </c>
      <c r="AB17" s="1562">
        <f t="shared" si="4"/>
        <v>0.95238095238095233</v>
      </c>
      <c r="AC17" s="1562">
        <f t="shared" si="5"/>
        <v>0.95238095238095233</v>
      </c>
    </row>
    <row r="18" spans="1:29" ht="15">
      <c r="A18" s="532"/>
      <c r="B18" s="595"/>
      <c r="C18" s="873" t="s">
        <v>3019</v>
      </c>
      <c r="D18" s="559"/>
      <c r="E18" s="3219" t="s">
        <v>3020</v>
      </c>
      <c r="F18" s="563"/>
      <c r="G18" s="3224" t="s">
        <v>3020</v>
      </c>
      <c r="H18" s="555"/>
      <c r="I18" s="3229" t="s">
        <v>3020</v>
      </c>
      <c r="J18" s="555"/>
      <c r="K18" s="870"/>
      <c r="L18" s="2127"/>
      <c r="M18" s="2119"/>
      <c r="N18" s="2119"/>
      <c r="O18" s="2126"/>
      <c r="P18" s="3461"/>
      <c r="Q18" s="1558"/>
      <c r="R18" s="1559"/>
      <c r="S18" s="1560"/>
      <c r="T18" s="1559"/>
      <c r="U18" s="1560"/>
      <c r="V18" s="1559"/>
      <c r="W18" s="1560"/>
      <c r="X18" s="1553"/>
      <c r="Y18" s="3461"/>
      <c r="Z18" s="1561"/>
      <c r="AA18" s="1562">
        <v>1</v>
      </c>
      <c r="AB18" s="1562">
        <v>1</v>
      </c>
      <c r="AC18" s="1562">
        <v>1</v>
      </c>
    </row>
    <row r="19" spans="1:29" ht="15">
      <c r="A19" s="532"/>
      <c r="B19" s="2564" t="s">
        <v>2543</v>
      </c>
      <c r="C19" s="872" t="str">
        <f>估价对象房地状况!C7</f>
        <v>一般</v>
      </c>
      <c r="D19" s="565">
        <v>100</v>
      </c>
      <c r="E19" s="3221"/>
      <c r="F19" s="571">
        <f>SUMIF(80:80,E20,81:81)-SUMIF(80:80,C20,81:81)+100</f>
        <v>100</v>
      </c>
      <c r="G19" s="3226"/>
      <c r="H19" s="559">
        <f>SUMIF(80:80,G20,81:81)-SUMIF(80:80,C20,81:81)+100</f>
        <v>100</v>
      </c>
      <c r="I19" s="3231"/>
      <c r="J19" s="559">
        <f>SUMIF(80:80,I20,81:81)-SUMIF(80:80,C20,81:81)+100</f>
        <v>100</v>
      </c>
      <c r="K19" s="868"/>
      <c r="L19" s="2127"/>
      <c r="M19" s="2119"/>
      <c r="N19" s="2119"/>
      <c r="O19" s="2126"/>
      <c r="P19" s="3461"/>
      <c r="Q19" s="1558" t="str">
        <f>B19</f>
        <v>公共配套设施</v>
      </c>
      <c r="R19" s="1559" t="s">
        <v>11</v>
      </c>
      <c r="S19" s="1560">
        <f>F19</f>
        <v>100</v>
      </c>
      <c r="T19" s="1559" t="s">
        <v>11</v>
      </c>
      <c r="U19" s="1560">
        <f>H19</f>
        <v>100</v>
      </c>
      <c r="V19" s="1559" t="s">
        <v>11</v>
      </c>
      <c r="W19" s="1560">
        <f>J19</f>
        <v>100</v>
      </c>
      <c r="X19" s="1553"/>
      <c r="Y19" s="3461"/>
      <c r="Z19" s="1561" t="str">
        <f>Q19</f>
        <v>公共配套设施</v>
      </c>
      <c r="AA19" s="1562">
        <f t="shared" si="3"/>
        <v>1</v>
      </c>
      <c r="AB19" s="1562">
        <f t="shared" si="4"/>
        <v>1</v>
      </c>
      <c r="AC19" s="1562">
        <f t="shared" si="5"/>
        <v>1</v>
      </c>
    </row>
    <row r="20" spans="1:29" ht="15">
      <c r="A20" s="532"/>
      <c r="B20" s="595"/>
      <c r="C20" s="576"/>
      <c r="D20" s="555"/>
      <c r="E20" s="3219"/>
      <c r="F20" s="557"/>
      <c r="G20" s="3224"/>
      <c r="H20" s="555"/>
      <c r="I20" s="3229"/>
      <c r="J20" s="555"/>
      <c r="K20" s="870"/>
      <c r="L20" s="2127"/>
      <c r="M20" s="2119"/>
      <c r="N20" s="2119"/>
      <c r="O20" s="2126"/>
      <c r="P20" s="3461"/>
      <c r="Q20" s="1558"/>
      <c r="R20" s="1559"/>
      <c r="S20" s="1560"/>
      <c r="T20" s="1559"/>
      <c r="U20" s="1560"/>
      <c r="V20" s="1559"/>
      <c r="W20" s="1560"/>
      <c r="X20" s="1553"/>
      <c r="Y20" s="3461"/>
      <c r="Z20" s="1561"/>
      <c r="AA20" s="1562">
        <v>1</v>
      </c>
      <c r="AB20" s="1562">
        <v>1</v>
      </c>
      <c r="AC20" s="1562">
        <v>1</v>
      </c>
    </row>
    <row r="21" spans="1:29" ht="15">
      <c r="A21" s="532"/>
      <c r="B21" s="2557" t="s">
        <v>2555</v>
      </c>
      <c r="C21" s="872" t="str">
        <f>估价对象房地状况!C8</f>
        <v>六通</v>
      </c>
      <c r="D21" s="565">
        <v>100</v>
      </c>
      <c r="E21" s="3222"/>
      <c r="F21" s="571">
        <f>SUMIF(82:82,E22,83:83)-SUMIF(82:82,C22,83:83)+100</f>
        <v>100</v>
      </c>
      <c r="G21" s="3227"/>
      <c r="H21" s="565">
        <f>SUMIF(82:82,G22,83:83)-SUMIF(82:82,C22,83:83)+100</f>
        <v>100</v>
      </c>
      <c r="I21" s="3232"/>
      <c r="J21" s="565">
        <f>SUMIF(82:82,I22,83:83)-SUMIF(82:82,C22,83:83)+100</f>
        <v>100</v>
      </c>
      <c r="K21" s="868"/>
      <c r="L21" s="2127"/>
      <c r="M21" s="2119"/>
      <c r="N21" s="2119"/>
      <c r="O21" s="2126"/>
      <c r="P21" s="3461"/>
      <c r="Q21" s="2543" t="str">
        <f>B21</f>
        <v>基础设施水平</v>
      </c>
      <c r="R21" s="1559" t="s">
        <v>11</v>
      </c>
      <c r="S21" s="1560">
        <f>F21</f>
        <v>100</v>
      </c>
      <c r="T21" s="1559" t="s">
        <v>11</v>
      </c>
      <c r="U21" s="1560">
        <f>H21</f>
        <v>100</v>
      </c>
      <c r="V21" s="1559" t="s">
        <v>11</v>
      </c>
      <c r="W21" s="1560">
        <f>J21</f>
        <v>100</v>
      </c>
      <c r="X21" s="2545"/>
      <c r="Y21" s="3461"/>
      <c r="Z21" s="2544" t="str">
        <f>Q21</f>
        <v>基础设施水平</v>
      </c>
      <c r="AA21" s="1562">
        <f t="shared" ref="AA21" si="8">D21/F21</f>
        <v>1</v>
      </c>
      <c r="AB21" s="1562">
        <f t="shared" ref="AB21" si="9">D21/H21</f>
        <v>1</v>
      </c>
      <c r="AC21" s="1562">
        <f t="shared" ref="AC21" si="10">D21/J21</f>
        <v>1</v>
      </c>
    </row>
    <row r="22" spans="1:29" ht="15">
      <c r="A22" s="532"/>
      <c r="B22" s="922"/>
      <c r="C22" s="873"/>
      <c r="D22" s="555"/>
      <c r="E22" s="3223"/>
      <c r="F22" s="557"/>
      <c r="G22" s="3228"/>
      <c r="H22" s="555"/>
      <c r="I22" s="3233"/>
      <c r="J22" s="555"/>
      <c r="K22" s="2563"/>
      <c r="L22" s="2127"/>
      <c r="M22" s="2119"/>
      <c r="N22" s="2119"/>
      <c r="O22" s="2126"/>
      <c r="P22" s="3461"/>
      <c r="Q22" s="2543"/>
      <c r="R22" s="1559"/>
      <c r="S22" s="1560"/>
      <c r="T22" s="1559"/>
      <c r="U22" s="1560"/>
      <c r="V22" s="1559"/>
      <c r="W22" s="1560"/>
      <c r="X22" s="2545"/>
      <c r="Y22" s="3461"/>
      <c r="Z22" s="2544"/>
      <c r="AA22" s="1562">
        <v>1</v>
      </c>
      <c r="AB22" s="1562">
        <v>1</v>
      </c>
      <c r="AC22" s="1562">
        <v>1</v>
      </c>
    </row>
    <row r="23" spans="1:29" ht="15">
      <c r="A23" s="532"/>
      <c r="B23" s="871" t="s">
        <v>297</v>
      </c>
      <c r="C23" s="872" t="str">
        <f>估价对象房地状况!C9</f>
        <v>较好</v>
      </c>
      <c r="D23" s="559">
        <v>100</v>
      </c>
      <c r="E23" s="3220"/>
      <c r="F23" s="563">
        <f>SUMIF(84:84,E24,85:85)-SUMIF(84:84,C24,85:85)+100</f>
        <v>103</v>
      </c>
      <c r="G23" s="3225"/>
      <c r="H23" s="559">
        <f>SUMIF(84:84,G24,85:85)-SUMIF(84:84,C24,85:85)+100</f>
        <v>103</v>
      </c>
      <c r="I23" s="3230"/>
      <c r="J23" s="559">
        <f>SUMIF(84:84,I24,85:85)-SUMIF(84:84,C24,85:85)+100</f>
        <v>103</v>
      </c>
      <c r="K23" s="868">
        <v>3</v>
      </c>
      <c r="L23" s="2127"/>
      <c r="M23" s="2119"/>
      <c r="N23" s="2119"/>
      <c r="O23" s="2126"/>
      <c r="P23" s="3461"/>
      <c r="Q23" s="1558" t="str">
        <f>B23</f>
        <v>自然及人文环境</v>
      </c>
      <c r="R23" s="1559" t="s">
        <v>11</v>
      </c>
      <c r="S23" s="1560">
        <f>F23</f>
        <v>103</v>
      </c>
      <c r="T23" s="1559" t="s">
        <v>11</v>
      </c>
      <c r="U23" s="1560">
        <f>H23</f>
        <v>103</v>
      </c>
      <c r="V23" s="1559" t="s">
        <v>11</v>
      </c>
      <c r="W23" s="1560">
        <f>J23</f>
        <v>103</v>
      </c>
      <c r="X23" s="1553"/>
      <c r="Y23" s="3461"/>
      <c r="Z23" s="1561" t="str">
        <f>Q23</f>
        <v>自然及人文环境</v>
      </c>
      <c r="AA23" s="1562">
        <f t="shared" si="3"/>
        <v>0.970873786407767</v>
      </c>
      <c r="AB23" s="1562">
        <f t="shared" si="4"/>
        <v>0.970873786407767</v>
      </c>
      <c r="AC23" s="1562">
        <f t="shared" si="5"/>
        <v>0.970873786407767</v>
      </c>
    </row>
    <row r="24" spans="1:29" ht="15">
      <c r="A24" s="532"/>
      <c r="B24" s="595"/>
      <c r="C24" s="576" t="s">
        <v>3019</v>
      </c>
      <c r="D24" s="555"/>
      <c r="E24" s="3219" t="s">
        <v>3020</v>
      </c>
      <c r="F24" s="557"/>
      <c r="G24" s="3224" t="s">
        <v>3020</v>
      </c>
      <c r="H24" s="555"/>
      <c r="I24" s="3229" t="s">
        <v>3020</v>
      </c>
      <c r="J24" s="555"/>
      <c r="K24" s="870"/>
      <c r="L24" s="2127"/>
      <c r="M24" s="2119"/>
      <c r="N24" s="2119"/>
      <c r="O24" s="2126"/>
      <c r="P24" s="3461"/>
      <c r="Q24" s="1558"/>
      <c r="R24" s="1559"/>
      <c r="S24" s="1560"/>
      <c r="T24" s="1559"/>
      <c r="U24" s="1560"/>
      <c r="V24" s="1559"/>
      <c r="W24" s="1560"/>
      <c r="X24" s="1553"/>
      <c r="Y24" s="3461"/>
      <c r="Z24" s="1561"/>
      <c r="AA24" s="1562">
        <v>1</v>
      </c>
      <c r="AB24" s="1562">
        <v>1</v>
      </c>
      <c r="AC24" s="1562">
        <v>1</v>
      </c>
    </row>
    <row r="25" spans="1:29" ht="15">
      <c r="A25" s="532"/>
      <c r="B25" s="1880" t="s">
        <v>2256</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3461"/>
      <c r="Q25" s="1558" t="str">
        <f t="shared" ref="Q25:Q46" si="11">B25</f>
        <v>楼层-1</v>
      </c>
      <c r="R25" s="1559" t="s">
        <v>11</v>
      </c>
      <c r="S25" s="1560">
        <f>F25</f>
        <v>100</v>
      </c>
      <c r="T25" s="1559" t="s">
        <v>11</v>
      </c>
      <c r="U25" s="1560">
        <f>H25</f>
        <v>100</v>
      </c>
      <c r="V25" s="1559" t="s">
        <v>11</v>
      </c>
      <c r="W25" s="1560">
        <f>J25</f>
        <v>100</v>
      </c>
      <c r="X25" s="1553"/>
      <c r="Y25" s="3461"/>
      <c r="Z25" s="1561" t="str">
        <f>Q25</f>
        <v>楼层-1</v>
      </c>
      <c r="AA25" s="1562">
        <f t="shared" si="3"/>
        <v>1</v>
      </c>
      <c r="AB25" s="1562">
        <f t="shared" si="4"/>
        <v>1</v>
      </c>
      <c r="AC25" s="1562">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3461"/>
      <c r="Q26" s="1558" t="str">
        <f t="shared" si="11"/>
        <v>朝向</v>
      </c>
      <c r="R26" s="1559" t="s">
        <v>11</v>
      </c>
      <c r="S26" s="1560">
        <f>F26</f>
        <v>100</v>
      </c>
      <c r="T26" s="1559" t="s">
        <v>11</v>
      </c>
      <c r="U26" s="1560">
        <f>H26</f>
        <v>100</v>
      </c>
      <c r="V26" s="1559" t="s">
        <v>11</v>
      </c>
      <c r="W26" s="1560">
        <f>J26</f>
        <v>100</v>
      </c>
      <c r="X26" s="1553"/>
      <c r="Y26" s="3461"/>
      <c r="Z26" s="1561" t="str">
        <f>Q26</f>
        <v>朝向</v>
      </c>
      <c r="AA26" s="1562">
        <f t="shared" si="3"/>
        <v>1</v>
      </c>
      <c r="AB26" s="1562">
        <f t="shared" si="4"/>
        <v>1</v>
      </c>
      <c r="AC26" s="1562">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0"/>
      <c r="M27" s="2121"/>
      <c r="N27" s="2121"/>
      <c r="O27" s="2122"/>
      <c r="P27" s="3461"/>
      <c r="Q27" s="1147" t="str">
        <f t="shared" si="11"/>
        <v>道路级别</v>
      </c>
      <c r="R27" s="1554" t="s">
        <v>11</v>
      </c>
      <c r="S27" s="1555">
        <f>F27</f>
        <v>100</v>
      </c>
      <c r="T27" s="1554" t="s">
        <v>11</v>
      </c>
      <c r="U27" s="1555">
        <f>H27</f>
        <v>100</v>
      </c>
      <c r="V27" s="1554" t="s">
        <v>11</v>
      </c>
      <c r="W27" s="1555">
        <f>J27</f>
        <v>100</v>
      </c>
      <c r="X27" s="1556"/>
      <c r="Y27" s="3461"/>
      <c r="Z27" s="1146" t="str">
        <f>Q27</f>
        <v>道路级别</v>
      </c>
      <c r="AA27" s="1562">
        <f>D27/F27</f>
        <v>1</v>
      </c>
      <c r="AB27" s="1562">
        <f>D27/H27</f>
        <v>1</v>
      </c>
      <c r="AC27" s="156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7"/>
      <c r="M28" s="2119"/>
      <c r="N28" s="2119"/>
      <c r="O28" s="2126"/>
      <c r="P28" s="3461"/>
      <c r="Q28" s="1558">
        <f t="shared" si="11"/>
        <v>111</v>
      </c>
      <c r="R28" s="1559" t="s">
        <v>11</v>
      </c>
      <c r="S28" s="1560">
        <f t="shared" ref="S28:S46" si="12">F28</f>
        <v>100</v>
      </c>
      <c r="T28" s="1559" t="s">
        <v>11</v>
      </c>
      <c r="U28" s="1560">
        <f t="shared" ref="U28:U46" si="13">H28</f>
        <v>100</v>
      </c>
      <c r="V28" s="1559" t="s">
        <v>11</v>
      </c>
      <c r="W28" s="1560">
        <f t="shared" ref="W28:W46" si="14">J28</f>
        <v>100</v>
      </c>
      <c r="X28" s="1553"/>
      <c r="Y28" s="3461"/>
      <c r="Z28" s="1561">
        <f t="shared" ref="Z28:Z46" si="15">Q28</f>
        <v>111</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461"/>
      <c r="Q29" s="1558">
        <f t="shared" si="11"/>
        <v>111</v>
      </c>
      <c r="R29" s="1559" t="s">
        <v>11</v>
      </c>
      <c r="S29" s="1560">
        <f t="shared" si="12"/>
        <v>100</v>
      </c>
      <c r="T29" s="1559" t="s">
        <v>11</v>
      </c>
      <c r="U29" s="1560">
        <f t="shared" si="13"/>
        <v>100</v>
      </c>
      <c r="V29" s="1559" t="s">
        <v>11</v>
      </c>
      <c r="W29" s="1560">
        <f t="shared" si="14"/>
        <v>100</v>
      </c>
      <c r="X29" s="1553"/>
      <c r="Y29" s="3461"/>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461"/>
      <c r="Q30" s="1558">
        <f t="shared" si="11"/>
        <v>111</v>
      </c>
      <c r="R30" s="1559" t="s">
        <v>11</v>
      </c>
      <c r="S30" s="1560">
        <f t="shared" si="12"/>
        <v>100</v>
      </c>
      <c r="T30" s="1559" t="s">
        <v>11</v>
      </c>
      <c r="U30" s="1560">
        <f t="shared" si="13"/>
        <v>100</v>
      </c>
      <c r="V30" s="1559" t="s">
        <v>11</v>
      </c>
      <c r="W30" s="1560">
        <f t="shared" si="14"/>
        <v>100</v>
      </c>
      <c r="X30" s="1553"/>
      <c r="Y30" s="3461"/>
      <c r="Z30" s="1561">
        <f t="shared" si="15"/>
        <v>111</v>
      </c>
      <c r="AA30" s="1562">
        <f t="shared" si="3"/>
        <v>1</v>
      </c>
      <c r="AB30" s="1562">
        <f t="shared" si="4"/>
        <v>1</v>
      </c>
      <c r="AC30" s="1562">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461"/>
      <c r="Q31" s="1558">
        <f t="shared" si="11"/>
        <v>111</v>
      </c>
      <c r="R31" s="1559" t="s">
        <v>11</v>
      </c>
      <c r="S31" s="1560">
        <f t="shared" si="12"/>
        <v>100</v>
      </c>
      <c r="T31" s="1559" t="s">
        <v>11</v>
      </c>
      <c r="U31" s="1560">
        <f t="shared" si="13"/>
        <v>100</v>
      </c>
      <c r="V31" s="1559" t="s">
        <v>11</v>
      </c>
      <c r="W31" s="1560">
        <f t="shared" si="14"/>
        <v>100</v>
      </c>
      <c r="X31" s="1553"/>
      <c r="Y31" s="3461"/>
      <c r="Z31" s="1561">
        <f t="shared" si="15"/>
        <v>111</v>
      </c>
      <c r="AA31" s="1562">
        <f t="shared" si="3"/>
        <v>1</v>
      </c>
      <c r="AB31" s="1562">
        <f t="shared" si="4"/>
        <v>1</v>
      </c>
      <c r="AC31" s="1562">
        <f t="shared" si="5"/>
        <v>1</v>
      </c>
    </row>
    <row r="32" spans="1:29" ht="15">
      <c r="A32" s="2862" t="s">
        <v>2752</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7"/>
      <c r="M32" s="2119"/>
      <c r="N32" s="2119"/>
      <c r="O32" s="2126"/>
      <c r="P32" s="3462" t="s">
        <v>550</v>
      </c>
      <c r="Q32" s="1558" t="str">
        <f t="shared" si="11"/>
        <v>建筑类型</v>
      </c>
      <c r="R32" s="1559" t="s">
        <v>11</v>
      </c>
      <c r="S32" s="1560">
        <f t="shared" si="12"/>
        <v>100</v>
      </c>
      <c r="T32" s="1559" t="s">
        <v>11</v>
      </c>
      <c r="U32" s="1560">
        <f t="shared" si="13"/>
        <v>100</v>
      </c>
      <c r="V32" s="1559" t="s">
        <v>11</v>
      </c>
      <c r="W32" s="1560">
        <f t="shared" si="14"/>
        <v>100</v>
      </c>
      <c r="X32" s="1553"/>
      <c r="Y32" s="3463" t="s">
        <v>550</v>
      </c>
      <c r="Z32" s="1561" t="str">
        <f t="shared" si="15"/>
        <v>建筑类型</v>
      </c>
      <c r="AA32" s="1562">
        <f t="shared" si="3"/>
        <v>1</v>
      </c>
      <c r="AB32" s="1562">
        <f t="shared" si="4"/>
        <v>1</v>
      </c>
      <c r="AC32" s="1562">
        <f t="shared" si="5"/>
        <v>1</v>
      </c>
    </row>
    <row r="33" spans="1:29" s="1335" customFormat="1" ht="15">
      <c r="A33" s="603"/>
      <c r="B33" s="527" t="s">
        <v>726</v>
      </c>
      <c r="C33" s="880">
        <f>'数据-汇总表'!E3</f>
        <v>79462.3</v>
      </c>
      <c r="D33" s="255">
        <v>100</v>
      </c>
      <c r="E33" s="3234">
        <v>114125.25</v>
      </c>
      <c r="F33" s="863">
        <f>LOOKUP(E33,103:103,104:104)-LOOKUP(C33,103:103,104:104)+100</f>
        <v>101</v>
      </c>
      <c r="G33" s="3235">
        <v>320000</v>
      </c>
      <c r="H33" s="255">
        <f>LOOKUP(G33,103:103,104:104)-LOOKUP(C33,103:103,104:104)+100</f>
        <v>103</v>
      </c>
      <c r="I33" s="3236">
        <v>600000</v>
      </c>
      <c r="J33" s="255">
        <f>LOOKUP(I33,103:103,104:104)-LOOKUP(C33,103:103,104:104)+100</f>
        <v>106</v>
      </c>
      <c r="K33" s="865"/>
      <c r="L33" s="2125"/>
      <c r="M33" s="2156"/>
      <c r="N33" s="2156"/>
      <c r="O33" s="2128"/>
      <c r="P33" s="3463"/>
      <c r="Q33" s="1590" t="str">
        <f t="shared" si="11"/>
        <v>项目建筑规模</v>
      </c>
      <c r="R33" s="1563" t="s">
        <v>11</v>
      </c>
      <c r="S33" s="1564">
        <f t="shared" si="12"/>
        <v>101</v>
      </c>
      <c r="T33" s="1563" t="s">
        <v>11</v>
      </c>
      <c r="U33" s="1564">
        <f t="shared" si="13"/>
        <v>103</v>
      </c>
      <c r="V33" s="1563" t="s">
        <v>11</v>
      </c>
      <c r="W33" s="1564">
        <f t="shared" si="14"/>
        <v>106</v>
      </c>
      <c r="X33" s="1565"/>
      <c r="Y33" s="3463"/>
      <c r="Z33" s="1566" t="str">
        <f t="shared" si="15"/>
        <v>项目建筑规模</v>
      </c>
      <c r="AA33" s="1562">
        <f t="shared" si="3"/>
        <v>0.99009900990099009</v>
      </c>
      <c r="AB33" s="1562">
        <f t="shared" si="4"/>
        <v>0.970873786407767</v>
      </c>
      <c r="AC33" s="1562">
        <f t="shared" si="5"/>
        <v>0.94339622641509435</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7"/>
      <c r="M34" s="2119"/>
      <c r="N34" s="2119"/>
      <c r="O34" s="2126"/>
      <c r="P34" s="3463"/>
      <c r="Q34" s="1558" t="str">
        <f t="shared" si="11"/>
        <v>建筑结构</v>
      </c>
      <c r="R34" s="1559" t="s">
        <v>11</v>
      </c>
      <c r="S34" s="1560">
        <f t="shared" si="12"/>
        <v>100</v>
      </c>
      <c r="T34" s="1559" t="s">
        <v>11</v>
      </c>
      <c r="U34" s="1560">
        <f t="shared" si="13"/>
        <v>100</v>
      </c>
      <c r="V34" s="1559" t="s">
        <v>11</v>
      </c>
      <c r="W34" s="1560">
        <f t="shared" si="14"/>
        <v>100</v>
      </c>
      <c r="X34" s="1553"/>
      <c r="Y34" s="3463"/>
      <c r="Z34" s="1561" t="str">
        <f t="shared" si="15"/>
        <v>建筑结构</v>
      </c>
      <c r="AA34" s="1562">
        <f t="shared" si="3"/>
        <v>1</v>
      </c>
      <c r="AB34" s="1562">
        <f t="shared" si="4"/>
        <v>1</v>
      </c>
      <c r="AC34" s="1562">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7"/>
      <c r="M35" s="2119"/>
      <c r="N35" s="2119"/>
      <c r="O35" s="2126"/>
      <c r="P35" s="3463"/>
      <c r="Q35" s="1558" t="str">
        <f t="shared" si="11"/>
        <v>建筑品质</v>
      </c>
      <c r="R35" s="1559" t="s">
        <v>11</v>
      </c>
      <c r="S35" s="1560">
        <f t="shared" si="12"/>
        <v>100</v>
      </c>
      <c r="T35" s="1559" t="s">
        <v>11</v>
      </c>
      <c r="U35" s="1560">
        <f t="shared" si="13"/>
        <v>100</v>
      </c>
      <c r="V35" s="1559" t="s">
        <v>11</v>
      </c>
      <c r="W35" s="1560">
        <f t="shared" si="14"/>
        <v>100</v>
      </c>
      <c r="X35" s="1553"/>
      <c r="Y35" s="3463"/>
      <c r="Z35" s="1561" t="str">
        <f t="shared" si="15"/>
        <v>建筑品质</v>
      </c>
      <c r="AA35" s="1562">
        <f t="shared" si="3"/>
        <v>1</v>
      </c>
      <c r="AB35" s="1562">
        <f t="shared" si="4"/>
        <v>1</v>
      </c>
      <c r="AC35" s="1562">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7"/>
      <c r="M36" s="2119"/>
      <c r="N36" s="2119"/>
      <c r="O36" s="2126"/>
      <c r="P36" s="3463"/>
      <c r="Q36" s="1558" t="str">
        <f t="shared" si="11"/>
        <v>公共部分装修</v>
      </c>
      <c r="R36" s="1559" t="s">
        <v>11</v>
      </c>
      <c r="S36" s="1560">
        <f t="shared" si="12"/>
        <v>100</v>
      </c>
      <c r="T36" s="1559" t="s">
        <v>11</v>
      </c>
      <c r="U36" s="1560">
        <f t="shared" si="13"/>
        <v>100</v>
      </c>
      <c r="V36" s="1559" t="s">
        <v>11</v>
      </c>
      <c r="W36" s="1560">
        <f t="shared" si="14"/>
        <v>100</v>
      </c>
      <c r="X36" s="1553"/>
      <c r="Y36" s="3463"/>
      <c r="Z36" s="1561" t="str">
        <f t="shared" si="15"/>
        <v>公共部分装修</v>
      </c>
      <c r="AA36" s="1562">
        <f t="shared" si="3"/>
        <v>1</v>
      </c>
      <c r="AB36" s="1562">
        <f t="shared" si="4"/>
        <v>1</v>
      </c>
      <c r="AC36" s="1562">
        <f t="shared" si="5"/>
        <v>1</v>
      </c>
    </row>
    <row r="37" spans="1:29" s="1216"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c r="L37" s="2120"/>
      <c r="M37" s="2121"/>
      <c r="N37" s="2121"/>
      <c r="O37" s="2122"/>
      <c r="P37" s="3463"/>
      <c r="Q37" s="1147" t="str">
        <f t="shared" si="11"/>
        <v>成新度</v>
      </c>
      <c r="R37" s="1554" t="s">
        <v>11</v>
      </c>
      <c r="S37" s="1555">
        <f t="shared" si="12"/>
        <v>100</v>
      </c>
      <c r="T37" s="1554" t="s">
        <v>11</v>
      </c>
      <c r="U37" s="1555">
        <f t="shared" si="13"/>
        <v>100</v>
      </c>
      <c r="V37" s="1554" t="s">
        <v>11</v>
      </c>
      <c r="W37" s="1555">
        <f t="shared" si="14"/>
        <v>100</v>
      </c>
      <c r="X37" s="1556"/>
      <c r="Y37" s="3463"/>
      <c r="Z37" s="1146" t="str">
        <f t="shared" si="15"/>
        <v>成新度</v>
      </c>
      <c r="AA37" s="1557">
        <f t="shared" si="3"/>
        <v>1</v>
      </c>
      <c r="AB37" s="1557">
        <f t="shared" si="4"/>
        <v>1</v>
      </c>
      <c r="AC37" s="1557">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7"/>
      <c r="M38" s="2119"/>
      <c r="N38" s="2119"/>
      <c r="O38" s="2126"/>
      <c r="P38" s="3463" t="s">
        <v>550</v>
      </c>
      <c r="Q38" s="1558" t="str">
        <f t="shared" si="11"/>
        <v>物业管理</v>
      </c>
      <c r="R38" s="1559" t="s">
        <v>11</v>
      </c>
      <c r="S38" s="1560">
        <f t="shared" si="12"/>
        <v>100</v>
      </c>
      <c r="T38" s="1559" t="s">
        <v>11</v>
      </c>
      <c r="U38" s="1560">
        <f t="shared" si="13"/>
        <v>100</v>
      </c>
      <c r="V38" s="1559" t="s">
        <v>11</v>
      </c>
      <c r="W38" s="1560">
        <f t="shared" si="14"/>
        <v>100</v>
      </c>
      <c r="X38" s="1553"/>
      <c r="Y38" s="3463" t="s">
        <v>550</v>
      </c>
      <c r="Z38" s="1561" t="str">
        <f t="shared" si="15"/>
        <v>物业管理</v>
      </c>
      <c r="AA38" s="1562">
        <f t="shared" si="3"/>
        <v>1</v>
      </c>
      <c r="AB38" s="1562">
        <f t="shared" si="4"/>
        <v>1</v>
      </c>
      <c r="AC38" s="1562">
        <f t="shared" si="5"/>
        <v>1</v>
      </c>
    </row>
    <row r="39" spans="1:29" ht="15">
      <c r="A39" s="594"/>
      <c r="B39" s="1880" t="s">
        <v>2561</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7"/>
      <c r="M39" s="2119"/>
      <c r="N39" s="2119"/>
      <c r="O39" s="2126"/>
      <c r="P39" s="3463"/>
      <c r="Q39" s="1558" t="str">
        <f t="shared" si="11"/>
        <v>市政基础设施</v>
      </c>
      <c r="R39" s="1559" t="s">
        <v>11</v>
      </c>
      <c r="S39" s="1560">
        <f t="shared" si="12"/>
        <v>100</v>
      </c>
      <c r="T39" s="1559" t="s">
        <v>11</v>
      </c>
      <c r="U39" s="1560">
        <f t="shared" si="13"/>
        <v>100</v>
      </c>
      <c r="V39" s="1559" t="s">
        <v>11</v>
      </c>
      <c r="W39" s="1560">
        <f t="shared" si="14"/>
        <v>100</v>
      </c>
      <c r="X39" s="1553"/>
      <c r="Y39" s="3463"/>
      <c r="Z39" s="1561" t="str">
        <f t="shared" si="15"/>
        <v>市政基础设施</v>
      </c>
      <c r="AA39" s="1562">
        <f t="shared" si="3"/>
        <v>1</v>
      </c>
      <c r="AB39" s="1562">
        <f t="shared" si="4"/>
        <v>1</v>
      </c>
      <c r="AC39" s="1562">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3463"/>
      <c r="Q40" s="1558" t="str">
        <f t="shared" si="11"/>
        <v>房型</v>
      </c>
      <c r="R40" s="1559" t="s">
        <v>11</v>
      </c>
      <c r="S40" s="1560">
        <f t="shared" si="12"/>
        <v>100</v>
      </c>
      <c r="T40" s="1559" t="s">
        <v>11</v>
      </c>
      <c r="U40" s="1560">
        <f t="shared" si="13"/>
        <v>100</v>
      </c>
      <c r="V40" s="1559" t="s">
        <v>11</v>
      </c>
      <c r="W40" s="1560">
        <f t="shared" si="14"/>
        <v>100</v>
      </c>
      <c r="X40" s="1553"/>
      <c r="Y40" s="3463"/>
      <c r="Z40" s="1561" t="str">
        <f t="shared" si="15"/>
        <v>房型</v>
      </c>
      <c r="AA40" s="1562">
        <f t="shared" si="3"/>
        <v>1</v>
      </c>
      <c r="AB40" s="1562">
        <f t="shared" si="4"/>
        <v>1</v>
      </c>
      <c r="AC40" s="1562">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5"/>
      <c r="M41" s="2156"/>
      <c r="N41" s="2156"/>
      <c r="O41" s="2128"/>
      <c r="P41" s="3463"/>
      <c r="Q41" s="1590" t="str">
        <f t="shared" si="11"/>
        <v>单套/主力户型建筑面积</v>
      </c>
      <c r="R41" s="1563" t="s">
        <v>11</v>
      </c>
      <c r="S41" s="1564">
        <f t="shared" si="12"/>
        <v>100</v>
      </c>
      <c r="T41" s="1563" t="s">
        <v>11</v>
      </c>
      <c r="U41" s="1564">
        <f t="shared" si="13"/>
        <v>100</v>
      </c>
      <c r="V41" s="1563" t="s">
        <v>11</v>
      </c>
      <c r="W41" s="1564">
        <f t="shared" si="14"/>
        <v>100</v>
      </c>
      <c r="X41" s="1565"/>
      <c r="Y41" s="3463"/>
      <c r="Z41" s="1566" t="str">
        <f t="shared" si="15"/>
        <v>单套/主力户型建筑面积</v>
      </c>
      <c r="AA41" s="1562">
        <f t="shared" si="3"/>
        <v>1</v>
      </c>
      <c r="AB41" s="1562">
        <f t="shared" si="4"/>
        <v>1</v>
      </c>
      <c r="AC41" s="1562">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7"/>
      <c r="M42" s="2119"/>
      <c r="N42" s="2119"/>
      <c r="O42" s="2126"/>
      <c r="P42" s="3463"/>
      <c r="Q42" s="1558" t="str">
        <f t="shared" si="11"/>
        <v>内部装修</v>
      </c>
      <c r="R42" s="1559" t="s">
        <v>11</v>
      </c>
      <c r="S42" s="1560">
        <f t="shared" si="12"/>
        <v>100</v>
      </c>
      <c r="T42" s="1559" t="s">
        <v>11</v>
      </c>
      <c r="U42" s="1560">
        <f t="shared" si="13"/>
        <v>100</v>
      </c>
      <c r="V42" s="1559" t="s">
        <v>11</v>
      </c>
      <c r="W42" s="1560">
        <f t="shared" si="14"/>
        <v>100</v>
      </c>
      <c r="X42" s="1553"/>
      <c r="Y42" s="3463"/>
      <c r="Z42" s="1561" t="str">
        <f t="shared" si="15"/>
        <v>内部装修</v>
      </c>
      <c r="AA42" s="1562">
        <f t="shared" si="3"/>
        <v>1</v>
      </c>
      <c r="AB42" s="1562">
        <f t="shared" si="4"/>
        <v>1</v>
      </c>
      <c r="AC42" s="1562">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7"/>
      <c r="M43" s="2119"/>
      <c r="N43" s="2119"/>
      <c r="O43" s="2126"/>
      <c r="P43" s="3463"/>
      <c r="Q43" s="1558" t="str">
        <f t="shared" si="11"/>
        <v>内部装修维护情况</v>
      </c>
      <c r="R43" s="1559" t="s">
        <v>11</v>
      </c>
      <c r="S43" s="1560">
        <f t="shared" si="12"/>
        <v>100</v>
      </c>
      <c r="T43" s="1559" t="s">
        <v>11</v>
      </c>
      <c r="U43" s="1560">
        <f t="shared" si="13"/>
        <v>100</v>
      </c>
      <c r="V43" s="1559" t="s">
        <v>11</v>
      </c>
      <c r="W43" s="1560">
        <f t="shared" si="14"/>
        <v>100</v>
      </c>
      <c r="X43" s="1553"/>
      <c r="Y43" s="3463"/>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3463"/>
      <c r="Q44" s="1147">
        <f t="shared" si="11"/>
        <v>111</v>
      </c>
      <c r="R44" s="1554" t="s">
        <v>11</v>
      </c>
      <c r="S44" s="1555">
        <f t="shared" si="12"/>
        <v>100</v>
      </c>
      <c r="T44" s="1554" t="s">
        <v>11</v>
      </c>
      <c r="U44" s="1555">
        <f t="shared" si="13"/>
        <v>100</v>
      </c>
      <c r="V44" s="1554" t="s">
        <v>11</v>
      </c>
      <c r="W44" s="1555">
        <f t="shared" si="14"/>
        <v>100</v>
      </c>
      <c r="X44" s="1556"/>
      <c r="Y44" s="3463"/>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463"/>
      <c r="Q45" s="1558">
        <f t="shared" si="11"/>
        <v>111</v>
      </c>
      <c r="R45" s="1559" t="s">
        <v>11</v>
      </c>
      <c r="S45" s="1560">
        <f t="shared" si="12"/>
        <v>100</v>
      </c>
      <c r="T45" s="1559" t="s">
        <v>11</v>
      </c>
      <c r="U45" s="1560">
        <f t="shared" si="13"/>
        <v>100</v>
      </c>
      <c r="V45" s="1559" t="s">
        <v>11</v>
      </c>
      <c r="W45" s="1560">
        <f t="shared" si="14"/>
        <v>100</v>
      </c>
      <c r="X45" s="1553"/>
      <c r="Y45" s="3463"/>
      <c r="Z45" s="1561">
        <f t="shared" si="15"/>
        <v>111</v>
      </c>
      <c r="AA45" s="1562">
        <f t="shared" si="3"/>
        <v>1</v>
      </c>
      <c r="AB45" s="1562">
        <f t="shared" si="4"/>
        <v>1</v>
      </c>
      <c r="AC45" s="1562">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544"/>
      <c r="Q46" s="1558">
        <f t="shared" si="11"/>
        <v>111</v>
      </c>
      <c r="R46" s="1559" t="s">
        <v>10</v>
      </c>
      <c r="S46" s="1560">
        <f t="shared" si="12"/>
        <v>100</v>
      </c>
      <c r="T46" s="1559" t="s">
        <v>10</v>
      </c>
      <c r="U46" s="1560">
        <f t="shared" si="13"/>
        <v>100</v>
      </c>
      <c r="V46" s="1559" t="s">
        <v>10</v>
      </c>
      <c r="W46" s="1560">
        <f t="shared" si="14"/>
        <v>100</v>
      </c>
      <c r="X46" s="1553"/>
      <c r="Y46" s="3544"/>
      <c r="Z46" s="1561">
        <f t="shared" si="15"/>
        <v>111</v>
      </c>
      <c r="AA46" s="1562">
        <f t="shared" si="3"/>
        <v>1</v>
      </c>
      <c r="AB46" s="1562">
        <f t="shared" si="4"/>
        <v>1</v>
      </c>
      <c r="AC46" s="1562">
        <f t="shared" si="5"/>
        <v>1</v>
      </c>
    </row>
    <row r="47" spans="1:29" ht="15">
      <c r="A47" s="607" t="s">
        <v>736</v>
      </c>
      <c r="B47" s="887"/>
      <c r="C47" s="2591" t="s">
        <v>9</v>
      </c>
      <c r="D47" s="2592"/>
      <c r="E47" s="2593">
        <v>17000</v>
      </c>
      <c r="F47" s="2594"/>
      <c r="G47" s="2595">
        <v>16000</v>
      </c>
      <c r="H47" s="2596"/>
      <c r="I47" s="2593">
        <v>16800</v>
      </c>
      <c r="J47" s="2596"/>
      <c r="K47" s="1591"/>
      <c r="L47" s="2129"/>
      <c r="M47" s="2130"/>
      <c r="N47" s="2119"/>
      <c r="O47" s="2130"/>
      <c r="P47" s="3424" t="str">
        <f>A47</f>
        <v>成交单价（元/平方米）</v>
      </c>
      <c r="Q47" s="3424"/>
      <c r="R47" s="3542">
        <f>E47</f>
        <v>17000</v>
      </c>
      <c r="S47" s="3542"/>
      <c r="T47" s="3542">
        <f>G47</f>
        <v>16000</v>
      </c>
      <c r="U47" s="3542"/>
      <c r="V47" s="3542">
        <f>I47</f>
        <v>16800</v>
      </c>
      <c r="W47" s="3542"/>
      <c r="X47" s="1545"/>
      <c r="Y47" s="1567"/>
      <c r="Z47" s="1545"/>
      <c r="AA47" s="1545"/>
      <c r="AB47" s="1545"/>
      <c r="AC47" s="1545"/>
    </row>
    <row r="48" spans="1:29" ht="15.75" thickBot="1">
      <c r="A48" s="615" t="s">
        <v>2757</v>
      </c>
      <c r="B48" s="888"/>
      <c r="C48" s="2597">
        <f>R49</f>
        <v>14019</v>
      </c>
      <c r="D48" s="2598"/>
      <c r="E48" s="2599">
        <f>R48</f>
        <v>14682</v>
      </c>
      <c r="F48" s="2599"/>
      <c r="G48" s="2597">
        <f>T48</f>
        <v>13550</v>
      </c>
      <c r="H48" s="2598"/>
      <c r="I48" s="2599">
        <f>V48</f>
        <v>13825</v>
      </c>
      <c r="J48" s="2598"/>
      <c r="K48" s="1592"/>
      <c r="L48" s="2129"/>
      <c r="M48" s="2130"/>
      <c r="N48" s="2130"/>
      <c r="O48" s="2130"/>
      <c r="P48" s="3424" t="str">
        <f>A48</f>
        <v>比较价格（元/平方米）</v>
      </c>
      <c r="Q48" s="3424"/>
      <c r="R48" s="3542">
        <f>IF(F1="售价",ROUND(PRODUCT(R47,AA7:AA46),0),ROUND(PRODUCT(R47,AA7:AA46),1))</f>
        <v>14682</v>
      </c>
      <c r="S48" s="3542"/>
      <c r="T48" s="3542">
        <f>IF(F1="售价",ROUND(PRODUCT(T47,AB7:AB46),0),ROUND(PRODUCT(T47,AB7:AB46),1))</f>
        <v>13550</v>
      </c>
      <c r="U48" s="3542"/>
      <c r="V48" s="3542">
        <f>IF(F1="售价",ROUND(PRODUCT(V47,AC7:AC46),0),ROUND(PRODUCT(V47,AC7:AC46),1))</f>
        <v>13825</v>
      </c>
      <c r="W48" s="3542"/>
      <c r="X48" s="1545"/>
      <c r="Y48" s="1545"/>
      <c r="Z48" s="1545"/>
      <c r="AA48" s="1545"/>
      <c r="AB48" s="1545"/>
      <c r="AC48" s="1545"/>
    </row>
    <row r="49" spans="1:29" ht="15.75" thickBot="1">
      <c r="A49" s="621" t="s">
        <v>2928</v>
      </c>
      <c r="B49" s="622"/>
      <c r="C49" s="2600">
        <f>R49</f>
        <v>14019</v>
      </c>
      <c r="D49" s="2600"/>
      <c r="E49" s="2600"/>
      <c r="F49" s="2600"/>
      <c r="G49" s="2600"/>
      <c r="H49" s="2600"/>
      <c r="I49" s="2600"/>
      <c r="J49" s="2600"/>
      <c r="K49" s="1593"/>
      <c r="L49" s="2129"/>
      <c r="M49" s="2130"/>
      <c r="N49" s="2130"/>
      <c r="O49" s="2130"/>
      <c r="P49" s="3421" t="str">
        <f>A49</f>
        <v>估价对象XX用房的比较价格（楼面单价，元/平方米）</v>
      </c>
      <c r="Q49" s="3422"/>
      <c r="R49" s="3543">
        <f>IF(F1="售价",ROUND(AVERAGE(R48:V48),0),ROUND(AVERAGE(R48:V48),1))</f>
        <v>14019</v>
      </c>
      <c r="S49" s="3543"/>
      <c r="T49" s="3543"/>
      <c r="U49" s="3543"/>
      <c r="V49" s="3543"/>
      <c r="W49" s="3543"/>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f>IF(E47&lt;E48,E48/E47-1,E47/E48-1)</f>
        <v>0.15788039776597196</v>
      </c>
      <c r="F52" s="627" t="str">
        <f>IF(OR(E52&gt;=0.3,E52&lt;=-0.3),"超过30%","")</f>
        <v/>
      </c>
      <c r="G52" s="626">
        <f>IF(G47&lt;G48,G48/G47-1,G47/G48-1)</f>
        <v>0.18081180811808117</v>
      </c>
      <c r="H52" s="627" t="str">
        <f>IF(OR(G52&gt;=0.3,G52&lt;=-0.3),"超过30%","")</f>
        <v/>
      </c>
      <c r="I52" s="626">
        <f>IF(I47&lt;I48,I48/I47-1,I47/I48-1)</f>
        <v>0.21518987341772156</v>
      </c>
      <c r="J52" s="627" t="str">
        <f>IF(OR(I52&gt;=0.3,I52&lt;=-0.3),"超过30%","")</f>
        <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f>IF(E48&lt;G48,G48/E48-1,E48/G48-1)</f>
        <v>8.3542435424354133E-2</v>
      </c>
      <c r="F53" s="627" t="str">
        <f>IF(OR(E53&gt;=0.2,E53&lt;=-0.2),"超过20%","")</f>
        <v/>
      </c>
      <c r="G53" s="626">
        <f>IF(G48&lt;I48,I48/G48-1,G48/I48-1)</f>
        <v>2.0295202952029578E-2</v>
      </c>
      <c r="H53" s="627" t="str">
        <f>IF(OR(G53&gt;=0.2,G53&lt;=-0.2),"超过20%","")</f>
        <v/>
      </c>
      <c r="I53" s="626">
        <f>IF(I48&lt;E48,E48/I48-1,I48/E48-1)</f>
        <v>6.1989150090415945E-2</v>
      </c>
      <c r="J53" s="627" t="str">
        <f>IF(OR(I53&gt;=0.2,I53&lt;=-0.2),"超过20%","")</f>
        <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f>IF(E47&lt;G47,G47/E47-1,E47/G47-1)</f>
        <v>6.25E-2</v>
      </c>
      <c r="F54" s="627" t="str">
        <f>IF(OR(E54&gt;=0.3,E54&lt;=-0.3),"超过30%","")</f>
        <v/>
      </c>
      <c r="G54" s="626">
        <f>IF(G47&lt;I47,I47/G47-1,G47/I47-1)</f>
        <v>5.0000000000000044E-2</v>
      </c>
      <c r="H54" s="627" t="str">
        <f>IF(OR(G54&gt;=0.3,G54&lt;=-0.3),"超过30%","")</f>
        <v/>
      </c>
      <c r="I54" s="626">
        <f>IF(I47&lt;E47,E47/I47-1,I47/E47-1)</f>
        <v>1.1904761904761862E-2</v>
      </c>
      <c r="J54" s="627" t="str">
        <f>IF(OR(I54&gt;=0.3,I54&lt;=-0.3),"超过30%","")</f>
        <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5">
      <c r="A58" s="645" t="s">
        <v>529</v>
      </c>
      <c r="B58" s="646"/>
      <c r="C58" s="2759" t="str">
        <f>YEAR(C7)&amp;"-"&amp;MONTH(C7)</f>
        <v>2020-2</v>
      </c>
      <c r="D58" s="2759">
        <f>EDATE(C58,-1)</f>
        <v>43831</v>
      </c>
      <c r="E58" s="2759">
        <f t="shared" ref="E58:O58" si="16">EDATE(D58,-1)</f>
        <v>43800</v>
      </c>
      <c r="F58" s="2759">
        <f t="shared" si="16"/>
        <v>43770</v>
      </c>
      <c r="G58" s="2759">
        <f t="shared" si="16"/>
        <v>43739</v>
      </c>
      <c r="H58" s="2759">
        <f t="shared" si="16"/>
        <v>43709</v>
      </c>
      <c r="I58" s="2759">
        <f t="shared" si="16"/>
        <v>43678</v>
      </c>
      <c r="J58" s="2759">
        <f t="shared" si="16"/>
        <v>43647</v>
      </c>
      <c r="K58" s="2759">
        <f t="shared" si="16"/>
        <v>43617</v>
      </c>
      <c r="L58" s="2759">
        <f t="shared" si="16"/>
        <v>43586</v>
      </c>
      <c r="M58" s="2759">
        <f t="shared" si="16"/>
        <v>43556</v>
      </c>
      <c r="N58" s="2759">
        <f t="shared" si="16"/>
        <v>43525</v>
      </c>
      <c r="O58" s="2759">
        <f t="shared" si="16"/>
        <v>43497</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c r="A63" s="664" t="s">
        <v>577</v>
      </c>
      <c r="B63" s="665" t="s">
        <v>534</v>
      </c>
      <c r="C63" s="704" t="str">
        <f>C9</f>
        <v>住宅</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v>100</v>
      </c>
      <c r="D64" s="671"/>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v>
      </c>
      <c r="H67" s="682" t="str">
        <f t="shared" si="18"/>
        <v>（含）-</v>
      </c>
      <c r="I67" s="682" t="str">
        <f t="shared" si="18"/>
        <v>（含）-</v>
      </c>
      <c r="J67" s="682" t="str">
        <f t="shared" si="18"/>
        <v>（含）-</v>
      </c>
      <c r="K67" s="682" t="str">
        <f t="shared" si="18"/>
        <v>（含）-</v>
      </c>
      <c r="L67" s="682" t="str">
        <f t="shared" si="18"/>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3237">
        <v>0</v>
      </c>
      <c r="D68" s="3237">
        <v>1</v>
      </c>
      <c r="E68" s="3237">
        <v>2</v>
      </c>
      <c r="F68" s="3237">
        <v>3</v>
      </c>
      <c r="G68" s="3237">
        <v>4</v>
      </c>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94</v>
      </c>
      <c r="E77" s="679">
        <f>D77-$K15</f>
        <v>88</v>
      </c>
      <c r="F77" s="679">
        <f>E77-$K15</f>
        <v>82</v>
      </c>
      <c r="G77" s="679">
        <f>F77-$K15</f>
        <v>76</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95</v>
      </c>
      <c r="E79" s="679">
        <f>D79-$K17</f>
        <v>90</v>
      </c>
      <c r="F79" s="679">
        <f>E79-$K17</f>
        <v>85</v>
      </c>
      <c r="G79" s="679">
        <f>F79-$K17</f>
        <v>80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2554</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2555</v>
      </c>
      <c r="C82" s="2562" t="s">
        <v>2556</v>
      </c>
      <c r="D82" s="2562" t="s">
        <v>2557</v>
      </c>
      <c r="E82" s="2562" t="s">
        <v>2558</v>
      </c>
      <c r="F82" s="2562" t="s">
        <v>2559</v>
      </c>
      <c r="G82" s="2562" t="s">
        <v>2560</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97</v>
      </c>
      <c r="E85" s="679">
        <f>D85-$K23</f>
        <v>94</v>
      </c>
      <c r="F85" s="679">
        <f>E85-$K23</f>
        <v>91</v>
      </c>
      <c r="G85" s="679">
        <f>F85-$K23</f>
        <v>88</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1881" t="s">
        <v>2257</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
        <v>746</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道路级别</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692"/>
      <c r="D91" s="692"/>
      <c r="E91" s="692"/>
      <c r="F91" s="692"/>
      <c r="G91" s="692"/>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5.75"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747</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1"/>
      <c r="O101" s="2151"/>
      <c r="P101" s="2150"/>
      <c r="Q101" s="2143"/>
      <c r="R101" s="2130"/>
      <c r="S101" s="2130"/>
      <c r="T101" s="2130"/>
      <c r="U101" s="2130"/>
      <c r="V101" s="2130"/>
      <c r="W101" s="2130"/>
      <c r="X101" s="2130"/>
      <c r="Y101" s="2130"/>
      <c r="Z101" s="2130"/>
      <c r="AA101" s="2130"/>
      <c r="AB101" s="2130"/>
      <c r="AC101" s="2130"/>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500000(含)-600000</v>
      </c>
      <c r="I102" s="708" t="str">
        <f t="shared" si="23"/>
        <v>600000(含)-700000</v>
      </c>
      <c r="J102" s="708" t="str">
        <f t="shared" si="23"/>
        <v>700000(含)-</v>
      </c>
      <c r="K102" s="708" t="str">
        <f t="shared" si="23"/>
        <v>(含)-</v>
      </c>
      <c r="L102" s="708" t="str">
        <f t="shared" si="23"/>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3250">
        <v>0</v>
      </c>
      <c r="D103" s="3250">
        <v>100000</v>
      </c>
      <c r="E103" s="3250">
        <v>200000</v>
      </c>
      <c r="F103" s="3250">
        <v>300000</v>
      </c>
      <c r="G103" s="3250">
        <v>400000</v>
      </c>
      <c r="H103" s="3250">
        <v>500000</v>
      </c>
      <c r="I103" s="3250">
        <v>600000</v>
      </c>
      <c r="J103" s="3251">
        <v>700000</v>
      </c>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3249">
        <v>100</v>
      </c>
      <c r="D104" s="3248">
        <v>101</v>
      </c>
      <c r="E104" s="3248">
        <v>102</v>
      </c>
      <c r="F104" s="3248">
        <v>103</v>
      </c>
      <c r="G104" s="3248">
        <v>104</v>
      </c>
      <c r="H104" s="3248">
        <v>105</v>
      </c>
      <c r="I104" s="3248">
        <v>106</v>
      </c>
      <c r="J104" s="3248">
        <v>107</v>
      </c>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718"/>
      <c r="D107" s="718"/>
      <c r="E107" s="71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688"/>
      <c r="D109" s="688"/>
      <c r="E109" s="688"/>
      <c r="F109" s="718"/>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1"/>
      <c r="O110" s="2151"/>
      <c r="P110" s="2150"/>
      <c r="Q110" s="2143"/>
      <c r="R110" s="2130"/>
      <c r="S110" s="2130"/>
      <c r="T110" s="2130"/>
      <c r="U110" s="2130"/>
      <c r="V110" s="2130"/>
      <c r="W110" s="2130"/>
      <c r="X110" s="2130"/>
      <c r="Y110" s="2130"/>
      <c r="Z110" s="2130"/>
      <c r="AA110" s="2130"/>
      <c r="AB110" s="2130"/>
      <c r="AC110" s="2130"/>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5"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2553</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754</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1"/>
      <c r="O119" s="2151"/>
      <c r="P119" s="2150"/>
      <c r="Q119" s="2143"/>
      <c r="R119" s="2130"/>
      <c r="S119" s="2130"/>
      <c r="T119" s="2130"/>
      <c r="U119" s="2130"/>
      <c r="V119" s="2130"/>
      <c r="W119" s="2130"/>
      <c r="X119" s="2130"/>
      <c r="Y119" s="2130"/>
      <c r="Z119" s="2130"/>
      <c r="AA119" s="2130"/>
      <c r="AB119" s="2130"/>
      <c r="AC119" s="2130"/>
    </row>
    <row r="120" spans="1:29" s="1335" customFormat="1" ht="28.5" thickTop="1">
      <c r="A120" s="728"/>
      <c r="B120" s="673" t="s">
        <v>733</v>
      </c>
      <c r="C120" s="688"/>
      <c r="D120" s="688"/>
      <c r="E120" s="688"/>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692"/>
      <c r="D121" s="671"/>
      <c r="E121" s="671"/>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2258</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2259</v>
      </c>
      <c r="C137" s="1904"/>
      <c r="D137" s="1904"/>
      <c r="E137" s="1904"/>
      <c r="F137" s="1904"/>
      <c r="G137" s="1905"/>
      <c r="H137" s="1906"/>
      <c r="I137" s="1907" t="s">
        <v>2260</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2261</v>
      </c>
      <c r="D138" s="1910" t="s">
        <v>2262</v>
      </c>
      <c r="E138" s="1911" t="s">
        <v>2263</v>
      </c>
      <c r="F138" s="1912" t="s">
        <v>2264</v>
      </c>
      <c r="G138" s="1910" t="s">
        <v>2265</v>
      </c>
      <c r="H138" s="1913" t="s">
        <v>2266</v>
      </c>
      <c r="I138" s="1914"/>
      <c r="J138" s="1910" t="s">
        <v>2267</v>
      </c>
      <c r="K138" s="1913" t="s">
        <v>2268</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2269</v>
      </c>
      <c r="E139" s="1884">
        <v>100</v>
      </c>
      <c r="F139" s="1885">
        <v>102.5</v>
      </c>
      <c r="G139" s="1915" t="s">
        <v>2270</v>
      </c>
      <c r="H139" s="1886">
        <v>105</v>
      </c>
      <c r="I139" s="1916" t="s">
        <v>2271</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2272</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2273</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2274</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2275</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2276</v>
      </c>
      <c r="E144" s="1890">
        <v>102</v>
      </c>
      <c r="F144" s="1896">
        <v>100</v>
      </c>
      <c r="G144" s="1919" t="s">
        <v>2276</v>
      </c>
      <c r="H144" s="1892">
        <v>105</v>
      </c>
      <c r="I144" s="1918" t="s">
        <v>2275</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2277</v>
      </c>
      <c r="C145" s="1897">
        <f>ROUND(MAX(C139:C144)/MIN(C139:C144)-1,3)</f>
        <v>7.2999999999999995E-2</v>
      </c>
      <c r="D145" s="1921"/>
      <c r="E145" s="1921"/>
      <c r="F145" s="1922" t="s">
        <v>2278</v>
      </c>
      <c r="G145" s="1923"/>
      <c r="H145" s="1924"/>
      <c r="I145" s="1925" t="s">
        <v>2275</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2287</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2288</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AA4:AA6"/>
    <mergeCell ref="AB4:AB6"/>
    <mergeCell ref="Y7:Z7"/>
    <mergeCell ref="R4:S6"/>
    <mergeCell ref="C6:D6"/>
    <mergeCell ref="E6:F6"/>
    <mergeCell ref="G6:H6"/>
    <mergeCell ref="G5:H5"/>
    <mergeCell ref="I5:J5"/>
    <mergeCell ref="E5:F5"/>
    <mergeCell ref="P9:P14"/>
    <mergeCell ref="Y9:Y14"/>
    <mergeCell ref="AC4:AC6"/>
    <mergeCell ref="C4:D4"/>
    <mergeCell ref="E4:F4"/>
    <mergeCell ref="G4:H4"/>
    <mergeCell ref="I4:J4"/>
    <mergeCell ref="P4:Q6"/>
    <mergeCell ref="T4:U6"/>
    <mergeCell ref="V4:W6"/>
    <mergeCell ref="I6:J6"/>
    <mergeCell ref="P8:Q8"/>
    <mergeCell ref="Y8:Z8"/>
    <mergeCell ref="Y4:Z6"/>
    <mergeCell ref="P7:Q7"/>
    <mergeCell ref="C5:D5"/>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4"/>
      <c r="E1" s="506"/>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519</v>
      </c>
      <c r="B3" s="510" t="e">
        <f>C49</f>
        <v>#DIV/0!</v>
      </c>
      <c r="C3" s="852" t="s">
        <v>722</v>
      </c>
      <c r="D3" s="851">
        <f>SUMIF('数据-汇总表'!$C19:$C33,D1,'数据-汇总表'!$E19:$E33)</f>
        <v>0</v>
      </c>
      <c r="E3" s="2046"/>
      <c r="F3" s="2114"/>
      <c r="G3" s="2113"/>
      <c r="H3" s="2113"/>
      <c r="I3" s="2113"/>
      <c r="J3" s="2113"/>
      <c r="K3" s="2115"/>
      <c r="L3" s="2116"/>
      <c r="M3" s="2117"/>
      <c r="N3" s="2117"/>
      <c r="O3" s="2117"/>
      <c r="P3" s="1550"/>
      <c r="Q3" s="1550"/>
      <c r="R3" s="1550"/>
      <c r="S3" s="1550"/>
      <c r="T3" s="1550"/>
      <c r="U3" s="1550"/>
      <c r="V3" s="1550"/>
      <c r="W3" s="1550"/>
      <c r="X3" s="1550"/>
      <c r="Y3" s="1550"/>
      <c r="Z3" s="1550"/>
      <c r="AA3" s="1550"/>
      <c r="AB3" s="1550"/>
      <c r="AC3" s="428"/>
    </row>
    <row r="4" spans="1:29" ht="15">
      <c r="A4" s="512" t="s">
        <v>521</v>
      </c>
      <c r="B4" s="513"/>
      <c r="C4" s="3430" t="s">
        <v>522</v>
      </c>
      <c r="D4" s="3431"/>
      <c r="E4" s="3466" t="s">
        <v>523</v>
      </c>
      <c r="F4" s="3467"/>
      <c r="G4" s="3430" t="s">
        <v>524</v>
      </c>
      <c r="H4" s="3431"/>
      <c r="I4" s="3430" t="s">
        <v>525</v>
      </c>
      <c r="J4" s="3431"/>
      <c r="K4" s="514" t="s">
        <v>526</v>
      </c>
      <c r="L4" s="2118"/>
      <c r="M4" s="2119"/>
      <c r="N4" s="2119"/>
      <c r="O4" s="2119"/>
      <c r="P4" s="3432" t="s">
        <v>527</v>
      </c>
      <c r="Q4" s="3433"/>
      <c r="R4" s="3438" t="s">
        <v>523</v>
      </c>
      <c r="S4" s="3439"/>
      <c r="T4" s="3438" t="s">
        <v>524</v>
      </c>
      <c r="U4" s="3439"/>
      <c r="V4" s="3425" t="s">
        <v>525</v>
      </c>
      <c r="W4" s="3425"/>
      <c r="X4" s="1553"/>
      <c r="Y4" s="3438" t="s">
        <v>527</v>
      </c>
      <c r="Z4" s="3439"/>
      <c r="AA4" s="3427" t="s">
        <v>523</v>
      </c>
      <c r="AB4" s="3425" t="s">
        <v>524</v>
      </c>
      <c r="AC4" s="3427" t="s">
        <v>525</v>
      </c>
    </row>
    <row r="5" spans="1:29" ht="15">
      <c r="A5" s="515"/>
      <c r="B5" s="516"/>
      <c r="C5" s="3446" t="s">
        <v>2922</v>
      </c>
      <c r="D5" s="3447"/>
      <c r="E5" s="3468" t="s">
        <v>2923</v>
      </c>
      <c r="F5" s="3469"/>
      <c r="G5" s="3446" t="s">
        <v>2924</v>
      </c>
      <c r="H5" s="3447"/>
      <c r="I5" s="3446" t="s">
        <v>2925</v>
      </c>
      <c r="J5" s="3447"/>
      <c r="K5" s="514"/>
      <c r="L5" s="2118"/>
      <c r="M5" s="2119"/>
      <c r="N5" s="2119"/>
      <c r="O5" s="2119"/>
      <c r="P5" s="3434"/>
      <c r="Q5" s="3435"/>
      <c r="R5" s="3440"/>
      <c r="S5" s="3441"/>
      <c r="T5" s="3440"/>
      <c r="U5" s="3441"/>
      <c r="V5" s="3425"/>
      <c r="W5" s="3425"/>
      <c r="X5" s="1553"/>
      <c r="Y5" s="3440"/>
      <c r="Z5" s="3441"/>
      <c r="AA5" s="3428"/>
      <c r="AB5" s="3425"/>
      <c r="AC5" s="3428"/>
    </row>
    <row r="6" spans="1:29" ht="15.75" thickBot="1">
      <c r="A6" s="517"/>
      <c r="B6" s="518"/>
      <c r="C6" s="3444" t="s">
        <v>2926</v>
      </c>
      <c r="D6" s="3445"/>
      <c r="E6" s="3464" t="s">
        <v>2926</v>
      </c>
      <c r="F6" s="3465"/>
      <c r="G6" s="3444" t="s">
        <v>2926</v>
      </c>
      <c r="H6" s="3445"/>
      <c r="I6" s="3444" t="s">
        <v>2926</v>
      </c>
      <c r="J6" s="3445"/>
      <c r="K6" s="514" t="s">
        <v>528</v>
      </c>
      <c r="L6" s="2118"/>
      <c r="M6" s="2119"/>
      <c r="N6" s="2119"/>
      <c r="O6" s="2119"/>
      <c r="P6" s="3436"/>
      <c r="Q6" s="3437"/>
      <c r="R6" s="3440"/>
      <c r="S6" s="3441"/>
      <c r="T6" s="3442"/>
      <c r="U6" s="3443"/>
      <c r="V6" s="3425"/>
      <c r="W6" s="3425"/>
      <c r="X6" s="1553"/>
      <c r="Y6" s="3442"/>
      <c r="Z6" s="3443"/>
      <c r="AA6" s="3429"/>
      <c r="AB6" s="3425"/>
      <c r="AC6" s="3429"/>
    </row>
    <row r="7" spans="1:29" s="1216" customFormat="1" ht="15.75" thickBot="1">
      <c r="A7" s="2867"/>
      <c r="B7" s="2874" t="s">
        <v>529</v>
      </c>
      <c r="C7" s="519">
        <f>'数据-取费表'!B2</f>
        <v>43868</v>
      </c>
      <c r="D7" s="520">
        <v>100</v>
      </c>
      <c r="E7" s="521"/>
      <c r="F7" s="522">
        <f>SUMIF(58:58,YEAR(E7)&amp;"-"&amp;MONTH(E7),59:59)</f>
        <v>0</v>
      </c>
      <c r="G7" s="521"/>
      <c r="H7" s="520">
        <f>SUMIF(58:58,YEAR(G7)&amp;"-"&amp;MONTH(G7),59:59)</f>
        <v>0</v>
      </c>
      <c r="I7" s="521"/>
      <c r="J7" s="520">
        <f>SUMIF(58:58,YEAR(I7)&amp;"-"&amp;MONTH(I7),59:59)</f>
        <v>0</v>
      </c>
      <c r="K7" s="524"/>
      <c r="L7" s="2120"/>
      <c r="M7" s="2121"/>
      <c r="N7" s="2121"/>
      <c r="O7" s="2121"/>
      <c r="P7" s="3457" t="s">
        <v>530</v>
      </c>
      <c r="Q7" s="3459"/>
      <c r="R7" s="1554" t="s">
        <v>8</v>
      </c>
      <c r="S7" s="1555">
        <f t="shared" ref="S7:S15" si="0">F7</f>
        <v>0</v>
      </c>
      <c r="T7" s="1554" t="s">
        <v>8</v>
      </c>
      <c r="U7" s="1555">
        <f t="shared" ref="U7:U15" si="1">H7</f>
        <v>0</v>
      </c>
      <c r="V7" s="1554" t="s">
        <v>8</v>
      </c>
      <c r="W7" s="1555">
        <f t="shared" ref="W7:W15" si="2">J7</f>
        <v>0</v>
      </c>
      <c r="X7" s="1556"/>
      <c r="Y7" s="3457" t="s">
        <v>530</v>
      </c>
      <c r="Z7" s="3458"/>
      <c r="AA7" s="1557" t="e">
        <f>D7/F7</f>
        <v>#DIV/0!</v>
      </c>
      <c r="AB7" s="1557" t="e">
        <f>D7/H7</f>
        <v>#DIV/0!</v>
      </c>
      <c r="AC7" s="1557" t="e">
        <f>D7/J7</f>
        <v>#DIV/0!</v>
      </c>
    </row>
    <row r="8" spans="1:29" s="1216" customFormat="1" ht="15.75" thickBot="1">
      <c r="A8" s="2868"/>
      <c r="B8" s="2875" t="s">
        <v>531</v>
      </c>
      <c r="C8" s="525" t="s">
        <v>576</v>
      </c>
      <c r="D8" s="520">
        <v>100</v>
      </c>
      <c r="E8" s="525"/>
      <c r="F8" s="522">
        <f>SUMIF(61:61,E8,62:62)-SUMIF(61:61,C8,62:62)+100</f>
        <v>0</v>
      </c>
      <c r="G8" s="525"/>
      <c r="H8" s="520">
        <f>SUMIF(61:61,G8,62:62)-SUMIF(61:61,C8,62:62)+100</f>
        <v>0</v>
      </c>
      <c r="I8" s="525"/>
      <c r="J8" s="520">
        <f>SUMIF(61:61,I8,62:62)-SUMIF(61:61,C8,62:62)+100</f>
        <v>0</v>
      </c>
      <c r="K8" s="524"/>
      <c r="L8" s="2120"/>
      <c r="M8" s="2121"/>
      <c r="N8" s="2121"/>
      <c r="O8" s="2121"/>
      <c r="P8" s="3457" t="s">
        <v>533</v>
      </c>
      <c r="Q8" s="3458"/>
      <c r="R8" s="1554" t="s">
        <v>8</v>
      </c>
      <c r="S8" s="1555">
        <f t="shared" si="0"/>
        <v>0</v>
      </c>
      <c r="T8" s="1554" t="s">
        <v>8</v>
      </c>
      <c r="U8" s="1555">
        <f t="shared" si="1"/>
        <v>0</v>
      </c>
      <c r="V8" s="1554" t="s">
        <v>8</v>
      </c>
      <c r="W8" s="1555">
        <f t="shared" si="2"/>
        <v>0</v>
      </c>
      <c r="X8" s="1556"/>
      <c r="Y8" s="3457" t="s">
        <v>533</v>
      </c>
      <c r="Z8" s="3458"/>
      <c r="AA8" s="1557" t="e">
        <f t="shared" ref="AA8:AA46" si="3">D8/F8</f>
        <v>#DIV/0!</v>
      </c>
      <c r="AB8" s="1557" t="e">
        <f t="shared" ref="AB8:AB46" si="4">D8/H8</f>
        <v>#DIV/0!</v>
      </c>
      <c r="AC8" s="1557" t="e">
        <f t="shared" ref="AC8:AC46" si="5">D8/J8</f>
        <v>#DIV/0!</v>
      </c>
    </row>
    <row r="9" spans="1:29" s="1216" customFormat="1" ht="15">
      <c r="A9" s="2869"/>
      <c r="B9" s="2876" t="s">
        <v>2753</v>
      </c>
      <c r="C9" s="857"/>
      <c r="D9" s="254">
        <v>100</v>
      </c>
      <c r="E9" s="860"/>
      <c r="F9" s="254">
        <f>SUMIF(63:63,E9,64:64)-SUMIF(63:63,C9,64:64)+100</f>
        <v>100</v>
      </c>
      <c r="G9" s="858"/>
      <c r="H9" s="254">
        <f>SUMIF(63:63,G9,64:64)-SUMIF(63:63,C9,64:64)+100</f>
        <v>100</v>
      </c>
      <c r="I9" s="858"/>
      <c r="J9" s="254">
        <f>SUMIF(63:63,I9,64:64)-SUMIF(63:63,C9,64:64)+100</f>
        <v>100</v>
      </c>
      <c r="K9" s="524"/>
      <c r="L9" s="2120"/>
      <c r="M9" s="2121"/>
      <c r="N9" s="2121"/>
      <c r="O9" s="2122"/>
      <c r="P9" s="3424" t="s">
        <v>535</v>
      </c>
      <c r="Q9" s="1147" t="str">
        <f t="shared" ref="Q9:Q15" si="6">B9</f>
        <v>用途</v>
      </c>
      <c r="R9" s="1554" t="s">
        <v>8</v>
      </c>
      <c r="S9" s="1555">
        <f t="shared" si="0"/>
        <v>100</v>
      </c>
      <c r="T9" s="1554" t="s">
        <v>8</v>
      </c>
      <c r="U9" s="1555">
        <f t="shared" si="1"/>
        <v>100</v>
      </c>
      <c r="V9" s="1554" t="s">
        <v>8</v>
      </c>
      <c r="W9" s="1555">
        <f t="shared" si="2"/>
        <v>100</v>
      </c>
      <c r="X9" s="1556"/>
      <c r="Y9" s="3370" t="s">
        <v>536</v>
      </c>
      <c r="Z9" s="1146" t="str">
        <f t="shared" ref="Z9:Z15" si="7">Q9</f>
        <v>用途</v>
      </c>
      <c r="AA9" s="1557">
        <f t="shared" si="3"/>
        <v>1</v>
      </c>
      <c r="AB9" s="1557">
        <f t="shared" si="4"/>
        <v>1</v>
      </c>
      <c r="AC9" s="1557">
        <f t="shared" si="5"/>
        <v>1</v>
      </c>
    </row>
    <row r="10" spans="1:29" s="1334" customFormat="1" ht="27">
      <c r="A10" s="2870"/>
      <c r="B10" s="2875" t="s">
        <v>2754</v>
      </c>
      <c r="C10" s="861"/>
      <c r="D10" s="255">
        <v>100</v>
      </c>
      <c r="E10" s="861"/>
      <c r="F10" s="255">
        <f>SUMIF(65:65,E10,66:66)-SUMIF(65:65,C10,66:66)+100</f>
        <v>100</v>
      </c>
      <c r="G10" s="862"/>
      <c r="H10" s="255">
        <f>SUMIF(65:65,G10,66:66)-SUMIF(65:65,C10,66:66)+100</f>
        <v>100</v>
      </c>
      <c r="I10" s="861"/>
      <c r="J10" s="255">
        <f>SUMIF(65:65,I10,66:66)-SUMIF(65:65,C10,66:66)+100</f>
        <v>100</v>
      </c>
      <c r="K10" s="584"/>
      <c r="L10" s="2123"/>
      <c r="M10" s="2163"/>
      <c r="N10" s="2163"/>
      <c r="O10" s="2124"/>
      <c r="P10" s="3424"/>
      <c r="Q10" s="1147" t="str">
        <f t="shared" si="6"/>
        <v>土地使用年限（年）</v>
      </c>
      <c r="R10" s="1554" t="s">
        <v>8</v>
      </c>
      <c r="S10" s="1555">
        <f t="shared" si="0"/>
        <v>100</v>
      </c>
      <c r="T10" s="1554" t="s">
        <v>8</v>
      </c>
      <c r="U10" s="1555">
        <f t="shared" si="1"/>
        <v>100</v>
      </c>
      <c r="V10" s="1554" t="s">
        <v>8</v>
      </c>
      <c r="W10" s="1555">
        <f t="shared" si="2"/>
        <v>100</v>
      </c>
      <c r="X10" s="1556"/>
      <c r="Y10" s="3370"/>
      <c r="Z10" s="1146" t="str">
        <f t="shared" si="7"/>
        <v>土地使用年限（年）</v>
      </c>
      <c r="AA10" s="1557">
        <f t="shared" si="3"/>
        <v>1</v>
      </c>
      <c r="AB10" s="1557">
        <f t="shared" si="4"/>
        <v>1</v>
      </c>
      <c r="AC10" s="1557">
        <f t="shared" si="5"/>
        <v>1</v>
      </c>
    </row>
    <row r="11" spans="1:29" ht="15">
      <c r="A11" s="2871"/>
      <c r="B11" s="2875" t="s">
        <v>2755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5"/>
      <c r="M11" s="2119"/>
      <c r="N11" s="2119"/>
      <c r="O11" s="2126"/>
      <c r="P11" s="3424"/>
      <c r="Q11" s="1147" t="str">
        <f t="shared" si="6"/>
        <v>容积率</v>
      </c>
      <c r="R11" s="1554" t="s">
        <v>8</v>
      </c>
      <c r="S11" s="1555" t="e">
        <f t="shared" si="0"/>
        <v>#N/A</v>
      </c>
      <c r="T11" s="1554" t="s">
        <v>8</v>
      </c>
      <c r="U11" s="1555" t="e">
        <f t="shared" si="1"/>
        <v>#N/A</v>
      </c>
      <c r="V11" s="1554" t="s">
        <v>8</v>
      </c>
      <c r="W11" s="1555" t="e">
        <f t="shared" si="2"/>
        <v>#N/A</v>
      </c>
      <c r="X11" s="1556"/>
      <c r="Y11" s="3370"/>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39"/>
      <c r="F12" s="255">
        <f>SUMIF(70:70,E12,71:71)-SUMIF(70:70,C12,71:71)+100</f>
        <v>100</v>
      </c>
      <c r="G12" s="912"/>
      <c r="H12" s="255">
        <f>SUMIF(70:70,G12,71:71)-SUMIF(70:70,C12,71:71)+100</f>
        <v>100</v>
      </c>
      <c r="I12" s="539"/>
      <c r="J12" s="255">
        <f>SUMIF(70:70,I12,71:71)-SUMIF(70:70,C12,71:71)+100</f>
        <v>100</v>
      </c>
      <c r="K12" s="581"/>
      <c r="L12" s="2120"/>
      <c r="M12" s="2121"/>
      <c r="N12" s="2121"/>
      <c r="O12" s="2122"/>
      <c r="P12" s="3424"/>
      <c r="Q12" s="1147">
        <f t="shared" si="6"/>
        <v>111</v>
      </c>
      <c r="R12" s="1554" t="s">
        <v>8</v>
      </c>
      <c r="S12" s="1555">
        <f t="shared" si="0"/>
        <v>100</v>
      </c>
      <c r="T12" s="1554" t="s">
        <v>8</v>
      </c>
      <c r="U12" s="1555">
        <f t="shared" si="1"/>
        <v>100</v>
      </c>
      <c r="V12" s="1554" t="s">
        <v>8</v>
      </c>
      <c r="W12" s="1555">
        <f t="shared" si="2"/>
        <v>100</v>
      </c>
      <c r="X12" s="1556"/>
      <c r="Y12" s="3370"/>
      <c r="Z12" s="1146">
        <f t="shared" si="7"/>
        <v>111</v>
      </c>
      <c r="AA12" s="1557">
        <f>D12/F12</f>
        <v>1</v>
      </c>
      <c r="AB12" s="1557">
        <f>D12/H12</f>
        <v>1</v>
      </c>
      <c r="AC12" s="1557">
        <f>D12/J12</f>
        <v>1</v>
      </c>
    </row>
    <row r="13" spans="1:29" ht="15">
      <c r="A13" s="2872"/>
      <c r="B13" s="2878">
        <v>111</v>
      </c>
      <c r="C13" s="539"/>
      <c r="D13" s="540">
        <v>100</v>
      </c>
      <c r="E13" s="539"/>
      <c r="F13" s="255">
        <f>SUMIF(72:72,E13,73:73)-SUMIF(72:72,C13,73:73)+100</f>
        <v>100</v>
      </c>
      <c r="G13" s="912"/>
      <c r="H13" s="540">
        <f>SUMIF(72:72,G13,73:73)-SUMIF(72:72,C13,73:73)+100</f>
        <v>100</v>
      </c>
      <c r="I13" s="539"/>
      <c r="J13" s="540">
        <f>SUMIF(72:72,I13,73:73)-SUMIF(72:72,C13,73:73)+100</f>
        <v>100</v>
      </c>
      <c r="K13" s="581"/>
      <c r="L13" s="2127"/>
      <c r="M13" s="2119"/>
      <c r="N13" s="2119"/>
      <c r="O13" s="2126"/>
      <c r="P13" s="3424"/>
      <c r="Q13" s="1147">
        <f t="shared" si="6"/>
        <v>111</v>
      </c>
      <c r="R13" s="1554" t="s">
        <v>8</v>
      </c>
      <c r="S13" s="1555">
        <f t="shared" si="0"/>
        <v>100</v>
      </c>
      <c r="T13" s="1554" t="s">
        <v>8</v>
      </c>
      <c r="U13" s="1555">
        <f t="shared" si="1"/>
        <v>100</v>
      </c>
      <c r="V13" s="1554" t="s">
        <v>8</v>
      </c>
      <c r="W13" s="1555">
        <f t="shared" si="2"/>
        <v>100</v>
      </c>
      <c r="X13" s="1556"/>
      <c r="Y13" s="3370"/>
      <c r="Z13" s="1146">
        <f t="shared" si="7"/>
        <v>111</v>
      </c>
      <c r="AA13" s="1557">
        <f t="shared" si="3"/>
        <v>1</v>
      </c>
      <c r="AB13" s="1557">
        <f t="shared" si="4"/>
        <v>1</v>
      </c>
      <c r="AC13" s="1557">
        <f t="shared" si="5"/>
        <v>1</v>
      </c>
    </row>
    <row r="14" spans="1:29" ht="15.75" thickBot="1">
      <c r="A14" s="2873"/>
      <c r="B14" s="2879">
        <v>111</v>
      </c>
      <c r="C14" s="545"/>
      <c r="D14" s="546">
        <v>100</v>
      </c>
      <c r="E14" s="545"/>
      <c r="F14" s="546">
        <f>SUMIF(74:74,E14,75:75)-SUMIF(74:74,C14,75:75)+100</f>
        <v>100</v>
      </c>
      <c r="G14" s="912"/>
      <c r="H14" s="546">
        <f>SUMIF(74:74,G14,75:75)-SUMIF(74:74,C14,75:75)+100</f>
        <v>100</v>
      </c>
      <c r="I14" s="539"/>
      <c r="J14" s="546">
        <f>SUMIF(74:74,I14,75:75)-SUMIF(74:74,C14,75:75)+100</f>
        <v>100</v>
      </c>
      <c r="K14" s="581"/>
      <c r="L14" s="2127"/>
      <c r="M14" s="2119"/>
      <c r="N14" s="2119"/>
      <c r="O14" s="2126"/>
      <c r="P14" s="3424"/>
      <c r="Q14" s="1147">
        <f t="shared" si="6"/>
        <v>111</v>
      </c>
      <c r="R14" s="1554" t="s">
        <v>8</v>
      </c>
      <c r="S14" s="1555">
        <f t="shared" si="0"/>
        <v>100</v>
      </c>
      <c r="T14" s="1554" t="s">
        <v>8</v>
      </c>
      <c r="U14" s="1555">
        <f t="shared" si="1"/>
        <v>100</v>
      </c>
      <c r="V14" s="1554" t="s">
        <v>8</v>
      </c>
      <c r="W14" s="1555">
        <f t="shared" si="2"/>
        <v>100</v>
      </c>
      <c r="X14" s="1556"/>
      <c r="Y14" s="3370"/>
      <c r="Z14" s="1146">
        <f t="shared" si="7"/>
        <v>111</v>
      </c>
      <c r="AA14" s="1557">
        <f t="shared" si="3"/>
        <v>1</v>
      </c>
      <c r="AB14" s="1557">
        <f t="shared" si="4"/>
        <v>1</v>
      </c>
      <c r="AC14" s="1557">
        <f t="shared" si="5"/>
        <v>1</v>
      </c>
    </row>
    <row r="15" spans="1:29" ht="15">
      <c r="A15" s="2865" t="s">
        <v>2751</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127"/>
      <c r="M15" s="2119"/>
      <c r="N15" s="2119"/>
      <c r="O15" s="2126"/>
      <c r="P15" s="3460" t="s">
        <v>540</v>
      </c>
      <c r="Q15" s="1558" t="str">
        <f t="shared" si="6"/>
        <v>商业繁华度</v>
      </c>
      <c r="R15" s="1559" t="s">
        <v>8</v>
      </c>
      <c r="S15" s="1560">
        <f t="shared" si="0"/>
        <v>100</v>
      </c>
      <c r="T15" s="1559" t="s">
        <v>8</v>
      </c>
      <c r="U15" s="1560">
        <f t="shared" si="1"/>
        <v>100</v>
      </c>
      <c r="V15" s="1559" t="s">
        <v>8</v>
      </c>
      <c r="W15" s="1560">
        <f t="shared" si="2"/>
        <v>100</v>
      </c>
      <c r="X15" s="1553"/>
      <c r="Y15" s="3460" t="s">
        <v>540</v>
      </c>
      <c r="Z15" s="1561" t="str">
        <f t="shared" si="7"/>
        <v>商业繁华度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461"/>
      <c r="Q16" s="1558"/>
      <c r="R16" s="1559"/>
      <c r="S16" s="1560"/>
      <c r="T16" s="1559"/>
      <c r="U16" s="1560"/>
      <c r="V16" s="1559"/>
      <c r="W16" s="1560"/>
      <c r="X16" s="1553"/>
      <c r="Y16" s="3461"/>
      <c r="Z16" s="1561"/>
      <c r="AA16" s="1562">
        <v>1</v>
      </c>
      <c r="AB16" s="1562">
        <v>1</v>
      </c>
      <c r="AC16" s="1562">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98"/>
      <c r="L17" s="2127"/>
      <c r="M17" s="2119"/>
      <c r="N17" s="2119"/>
      <c r="O17" s="2126"/>
      <c r="P17" s="3461"/>
      <c r="Q17" s="1558" t="str">
        <f>B17</f>
        <v>交通便捷度</v>
      </c>
      <c r="R17" s="1559" t="s">
        <v>8</v>
      </c>
      <c r="S17" s="1560">
        <f>F17</f>
        <v>100</v>
      </c>
      <c r="T17" s="1559" t="s">
        <v>8</v>
      </c>
      <c r="U17" s="1560">
        <f>H17</f>
        <v>100</v>
      </c>
      <c r="V17" s="1559" t="s">
        <v>8</v>
      </c>
      <c r="W17" s="1560">
        <f>J17</f>
        <v>100</v>
      </c>
      <c r="X17" s="1553"/>
      <c r="Y17" s="3461"/>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461"/>
      <c r="Q18" s="1558"/>
      <c r="R18" s="1559"/>
      <c r="S18" s="1560"/>
      <c r="T18" s="1559"/>
      <c r="U18" s="1560"/>
      <c r="V18" s="1559"/>
      <c r="W18" s="1560"/>
      <c r="X18" s="1553"/>
      <c r="Y18" s="3461"/>
      <c r="Z18" s="1561"/>
      <c r="AA18" s="1562">
        <v>1</v>
      </c>
      <c r="AB18" s="1562">
        <v>1</v>
      </c>
      <c r="AC18" s="1562">
        <v>1</v>
      </c>
    </row>
    <row r="19" spans="1:29" ht="15">
      <c r="A19" s="532"/>
      <c r="B19" s="2564" t="s">
        <v>2543</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98"/>
      <c r="L19" s="2127"/>
      <c r="M19" s="2119"/>
      <c r="N19" s="2119"/>
      <c r="O19" s="2126"/>
      <c r="P19" s="3461"/>
      <c r="Q19" s="1558" t="str">
        <f>B19</f>
        <v>公共配套设施</v>
      </c>
      <c r="R19" s="1559" t="s">
        <v>8</v>
      </c>
      <c r="S19" s="1560">
        <f>F19</f>
        <v>100</v>
      </c>
      <c r="T19" s="1559" t="s">
        <v>8</v>
      </c>
      <c r="U19" s="1560">
        <f>H19</f>
        <v>100</v>
      </c>
      <c r="V19" s="1559" t="s">
        <v>8</v>
      </c>
      <c r="W19" s="1560">
        <f>J19</f>
        <v>100</v>
      </c>
      <c r="X19" s="1553"/>
      <c r="Y19" s="3461"/>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99"/>
      <c r="L20" s="2127"/>
      <c r="M20" s="2119"/>
      <c r="N20" s="2119"/>
      <c r="O20" s="2126"/>
      <c r="P20" s="3461"/>
      <c r="Q20" s="1558"/>
      <c r="R20" s="1559"/>
      <c r="S20" s="1560"/>
      <c r="T20" s="1559"/>
      <c r="U20" s="1560"/>
      <c r="V20" s="1559"/>
      <c r="W20" s="1560"/>
      <c r="X20" s="1553"/>
      <c r="Y20" s="3461"/>
      <c r="Z20" s="1561"/>
      <c r="AA20" s="1562">
        <v>1</v>
      </c>
      <c r="AB20" s="1562">
        <v>1</v>
      </c>
      <c r="AC20" s="1562">
        <v>1</v>
      </c>
    </row>
    <row r="21" spans="1:29" ht="15">
      <c r="A21" s="532"/>
      <c r="B21" s="2557" t="s">
        <v>2555</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98"/>
      <c r="L21" s="2127"/>
      <c r="M21" s="2119"/>
      <c r="N21" s="2119"/>
      <c r="O21" s="2126"/>
      <c r="P21" s="3461"/>
      <c r="Q21" s="2543" t="str">
        <f>B21</f>
        <v>基础设施水平</v>
      </c>
      <c r="R21" s="1559" t="s">
        <v>8</v>
      </c>
      <c r="S21" s="1560">
        <f>F21</f>
        <v>100</v>
      </c>
      <c r="T21" s="1559" t="s">
        <v>8</v>
      </c>
      <c r="U21" s="1560">
        <f>H21</f>
        <v>100</v>
      </c>
      <c r="V21" s="1559" t="s">
        <v>8</v>
      </c>
      <c r="W21" s="1560">
        <f>J21</f>
        <v>100</v>
      </c>
      <c r="X21" s="2545"/>
      <c r="Y21" s="3461"/>
      <c r="Z21" s="2544"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6"/>
      <c r="L22" s="2127"/>
      <c r="M22" s="2119"/>
      <c r="N22" s="2119"/>
      <c r="O22" s="2126"/>
      <c r="P22" s="3461"/>
      <c r="Q22" s="2543"/>
      <c r="R22" s="1559"/>
      <c r="S22" s="1560"/>
      <c r="T22" s="1559"/>
      <c r="U22" s="1560"/>
      <c r="V22" s="1559"/>
      <c r="W22" s="1560"/>
      <c r="X22" s="2545"/>
      <c r="Y22" s="3461"/>
      <c r="Z22" s="2544"/>
      <c r="AA22" s="1562">
        <v>1</v>
      </c>
      <c r="AB22" s="1562">
        <v>1</v>
      </c>
      <c r="AC22" s="1562">
        <v>1</v>
      </c>
    </row>
    <row r="23" spans="1:29" ht="15">
      <c r="A23" s="532"/>
      <c r="B23" s="871" t="s">
        <v>297</v>
      </c>
      <c r="C23" s="900"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98"/>
      <c r="L23" s="2127"/>
      <c r="M23" s="2119"/>
      <c r="N23" s="2119"/>
      <c r="O23" s="2126"/>
      <c r="P23" s="3461"/>
      <c r="Q23" s="1558" t="str">
        <f>B23</f>
        <v>自然及人文环境</v>
      </c>
      <c r="R23" s="1559" t="s">
        <v>8</v>
      </c>
      <c r="S23" s="1560">
        <f>F23</f>
        <v>100</v>
      </c>
      <c r="T23" s="1559" t="s">
        <v>8</v>
      </c>
      <c r="U23" s="1560">
        <f>H23</f>
        <v>100</v>
      </c>
      <c r="V23" s="1559" t="s">
        <v>8</v>
      </c>
      <c r="W23" s="1560">
        <f>J23</f>
        <v>100</v>
      </c>
      <c r="X23" s="1553"/>
      <c r="Y23" s="3461"/>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99"/>
      <c r="L24" s="2127"/>
      <c r="M24" s="2119"/>
      <c r="N24" s="2119"/>
      <c r="O24" s="2126"/>
      <c r="P24" s="3461"/>
      <c r="Q24" s="1558"/>
      <c r="R24" s="1559"/>
      <c r="S24" s="1560"/>
      <c r="T24" s="1559"/>
      <c r="U24" s="1560"/>
      <c r="V24" s="1559"/>
      <c r="W24" s="1560"/>
      <c r="X24" s="1553"/>
      <c r="Y24" s="3461"/>
      <c r="Z24" s="1561"/>
      <c r="AA24" s="1562">
        <v>1</v>
      </c>
      <c r="AB24" s="1562">
        <v>1</v>
      </c>
      <c r="AC24" s="1562">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7"/>
      <c r="M25" s="2119"/>
      <c r="N25" s="2119"/>
      <c r="O25" s="2126"/>
      <c r="P25" s="3461"/>
      <c r="Q25" s="1558" t="str">
        <f t="shared" ref="Q25:Q46" si="11">B25</f>
        <v>临街状况</v>
      </c>
      <c r="R25" s="1559" t="s">
        <v>8</v>
      </c>
      <c r="S25" s="1560">
        <f>F25</f>
        <v>100</v>
      </c>
      <c r="T25" s="1559" t="s">
        <v>8</v>
      </c>
      <c r="U25" s="1560">
        <f>H25</f>
        <v>100</v>
      </c>
      <c r="V25" s="1559" t="s">
        <v>8</v>
      </c>
      <c r="W25" s="1560">
        <f>J25</f>
        <v>100</v>
      </c>
      <c r="X25" s="1553"/>
      <c r="Y25" s="3461"/>
      <c r="Z25" s="1561" t="str">
        <f>Q25</f>
        <v>临街状况</v>
      </c>
      <c r="AA25" s="1562">
        <f t="shared" si="3"/>
        <v>1</v>
      </c>
      <c r="AB25" s="1562">
        <f t="shared" si="4"/>
        <v>1</v>
      </c>
      <c r="AC25" s="1562">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7"/>
      <c r="M26" s="2119"/>
      <c r="N26" s="2119"/>
      <c r="O26" s="2126"/>
      <c r="P26" s="3461"/>
      <c r="Q26" s="1558" t="str">
        <f t="shared" si="11"/>
        <v>平面位置/可视性</v>
      </c>
      <c r="R26" s="1559" t="s">
        <v>8</v>
      </c>
      <c r="S26" s="1560">
        <f>F26</f>
        <v>100</v>
      </c>
      <c r="T26" s="1559" t="s">
        <v>8</v>
      </c>
      <c r="U26" s="1560">
        <f>H26</f>
        <v>100</v>
      </c>
      <c r="V26" s="1559" t="s">
        <v>8</v>
      </c>
      <c r="W26" s="1560">
        <f>J26</f>
        <v>100</v>
      </c>
      <c r="X26" s="1553"/>
      <c r="Y26" s="3461"/>
      <c r="Z26" s="1561" t="str">
        <f>Q26</f>
        <v>平面位置/可视性</v>
      </c>
      <c r="AA26" s="1562">
        <f t="shared" si="3"/>
        <v>1</v>
      </c>
      <c r="AB26" s="1562">
        <f t="shared" si="4"/>
        <v>1</v>
      </c>
      <c r="AC26" s="1562">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0"/>
      <c r="M27" s="2121"/>
      <c r="N27" s="2121"/>
      <c r="O27" s="2122"/>
      <c r="P27" s="3461"/>
      <c r="Q27" s="1147" t="str">
        <f t="shared" si="11"/>
        <v>人流量</v>
      </c>
      <c r="R27" s="1554" t="s">
        <v>8</v>
      </c>
      <c r="S27" s="1555">
        <f>F27</f>
        <v>100</v>
      </c>
      <c r="T27" s="1554" t="s">
        <v>8</v>
      </c>
      <c r="U27" s="1555">
        <f>H27</f>
        <v>100</v>
      </c>
      <c r="V27" s="1554" t="s">
        <v>8</v>
      </c>
      <c r="W27" s="1555">
        <f>J27</f>
        <v>100</v>
      </c>
      <c r="X27" s="1556"/>
      <c r="Y27" s="3461"/>
      <c r="Z27" s="1146" t="str">
        <f>Q27</f>
        <v>人流量</v>
      </c>
      <c r="AA27" s="1562">
        <f>D27/F27</f>
        <v>1</v>
      </c>
      <c r="AB27" s="1562">
        <f>D27/H27</f>
        <v>1</v>
      </c>
      <c r="AC27" s="1562">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7"/>
      <c r="M28" s="2119"/>
      <c r="N28" s="2119"/>
      <c r="O28" s="2126"/>
      <c r="P28" s="3461"/>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461"/>
      <c r="Z28" s="1561" t="str">
        <f t="shared" ref="Z28:Z46" si="15">Q28</f>
        <v>楼层</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7"/>
      <c r="M29" s="2119"/>
      <c r="N29" s="2119"/>
      <c r="O29" s="2126"/>
      <c r="P29" s="3461"/>
      <c r="Q29" s="1558">
        <f t="shared" si="11"/>
        <v>111</v>
      </c>
      <c r="R29" s="1559" t="s">
        <v>8</v>
      </c>
      <c r="S29" s="1560">
        <f t="shared" si="12"/>
        <v>100</v>
      </c>
      <c r="T29" s="1559" t="s">
        <v>8</v>
      </c>
      <c r="U29" s="1560">
        <f t="shared" si="13"/>
        <v>100</v>
      </c>
      <c r="V29" s="1559" t="s">
        <v>8</v>
      </c>
      <c r="W29" s="1560">
        <f t="shared" si="14"/>
        <v>100</v>
      </c>
      <c r="X29" s="1553"/>
      <c r="Y29" s="3461"/>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7"/>
      <c r="M30" s="2119"/>
      <c r="N30" s="2119"/>
      <c r="O30" s="2126"/>
      <c r="P30" s="3461"/>
      <c r="Q30" s="1558">
        <f t="shared" si="11"/>
        <v>111</v>
      </c>
      <c r="R30" s="1559" t="s">
        <v>8</v>
      </c>
      <c r="S30" s="1560">
        <f t="shared" si="12"/>
        <v>100</v>
      </c>
      <c r="T30" s="1559" t="s">
        <v>8</v>
      </c>
      <c r="U30" s="1560">
        <f t="shared" si="13"/>
        <v>100</v>
      </c>
      <c r="V30" s="1559" t="s">
        <v>8</v>
      </c>
      <c r="W30" s="1560">
        <f t="shared" si="14"/>
        <v>100</v>
      </c>
      <c r="X30" s="1553"/>
      <c r="Y30" s="3461"/>
      <c r="Z30" s="1561">
        <f t="shared" si="15"/>
        <v>111</v>
      </c>
      <c r="AA30" s="1562">
        <f t="shared" si="3"/>
        <v>1</v>
      </c>
      <c r="AB30" s="1562">
        <f t="shared" si="4"/>
        <v>1</v>
      </c>
      <c r="AC30" s="1562">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7"/>
      <c r="M31" s="2119"/>
      <c r="N31" s="2119"/>
      <c r="O31" s="2126"/>
      <c r="P31" s="3461"/>
      <c r="Q31" s="1558">
        <f t="shared" si="11"/>
        <v>111</v>
      </c>
      <c r="R31" s="1559" t="s">
        <v>8</v>
      </c>
      <c r="S31" s="1560">
        <f t="shared" si="12"/>
        <v>100</v>
      </c>
      <c r="T31" s="1559" t="s">
        <v>8</v>
      </c>
      <c r="U31" s="1560">
        <f t="shared" si="13"/>
        <v>100</v>
      </c>
      <c r="V31" s="1559" t="s">
        <v>8</v>
      </c>
      <c r="W31" s="1560">
        <f t="shared" si="14"/>
        <v>100</v>
      </c>
      <c r="X31" s="1553"/>
      <c r="Y31" s="3461"/>
      <c r="Z31" s="1561">
        <f t="shared" si="15"/>
        <v>111</v>
      </c>
      <c r="AA31" s="1562">
        <f t="shared" si="3"/>
        <v>1</v>
      </c>
      <c r="AB31" s="1562">
        <f t="shared" si="4"/>
        <v>1</v>
      </c>
      <c r="AC31" s="1562">
        <f t="shared" si="5"/>
        <v>1</v>
      </c>
    </row>
    <row r="32" spans="1:29" ht="15">
      <c r="A32" s="2862" t="s">
        <v>2752</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7"/>
      <c r="M32" s="2119"/>
      <c r="N32" s="2119"/>
      <c r="O32" s="2126"/>
      <c r="P32" s="3462" t="s">
        <v>550</v>
      </c>
      <c r="Q32" s="1558" t="str">
        <f t="shared" si="11"/>
        <v>商业类型</v>
      </c>
      <c r="R32" s="1559" t="s">
        <v>8</v>
      </c>
      <c r="S32" s="1560">
        <f t="shared" si="12"/>
        <v>100</v>
      </c>
      <c r="T32" s="1559" t="s">
        <v>8</v>
      </c>
      <c r="U32" s="1560">
        <f t="shared" si="13"/>
        <v>100</v>
      </c>
      <c r="V32" s="1559" t="s">
        <v>8</v>
      </c>
      <c r="W32" s="1560">
        <f t="shared" si="14"/>
        <v>100</v>
      </c>
      <c r="X32" s="1553"/>
      <c r="Y32" s="3463" t="s">
        <v>550</v>
      </c>
      <c r="Z32" s="1561" t="str">
        <f t="shared" si="15"/>
        <v>商业类型</v>
      </c>
      <c r="AA32" s="1562">
        <f t="shared" si="3"/>
        <v>1</v>
      </c>
      <c r="AB32" s="1562">
        <f t="shared" si="4"/>
        <v>1</v>
      </c>
      <c r="AC32" s="1562">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5"/>
      <c r="M33" s="2156"/>
      <c r="N33" s="2156"/>
      <c r="O33" s="2128"/>
      <c r="P33" s="3463"/>
      <c r="Q33" s="1590" t="str">
        <f t="shared" si="11"/>
        <v>项目建筑规模</v>
      </c>
      <c r="R33" s="1563" t="s">
        <v>8</v>
      </c>
      <c r="S33" s="1564" t="e">
        <f t="shared" si="12"/>
        <v>#N/A</v>
      </c>
      <c r="T33" s="1563" t="s">
        <v>8</v>
      </c>
      <c r="U33" s="1564" t="e">
        <f t="shared" si="13"/>
        <v>#N/A</v>
      </c>
      <c r="V33" s="1563" t="s">
        <v>8</v>
      </c>
      <c r="W33" s="1564" t="e">
        <f t="shared" si="14"/>
        <v>#N/A</v>
      </c>
      <c r="X33" s="1565"/>
      <c r="Y33" s="3463"/>
      <c r="Z33" s="1566" t="str">
        <f t="shared" si="15"/>
        <v>项目建筑规模</v>
      </c>
      <c r="AA33" s="1562" t="e">
        <f t="shared" si="3"/>
        <v>#N/A</v>
      </c>
      <c r="AB33" s="1562" t="e">
        <f t="shared" si="4"/>
        <v>#N/A</v>
      </c>
      <c r="AC33" s="1562"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7"/>
      <c r="M34" s="2119"/>
      <c r="N34" s="2119"/>
      <c r="O34" s="2126"/>
      <c r="P34" s="3463"/>
      <c r="Q34" s="1558" t="str">
        <f t="shared" si="11"/>
        <v>建筑结构</v>
      </c>
      <c r="R34" s="1559" t="s">
        <v>8</v>
      </c>
      <c r="S34" s="1560">
        <f t="shared" si="12"/>
        <v>100</v>
      </c>
      <c r="T34" s="1559" t="s">
        <v>8</v>
      </c>
      <c r="U34" s="1560">
        <f t="shared" si="13"/>
        <v>100</v>
      </c>
      <c r="V34" s="1559" t="s">
        <v>8</v>
      </c>
      <c r="W34" s="1560">
        <f t="shared" si="14"/>
        <v>100</v>
      </c>
      <c r="X34" s="1553"/>
      <c r="Y34" s="3463"/>
      <c r="Z34" s="1561" t="str">
        <f t="shared" si="15"/>
        <v>建筑结构</v>
      </c>
      <c r="AA34" s="1562">
        <f t="shared" si="3"/>
        <v>1</v>
      </c>
      <c r="AB34" s="1562">
        <f t="shared" si="4"/>
        <v>1</v>
      </c>
      <c r="AC34" s="1562">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7"/>
      <c r="M35" s="2119"/>
      <c r="N35" s="2119"/>
      <c r="O35" s="2126"/>
      <c r="P35" s="3463"/>
      <c r="Q35" s="1558" t="str">
        <f t="shared" si="11"/>
        <v>公共部分装修</v>
      </c>
      <c r="R35" s="1559" t="s">
        <v>8</v>
      </c>
      <c r="S35" s="1560">
        <f t="shared" si="12"/>
        <v>100</v>
      </c>
      <c r="T35" s="1559" t="s">
        <v>8</v>
      </c>
      <c r="U35" s="1560">
        <f t="shared" si="13"/>
        <v>100</v>
      </c>
      <c r="V35" s="1559" t="s">
        <v>8</v>
      </c>
      <c r="W35" s="1560">
        <f t="shared" si="14"/>
        <v>100</v>
      </c>
      <c r="X35" s="1553"/>
      <c r="Y35" s="3463"/>
      <c r="Z35" s="1561" t="str">
        <f t="shared" si="15"/>
        <v>公共部分装修</v>
      </c>
      <c r="AA35" s="1562">
        <f t="shared" si="3"/>
        <v>1</v>
      </c>
      <c r="AB35" s="1562">
        <f t="shared" si="4"/>
        <v>1</v>
      </c>
      <c r="AC35" s="1562">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7"/>
      <c r="M36" s="2119"/>
      <c r="N36" s="2119"/>
      <c r="O36" s="2126"/>
      <c r="P36" s="3463"/>
      <c r="Q36" s="1558" t="str">
        <f t="shared" si="11"/>
        <v>成新度</v>
      </c>
      <c r="R36" s="1559" t="s">
        <v>8</v>
      </c>
      <c r="S36" s="1560" t="e">
        <f t="shared" si="12"/>
        <v>#N/A</v>
      </c>
      <c r="T36" s="1559" t="s">
        <v>8</v>
      </c>
      <c r="U36" s="1560" t="e">
        <f t="shared" si="13"/>
        <v>#N/A</v>
      </c>
      <c r="V36" s="1559" t="s">
        <v>8</v>
      </c>
      <c r="W36" s="1560" t="e">
        <f t="shared" si="14"/>
        <v>#N/A</v>
      </c>
      <c r="X36" s="1553"/>
      <c r="Y36" s="3463"/>
      <c r="Z36" s="1561" t="str">
        <f t="shared" si="15"/>
        <v>成新度</v>
      </c>
      <c r="AA36" s="1562" t="e">
        <f t="shared" si="3"/>
        <v>#N/A</v>
      </c>
      <c r="AB36" s="1562" t="e">
        <f t="shared" si="4"/>
        <v>#N/A</v>
      </c>
      <c r="AC36" s="1562" t="e">
        <f t="shared" si="5"/>
        <v>#N/A</v>
      </c>
    </row>
    <row r="37" spans="1:29" s="1216" customFormat="1" ht="15">
      <c r="A37" s="600"/>
      <c r="B37" s="1880" t="s">
        <v>2562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0"/>
      <c r="M37" s="2121"/>
      <c r="N37" s="2121"/>
      <c r="O37" s="2122"/>
      <c r="P37" s="3463"/>
      <c r="Q37" s="1147" t="str">
        <f t="shared" si="11"/>
        <v>市政基础设施</v>
      </c>
      <c r="R37" s="1554" t="s">
        <v>8</v>
      </c>
      <c r="S37" s="1555">
        <f t="shared" si="12"/>
        <v>100</v>
      </c>
      <c r="T37" s="1554" t="s">
        <v>8</v>
      </c>
      <c r="U37" s="1555">
        <f t="shared" si="13"/>
        <v>100</v>
      </c>
      <c r="V37" s="1554" t="s">
        <v>8</v>
      </c>
      <c r="W37" s="1555">
        <f t="shared" si="14"/>
        <v>100</v>
      </c>
      <c r="X37" s="1556"/>
      <c r="Y37" s="3463"/>
      <c r="Z37" s="1146" t="str">
        <f t="shared" si="15"/>
        <v>市政基础设施</v>
      </c>
      <c r="AA37" s="1557">
        <f t="shared" si="3"/>
        <v>1</v>
      </c>
      <c r="AB37" s="1557">
        <f t="shared" si="4"/>
        <v>1</v>
      </c>
      <c r="AC37" s="1557">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7"/>
      <c r="M38" s="2119"/>
      <c r="N38" s="2119"/>
      <c r="O38" s="2126"/>
      <c r="P38" s="3463" t="s">
        <v>766</v>
      </c>
      <c r="Q38" s="1558" t="str">
        <f t="shared" si="11"/>
        <v>业态</v>
      </c>
      <c r="R38" s="1559" t="s">
        <v>8</v>
      </c>
      <c r="S38" s="1560">
        <f t="shared" si="12"/>
        <v>100</v>
      </c>
      <c r="T38" s="1559" t="s">
        <v>8</v>
      </c>
      <c r="U38" s="1560">
        <f t="shared" si="13"/>
        <v>100</v>
      </c>
      <c r="V38" s="1559" t="s">
        <v>8</v>
      </c>
      <c r="W38" s="1560">
        <f t="shared" si="14"/>
        <v>100</v>
      </c>
      <c r="X38" s="1553"/>
      <c r="Y38" s="3463" t="s">
        <v>766</v>
      </c>
      <c r="Z38" s="1561" t="str">
        <f t="shared" si="15"/>
        <v>业态</v>
      </c>
      <c r="AA38" s="1562">
        <f t="shared" si="3"/>
        <v>1</v>
      </c>
      <c r="AB38" s="1562">
        <f t="shared" si="4"/>
        <v>1</v>
      </c>
      <c r="AC38" s="1562">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463"/>
      <c r="Q39" s="1558" t="str">
        <f t="shared" si="11"/>
        <v>层高</v>
      </c>
      <c r="R39" s="1559" t="s">
        <v>8</v>
      </c>
      <c r="S39" s="1560">
        <f t="shared" si="12"/>
        <v>100</v>
      </c>
      <c r="T39" s="1559" t="s">
        <v>8</v>
      </c>
      <c r="U39" s="1560">
        <f t="shared" si="13"/>
        <v>100</v>
      </c>
      <c r="V39" s="1559" t="s">
        <v>8</v>
      </c>
      <c r="W39" s="1560">
        <f t="shared" si="14"/>
        <v>100</v>
      </c>
      <c r="X39" s="1553"/>
      <c r="Y39" s="3463"/>
      <c r="Z39" s="1561" t="str">
        <f t="shared" si="15"/>
        <v>层高</v>
      </c>
      <c r="AA39" s="1562">
        <f t="shared" si="3"/>
        <v>1</v>
      </c>
      <c r="AB39" s="1562">
        <f t="shared" si="4"/>
        <v>1</v>
      </c>
      <c r="AC39" s="1562">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7"/>
      <c r="M40" s="2119"/>
      <c r="N40" s="2119"/>
      <c r="O40" s="2126"/>
      <c r="P40" s="3463"/>
      <c r="Q40" s="1558" t="str">
        <f t="shared" si="11"/>
        <v>单套建筑面积</v>
      </c>
      <c r="R40" s="1559" t="s">
        <v>8</v>
      </c>
      <c r="S40" s="1560">
        <f t="shared" si="12"/>
        <v>100</v>
      </c>
      <c r="T40" s="1559" t="s">
        <v>8</v>
      </c>
      <c r="U40" s="1560">
        <f t="shared" si="13"/>
        <v>100</v>
      </c>
      <c r="V40" s="1559" t="s">
        <v>8</v>
      </c>
      <c r="W40" s="1560">
        <f t="shared" si="14"/>
        <v>100</v>
      </c>
      <c r="X40" s="1553"/>
      <c r="Y40" s="3463"/>
      <c r="Z40" s="1561" t="str">
        <f t="shared" si="15"/>
        <v>单套建筑面积</v>
      </c>
      <c r="AA40" s="1562">
        <f t="shared" si="3"/>
        <v>1</v>
      </c>
      <c r="AB40" s="1562">
        <f t="shared" si="4"/>
        <v>1</v>
      </c>
      <c r="AC40" s="1562">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5"/>
      <c r="M41" s="2156"/>
      <c r="N41" s="2156"/>
      <c r="O41" s="2128"/>
      <c r="P41" s="3463"/>
      <c r="Q41" s="1590" t="str">
        <f t="shared" si="11"/>
        <v>进深比</v>
      </c>
      <c r="R41" s="1563" t="s">
        <v>8</v>
      </c>
      <c r="S41" s="1564">
        <f t="shared" si="12"/>
        <v>100</v>
      </c>
      <c r="T41" s="1563" t="s">
        <v>8</v>
      </c>
      <c r="U41" s="1564">
        <f t="shared" si="13"/>
        <v>100</v>
      </c>
      <c r="V41" s="1563" t="s">
        <v>8</v>
      </c>
      <c r="W41" s="1564">
        <f t="shared" si="14"/>
        <v>100</v>
      </c>
      <c r="X41" s="1565"/>
      <c r="Y41" s="3463"/>
      <c r="Z41" s="1566" t="str">
        <f t="shared" si="15"/>
        <v>进深比</v>
      </c>
      <c r="AA41" s="1562">
        <f t="shared" si="3"/>
        <v>1</v>
      </c>
      <c r="AB41" s="1562">
        <f t="shared" si="4"/>
        <v>1</v>
      </c>
      <c r="AC41" s="1562">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7"/>
      <c r="M42" s="2119"/>
      <c r="N42" s="2119"/>
      <c r="O42" s="2126"/>
      <c r="P42" s="3463"/>
      <c r="Q42" s="1558" t="str">
        <f t="shared" si="11"/>
        <v>内部装修</v>
      </c>
      <c r="R42" s="1559" t="s">
        <v>8</v>
      </c>
      <c r="S42" s="1560">
        <f t="shared" si="12"/>
        <v>100</v>
      </c>
      <c r="T42" s="1559" t="s">
        <v>8</v>
      </c>
      <c r="U42" s="1560">
        <f t="shared" si="13"/>
        <v>100</v>
      </c>
      <c r="V42" s="1559" t="s">
        <v>8</v>
      </c>
      <c r="W42" s="1560">
        <f t="shared" si="14"/>
        <v>100</v>
      </c>
      <c r="X42" s="1553"/>
      <c r="Y42" s="3463"/>
      <c r="Z42" s="1561" t="str">
        <f t="shared" si="15"/>
        <v>内部装修</v>
      </c>
      <c r="AA42" s="1562">
        <f t="shared" si="3"/>
        <v>1</v>
      </c>
      <c r="AB42" s="1562">
        <f t="shared" si="4"/>
        <v>1</v>
      </c>
      <c r="AC42" s="1562">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7"/>
      <c r="M43" s="2119"/>
      <c r="N43" s="2119"/>
      <c r="O43" s="2126"/>
      <c r="P43" s="3463"/>
      <c r="Q43" s="1558" t="str">
        <f t="shared" si="11"/>
        <v>内部装修维护情况</v>
      </c>
      <c r="R43" s="1559" t="s">
        <v>8</v>
      </c>
      <c r="S43" s="1560">
        <f t="shared" si="12"/>
        <v>100</v>
      </c>
      <c r="T43" s="1559" t="s">
        <v>8</v>
      </c>
      <c r="U43" s="1560">
        <f t="shared" si="13"/>
        <v>100</v>
      </c>
      <c r="V43" s="1559" t="s">
        <v>8</v>
      </c>
      <c r="W43" s="1560">
        <f t="shared" si="14"/>
        <v>100</v>
      </c>
      <c r="X43" s="1553"/>
      <c r="Y43" s="3463"/>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0"/>
      <c r="M44" s="2121"/>
      <c r="N44" s="2121"/>
      <c r="O44" s="2122"/>
      <c r="P44" s="3463"/>
      <c r="Q44" s="1147">
        <f t="shared" si="11"/>
        <v>111</v>
      </c>
      <c r="R44" s="1554" t="s">
        <v>8</v>
      </c>
      <c r="S44" s="1555">
        <f t="shared" si="12"/>
        <v>100</v>
      </c>
      <c r="T44" s="1554" t="s">
        <v>8</v>
      </c>
      <c r="U44" s="1555">
        <f t="shared" si="13"/>
        <v>100</v>
      </c>
      <c r="V44" s="1554" t="s">
        <v>8</v>
      </c>
      <c r="W44" s="1555">
        <f t="shared" si="14"/>
        <v>100</v>
      </c>
      <c r="X44" s="1556"/>
      <c r="Y44" s="3463"/>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7"/>
      <c r="M45" s="2119"/>
      <c r="N45" s="2119"/>
      <c r="O45" s="2126"/>
      <c r="P45" s="3463"/>
      <c r="Q45" s="1558">
        <f t="shared" si="11"/>
        <v>111</v>
      </c>
      <c r="R45" s="1559" t="s">
        <v>8</v>
      </c>
      <c r="S45" s="1560">
        <f t="shared" si="12"/>
        <v>100</v>
      </c>
      <c r="T45" s="1559" t="s">
        <v>8</v>
      </c>
      <c r="U45" s="1560">
        <f t="shared" si="13"/>
        <v>100</v>
      </c>
      <c r="V45" s="1559" t="s">
        <v>8</v>
      </c>
      <c r="W45" s="1560">
        <f t="shared" si="14"/>
        <v>100</v>
      </c>
      <c r="X45" s="1553"/>
      <c r="Y45" s="3463"/>
      <c r="Z45" s="1561">
        <f t="shared" si="15"/>
        <v>111</v>
      </c>
      <c r="AA45" s="1562">
        <f t="shared" si="3"/>
        <v>1</v>
      </c>
      <c r="AB45" s="1562">
        <f t="shared" si="4"/>
        <v>1</v>
      </c>
      <c r="AC45" s="1562">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7"/>
      <c r="M46" s="2119"/>
      <c r="N46" s="2119"/>
      <c r="O46" s="2126"/>
      <c r="P46" s="3544"/>
      <c r="Q46" s="1558">
        <f t="shared" si="11"/>
        <v>111</v>
      </c>
      <c r="R46" s="1559" t="s">
        <v>8</v>
      </c>
      <c r="S46" s="1560">
        <f t="shared" si="12"/>
        <v>100</v>
      </c>
      <c r="T46" s="1559" t="s">
        <v>8</v>
      </c>
      <c r="U46" s="1560">
        <f t="shared" si="13"/>
        <v>100</v>
      </c>
      <c r="V46" s="1559" t="s">
        <v>8</v>
      </c>
      <c r="W46" s="1560">
        <f t="shared" si="14"/>
        <v>100</v>
      </c>
      <c r="X46" s="1553"/>
      <c r="Y46" s="3544"/>
      <c r="Z46" s="1561">
        <f t="shared" si="15"/>
        <v>111</v>
      </c>
      <c r="AA46" s="1562">
        <f t="shared" si="3"/>
        <v>1</v>
      </c>
      <c r="AB46" s="1562">
        <f t="shared" si="4"/>
        <v>1</v>
      </c>
      <c r="AC46" s="1562">
        <f t="shared" si="5"/>
        <v>1</v>
      </c>
    </row>
    <row r="47" spans="1:29" ht="15">
      <c r="A47" s="607" t="s">
        <v>736</v>
      </c>
      <c r="B47" s="887"/>
      <c r="C47" s="2591" t="s">
        <v>1</v>
      </c>
      <c r="D47" s="2592"/>
      <c r="E47" s="2593"/>
      <c r="F47" s="2594"/>
      <c r="G47" s="2595"/>
      <c r="H47" s="2596"/>
      <c r="I47" s="2593"/>
      <c r="J47" s="2596"/>
      <c r="K47" s="1596"/>
      <c r="L47" s="2129"/>
      <c r="M47" s="2130"/>
      <c r="N47" s="2119"/>
      <c r="O47" s="2130"/>
      <c r="P47" s="3424" t="str">
        <f>A47</f>
        <v>成交单价（元/平方米）</v>
      </c>
      <c r="Q47" s="3424"/>
      <c r="R47" s="3542">
        <f>E47</f>
        <v>0</v>
      </c>
      <c r="S47" s="3542"/>
      <c r="T47" s="3542">
        <f>G47</f>
        <v>0</v>
      </c>
      <c r="U47" s="3542"/>
      <c r="V47" s="3542">
        <f>I47</f>
        <v>0</v>
      </c>
      <c r="W47" s="3542"/>
      <c r="X47" s="1545"/>
      <c r="Y47" s="1567"/>
      <c r="Z47" s="1545"/>
      <c r="AA47" s="1545"/>
      <c r="AB47" s="1545"/>
      <c r="AC47" s="1545"/>
    </row>
    <row r="48" spans="1:29" ht="15.75" thickBot="1">
      <c r="A48" s="615" t="s">
        <v>2757</v>
      </c>
      <c r="B48" s="888"/>
      <c r="C48" s="2597" t="e">
        <f>R49</f>
        <v>#DIV/0!</v>
      </c>
      <c r="D48" s="2598"/>
      <c r="E48" s="2599" t="e">
        <f>R48</f>
        <v>#DIV/0!</v>
      </c>
      <c r="F48" s="2599"/>
      <c r="G48" s="2597" t="e">
        <f>T48</f>
        <v>#DIV/0!</v>
      </c>
      <c r="H48" s="2598"/>
      <c r="I48" s="2599" t="e">
        <f>V48</f>
        <v>#DIV/0!</v>
      </c>
      <c r="J48" s="2598"/>
      <c r="K48" s="1597"/>
      <c r="L48" s="2129"/>
      <c r="M48" s="2130"/>
      <c r="N48" s="2119"/>
      <c r="O48" s="2130"/>
      <c r="P48" s="3424" t="str">
        <f>A48</f>
        <v>比较价格（元/平方米）</v>
      </c>
      <c r="Q48" s="3424"/>
      <c r="R48" s="3542" t="e">
        <f>IF(F1="售价",ROUND(PRODUCT(R47,AA7:AA46),0),ROUND(PRODUCT(R47,AA7:AA46),1))</f>
        <v>#DIV/0!</v>
      </c>
      <c r="S48" s="3542"/>
      <c r="T48" s="3542" t="e">
        <f>IF(F1="售价",ROUND(PRODUCT(T47,AB7:AB46),0),ROUND(PRODUCT(T47,AB7:AB46),1))</f>
        <v>#DIV/0!</v>
      </c>
      <c r="U48" s="3542"/>
      <c r="V48" s="3542" t="e">
        <f>IF(F1="售价",ROUND(PRODUCT(V47,AC7:AC46),0),ROUND(PRODUCT(V47,AC7:AC46),1))</f>
        <v>#DIV/0!</v>
      </c>
      <c r="W48" s="3542"/>
      <c r="X48" s="1545"/>
      <c r="Y48" s="1545"/>
      <c r="Z48" s="1545"/>
      <c r="AA48" s="1545"/>
      <c r="AB48" s="1545"/>
      <c r="AC48" s="1545"/>
    </row>
    <row r="49" spans="1:29" ht="15.75" thickBot="1">
      <c r="A49" s="621" t="s">
        <v>2928</v>
      </c>
      <c r="B49" s="622"/>
      <c r="C49" s="2600" t="e">
        <f>R49</f>
        <v>#DIV/0!</v>
      </c>
      <c r="D49" s="2600"/>
      <c r="E49" s="2600"/>
      <c r="F49" s="2600"/>
      <c r="G49" s="2600"/>
      <c r="H49" s="2600"/>
      <c r="I49" s="2600"/>
      <c r="J49" s="2600"/>
      <c r="K49" s="1598"/>
      <c r="L49" s="2129"/>
      <c r="M49" s="2130"/>
      <c r="N49" s="2119"/>
      <c r="O49" s="2130"/>
      <c r="P49" s="3421" t="str">
        <f>A49</f>
        <v>估价对象XX用房的比较价格（楼面单价，元/平方米）</v>
      </c>
      <c r="Q49" s="3422"/>
      <c r="R49" s="3543" t="e">
        <f>IF(F1="售价",ROUND(AVERAGE(R48:V48),0),ROUND(AVERAGE(R48:V48),1))</f>
        <v>#DIV/0!</v>
      </c>
      <c r="S49" s="3543"/>
      <c r="T49" s="3543"/>
      <c r="U49" s="3543"/>
      <c r="V49" s="3543"/>
      <c r="W49" s="3543"/>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5">
      <c r="A58" s="645" t="s">
        <v>529</v>
      </c>
      <c r="B58" s="646"/>
      <c r="C58" s="2757" t="str">
        <f>YEAR(C7)&amp;"-"&amp;MONTH(C7)</f>
        <v>2020-2</v>
      </c>
      <c r="D58" s="2759">
        <f>EDATE(C58,-1)</f>
        <v>43831</v>
      </c>
      <c r="E58" s="2759">
        <f t="shared" ref="E58:O58" si="16">EDATE(D58,-1)</f>
        <v>43800</v>
      </c>
      <c r="F58" s="2759">
        <f t="shared" si="16"/>
        <v>43770</v>
      </c>
      <c r="G58" s="2759">
        <f t="shared" si="16"/>
        <v>43739</v>
      </c>
      <c r="H58" s="2759">
        <f t="shared" si="16"/>
        <v>43709</v>
      </c>
      <c r="I58" s="2759">
        <f t="shared" si="16"/>
        <v>43678</v>
      </c>
      <c r="J58" s="2759">
        <f t="shared" si="16"/>
        <v>43647</v>
      </c>
      <c r="K58" s="2759">
        <f t="shared" si="16"/>
        <v>43617</v>
      </c>
      <c r="L58" s="2759">
        <f t="shared" si="16"/>
        <v>43586</v>
      </c>
      <c r="M58" s="2759">
        <f t="shared" si="16"/>
        <v>43556</v>
      </c>
      <c r="N58" s="2759">
        <f t="shared" si="16"/>
        <v>43525</v>
      </c>
      <c r="O58" s="2759">
        <f t="shared" si="16"/>
        <v>43497</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1"/>
      <c r="N59" s="650"/>
      <c r="O59" s="652"/>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201"/>
    </row>
    <row r="63" spans="1:29">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671"/>
      <c r="F64" s="671"/>
      <c r="G64" s="671"/>
      <c r="H64" s="671"/>
      <c r="I64" s="671"/>
      <c r="J64" s="671"/>
      <c r="K64" s="671"/>
      <c r="L64" s="671"/>
      <c r="M64" s="672"/>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71"/>
      <c r="E73" s="671"/>
      <c r="F73" s="671"/>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2554</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2555</v>
      </c>
      <c r="C82" s="2562" t="s">
        <v>2556</v>
      </c>
      <c r="D82" s="2562" t="s">
        <v>2557</v>
      </c>
      <c r="E82" s="2562" t="s">
        <v>2558</v>
      </c>
      <c r="F82" s="2562" t="s">
        <v>2559</v>
      </c>
      <c r="G82" s="2562" t="s">
        <v>2560</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673" t="s">
        <v>771</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tr">
        <f>B26</f>
        <v>平面位置/可视性</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692"/>
      <c r="D89" s="671"/>
      <c r="E89" s="671"/>
      <c r="F89" s="671"/>
      <c r="G89" s="671"/>
      <c r="H89" s="671"/>
      <c r="I89" s="671"/>
      <c r="J89" s="671"/>
      <c r="K89" s="671"/>
      <c r="L89" s="671"/>
      <c r="M89" s="671"/>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人流量</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2"/>
      <c r="O91" s="2152"/>
      <c r="P91" s="2153"/>
      <c r="Q91" s="2154"/>
      <c r="R91" s="2155"/>
      <c r="S91" s="2155"/>
      <c r="T91" s="2155"/>
      <c r="U91" s="2155"/>
      <c r="V91" s="2155"/>
      <c r="W91" s="2155"/>
      <c r="X91" s="2155"/>
      <c r="Y91" s="2155"/>
      <c r="Z91" s="2155"/>
      <c r="AA91" s="2155"/>
      <c r="AB91" s="2155"/>
      <c r="AC91" s="2155"/>
    </row>
    <row r="92" spans="1:29" ht="15.75" thickTop="1">
      <c r="A92" s="669"/>
      <c r="B92" s="673" t="str">
        <f>B28</f>
        <v>楼层</v>
      </c>
      <c r="C92" s="688"/>
      <c r="D92" s="688"/>
      <c r="E92" s="688"/>
      <c r="F92" s="688"/>
      <c r="G92" s="688"/>
      <c r="H92" s="688"/>
      <c r="I92" s="688"/>
      <c r="J92" s="688"/>
      <c r="K92" s="688"/>
      <c r="L92" s="890"/>
      <c r="M92" s="89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1"/>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71"/>
      <c r="E95" s="671"/>
      <c r="F95" s="671"/>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92"/>
      <c r="D97" s="671"/>
      <c r="E97" s="671"/>
      <c r="F97" s="671"/>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688"/>
      <c r="D98" s="688"/>
      <c r="E98" s="688"/>
      <c r="F98" s="688"/>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00"/>
      <c r="D99" s="700"/>
      <c r="E99" s="700"/>
      <c r="F99" s="700"/>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772</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c r="D104" s="671"/>
      <c r="E104" s="671"/>
      <c r="F104" s="671"/>
      <c r="G104" s="671"/>
      <c r="H104" s="671"/>
      <c r="I104" s="671"/>
      <c r="J104" s="671"/>
      <c r="K104" s="671"/>
      <c r="L104" s="671"/>
      <c r="M104" s="672"/>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751</v>
      </c>
      <c r="C107" s="688"/>
      <c r="D107" s="688"/>
      <c r="E107" s="68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c r="A110" s="735"/>
      <c r="B110" s="681"/>
      <c r="C110" s="894">
        <v>0.5</v>
      </c>
      <c r="D110" s="894">
        <v>0.6</v>
      </c>
      <c r="E110" s="894">
        <v>0.7</v>
      </c>
      <c r="F110" s="894">
        <v>0.8</v>
      </c>
      <c r="G110" s="894">
        <v>0.9</v>
      </c>
      <c r="H110" s="894">
        <v>1.0001</v>
      </c>
      <c r="I110" s="905"/>
      <c r="J110" s="905"/>
      <c r="K110" s="906"/>
      <c r="L110" s="907"/>
      <c r="M110" s="908"/>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s="1335" customFormat="1" ht="15" thickTop="1">
      <c r="A112" s="728"/>
      <c r="B112" s="1881" t="s">
        <v>2553</v>
      </c>
      <c r="C112" s="688"/>
      <c r="D112" s="688"/>
      <c r="E112" s="688"/>
      <c r="F112" s="688"/>
      <c r="G112" s="688"/>
      <c r="H112" s="718"/>
      <c r="I112" s="718"/>
      <c r="J112" s="718"/>
      <c r="K112" s="719"/>
      <c r="L112" s="720"/>
      <c r="M112" s="721"/>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773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673" t="s">
        <v>774</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775</v>
      </c>
      <c r="C118" s="909"/>
      <c r="D118" s="909"/>
      <c r="E118" s="909"/>
      <c r="F118" s="909"/>
      <c r="G118" s="909"/>
      <c r="H118" s="689"/>
      <c r="I118" s="689"/>
      <c r="J118" s="689"/>
      <c r="K118" s="689"/>
      <c r="L118" s="690"/>
      <c r="M118" s="69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s="1335" customFormat="1" ht="15" thickTop="1">
      <c r="A120" s="728"/>
      <c r="B120" s="673" t="s">
        <v>776</v>
      </c>
      <c r="C120" s="718"/>
      <c r="D120" s="718"/>
      <c r="E120" s="718"/>
      <c r="F120" s="718"/>
      <c r="G120" s="689"/>
      <c r="H120" s="689"/>
      <c r="I120" s="689"/>
      <c r="J120" s="689"/>
      <c r="K120" s="689"/>
      <c r="L120" s="690"/>
      <c r="M120" s="6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71"/>
      <c r="E129" s="671"/>
      <c r="F129" s="671"/>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D24" zoomScale="70" zoomScaleNormal="70" workbookViewId="0">
      <selection activeCell="E53" sqref="E53"/>
    </sheetView>
  </sheetViews>
  <sheetFormatPr defaultColWidth="9" defaultRowHeight="14.25"/>
  <cols>
    <col min="1" max="1" width="10.5" style="1333" customWidth="1"/>
    <col min="2" max="2" width="15.75" style="1333" customWidth="1"/>
    <col min="3" max="3" width="18"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6"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t="s">
        <v>1677</v>
      </c>
      <c r="E1" s="506"/>
      <c r="F1" s="2762" t="s">
        <v>2999</v>
      </c>
      <c r="G1" s="1586" t="s">
        <v>721</v>
      </c>
      <c r="H1" s="506"/>
      <c r="I1" s="506"/>
      <c r="J1" s="506"/>
      <c r="K1" s="507"/>
      <c r="L1" s="1548"/>
      <c r="M1" s="1549"/>
      <c r="N1" s="1549"/>
      <c r="O1" s="1549"/>
      <c r="P1" s="2192"/>
      <c r="Q1" s="1550"/>
      <c r="R1" s="1550"/>
      <c r="S1" s="1550"/>
      <c r="T1" s="1550"/>
      <c r="U1" s="1550"/>
      <c r="V1" s="1550"/>
      <c r="W1" s="1550"/>
      <c r="X1" s="1550"/>
      <c r="Y1" s="1550"/>
      <c r="Z1" s="1550"/>
      <c r="AA1" s="1550"/>
      <c r="AB1" s="1550"/>
      <c r="AC1" s="1551"/>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2192"/>
      <c r="Q2" s="1550"/>
      <c r="R2" s="1550"/>
      <c r="S2" s="1550"/>
      <c r="T2" s="1550"/>
      <c r="U2" s="1550"/>
      <c r="V2" s="1550"/>
      <c r="W2" s="1550"/>
      <c r="X2" s="1550"/>
      <c r="Y2" s="1550"/>
      <c r="Z2" s="1550"/>
      <c r="AA2" s="1550"/>
      <c r="AB2" s="1550"/>
      <c r="AC2" s="1551"/>
    </row>
    <row r="3" spans="1:29" s="1332" customFormat="1" ht="28.5" customHeight="1" thickBot="1">
      <c r="A3" s="509" t="s">
        <v>519</v>
      </c>
      <c r="B3" s="510" t="e">
        <f>C50</f>
        <v>#DIV/0!</v>
      </c>
      <c r="C3" s="852" t="s">
        <v>722</v>
      </c>
      <c r="D3" s="851">
        <f>SUMIF('数据-汇总表'!$C19:$C33,D1,'数据-汇总表'!$E19:$E33)</f>
        <v>0</v>
      </c>
      <c r="E3" s="2046"/>
      <c r="F3" s="2114"/>
      <c r="G3" s="2113"/>
      <c r="H3" s="2113"/>
      <c r="I3" s="2113"/>
      <c r="J3" s="2113"/>
      <c r="K3" s="2115"/>
      <c r="L3" s="2116"/>
      <c r="M3" s="2117"/>
      <c r="N3" s="2117"/>
      <c r="O3" s="2117"/>
      <c r="P3" s="2192"/>
      <c r="Q3" s="1550"/>
      <c r="R3" s="1550"/>
      <c r="S3" s="1550"/>
      <c r="T3" s="1550"/>
      <c r="U3" s="1550"/>
      <c r="V3" s="1550"/>
      <c r="W3" s="1550"/>
      <c r="X3" s="1550"/>
      <c r="Y3" s="1550"/>
      <c r="Z3" s="1550"/>
      <c r="AA3" s="1550"/>
      <c r="AB3" s="1550"/>
      <c r="AC3" s="1551"/>
    </row>
    <row r="4" spans="1:29" ht="15">
      <c r="A4" s="512" t="s">
        <v>521</v>
      </c>
      <c r="B4" s="513"/>
      <c r="C4" s="3430" t="s">
        <v>522</v>
      </c>
      <c r="D4" s="3431"/>
      <c r="E4" s="3466" t="s">
        <v>523</v>
      </c>
      <c r="F4" s="3467"/>
      <c r="G4" s="3430" t="s">
        <v>524</v>
      </c>
      <c r="H4" s="3431"/>
      <c r="I4" s="3430" t="s">
        <v>525</v>
      </c>
      <c r="J4" s="3431"/>
      <c r="K4" s="514" t="s">
        <v>526</v>
      </c>
      <c r="L4" s="2118"/>
      <c r="M4" s="2119"/>
      <c r="N4" s="2119"/>
      <c r="O4" s="2119"/>
      <c r="P4" s="3550" t="s">
        <v>527</v>
      </c>
      <c r="Q4" s="3433"/>
      <c r="R4" s="3438" t="s">
        <v>523</v>
      </c>
      <c r="S4" s="3439"/>
      <c r="T4" s="3438" t="s">
        <v>524</v>
      </c>
      <c r="U4" s="3439"/>
      <c r="V4" s="3425" t="s">
        <v>525</v>
      </c>
      <c r="W4" s="3425"/>
      <c r="X4" s="1553"/>
      <c r="Y4" s="3438" t="s">
        <v>527</v>
      </c>
      <c r="Z4" s="3439"/>
      <c r="AA4" s="3427" t="s">
        <v>523</v>
      </c>
      <c r="AB4" s="3427" t="s">
        <v>524</v>
      </c>
      <c r="AC4" s="3427" t="s">
        <v>525</v>
      </c>
    </row>
    <row r="5" spans="1:29" ht="15">
      <c r="A5" s="515"/>
      <c r="B5" s="516"/>
      <c r="C5" s="3448" t="s">
        <v>3038</v>
      </c>
      <c r="D5" s="3447"/>
      <c r="E5" s="3554" t="s">
        <v>3001</v>
      </c>
      <c r="F5" s="3469"/>
      <c r="G5" s="3448" t="s">
        <v>3012</v>
      </c>
      <c r="H5" s="3447"/>
      <c r="I5" s="3448" t="s">
        <v>3014</v>
      </c>
      <c r="J5" s="3447"/>
      <c r="K5" s="514"/>
      <c r="L5" s="2118"/>
      <c r="M5" s="2119"/>
      <c r="N5" s="2119"/>
      <c r="O5" s="2119"/>
      <c r="P5" s="3551"/>
      <c r="Q5" s="3435"/>
      <c r="R5" s="3440"/>
      <c r="S5" s="3441"/>
      <c r="T5" s="3440"/>
      <c r="U5" s="3441"/>
      <c r="V5" s="3425"/>
      <c r="W5" s="3425"/>
      <c r="X5" s="1553"/>
      <c r="Y5" s="3440"/>
      <c r="Z5" s="3441"/>
      <c r="AA5" s="3428"/>
      <c r="AB5" s="3428"/>
      <c r="AC5" s="3428"/>
    </row>
    <row r="6" spans="1:29" ht="15.75" thickBot="1">
      <c r="A6" s="517"/>
      <c r="B6" s="518"/>
      <c r="C6" s="3449" t="s">
        <v>3039</v>
      </c>
      <c r="D6" s="3445"/>
      <c r="E6" s="3553" t="s">
        <v>3002</v>
      </c>
      <c r="F6" s="3465"/>
      <c r="G6" s="3449" t="s">
        <v>3013</v>
      </c>
      <c r="H6" s="3445"/>
      <c r="I6" s="3449" t="s">
        <v>3015</v>
      </c>
      <c r="J6" s="3445"/>
      <c r="K6" s="514" t="s">
        <v>528</v>
      </c>
      <c r="L6" s="2118"/>
      <c r="M6" s="2119"/>
      <c r="N6" s="2119"/>
      <c r="O6" s="2119"/>
      <c r="P6" s="3552"/>
      <c r="Q6" s="3437"/>
      <c r="R6" s="3440"/>
      <c r="S6" s="3441"/>
      <c r="T6" s="3442"/>
      <c r="U6" s="3443"/>
      <c r="V6" s="3425"/>
      <c r="W6" s="3425"/>
      <c r="X6" s="1553"/>
      <c r="Y6" s="3442"/>
      <c r="Z6" s="3443"/>
      <c r="AA6" s="3429"/>
      <c r="AB6" s="3429"/>
      <c r="AC6" s="3429"/>
    </row>
    <row r="7" spans="1:29" s="1216" customFormat="1" ht="15.75" thickBot="1">
      <c r="A7" s="2867"/>
      <c r="B7" s="2874" t="s">
        <v>529</v>
      </c>
      <c r="C7" s="519">
        <f>'数据-取费表'!B2</f>
        <v>43868</v>
      </c>
      <c r="D7" s="520">
        <v>100</v>
      </c>
      <c r="E7" s="521">
        <v>43678</v>
      </c>
      <c r="F7" s="522">
        <f>SUMIF(59:59,YEAR(E7)&amp;"-"&amp;MONTH(E7),60:60)</f>
        <v>0</v>
      </c>
      <c r="G7" s="521">
        <v>43678</v>
      </c>
      <c r="H7" s="520">
        <f>SUMIF(59:59,YEAR(G7)&amp;"-"&amp;MONTH(G7),60:60)</f>
        <v>0</v>
      </c>
      <c r="I7" s="521">
        <v>43678</v>
      </c>
      <c r="J7" s="520">
        <f>SUMIF(59:59,YEAR(I7)&amp;"-"&amp;MONTH(I7),60:60)</f>
        <v>0</v>
      </c>
      <c r="K7" s="524"/>
      <c r="L7" s="2120"/>
      <c r="M7" s="2121"/>
      <c r="N7" s="2121"/>
      <c r="O7" s="2121"/>
      <c r="P7" s="3459" t="s">
        <v>530</v>
      </c>
      <c r="Q7" s="3459"/>
      <c r="R7" s="1554" t="s">
        <v>8</v>
      </c>
      <c r="S7" s="1555">
        <f t="shared" ref="S7:S15" si="0">F7</f>
        <v>0</v>
      </c>
      <c r="T7" s="1554" t="s">
        <v>8</v>
      </c>
      <c r="U7" s="1555">
        <f t="shared" ref="U7:U15" si="1">H7</f>
        <v>0</v>
      </c>
      <c r="V7" s="1554" t="s">
        <v>8</v>
      </c>
      <c r="W7" s="1555">
        <f t="shared" ref="W7:W15" si="2">J7</f>
        <v>0</v>
      </c>
      <c r="X7" s="1556"/>
      <c r="Y7" s="3457" t="s">
        <v>530</v>
      </c>
      <c r="Z7" s="3458"/>
      <c r="AA7" s="1557" t="e">
        <f>D7/F7</f>
        <v>#DIV/0!</v>
      </c>
      <c r="AB7" s="1557" t="e">
        <f>D7/H7</f>
        <v>#DIV/0!</v>
      </c>
      <c r="AC7" s="1557" t="e">
        <f>D7/J7</f>
        <v>#DIV/0!</v>
      </c>
    </row>
    <row r="8" spans="1:29" s="1216" customFormat="1" ht="15.75" thickBot="1">
      <c r="A8" s="2868"/>
      <c r="B8" s="2875" t="s">
        <v>531</v>
      </c>
      <c r="C8" s="525" t="s">
        <v>576</v>
      </c>
      <c r="D8" s="520">
        <v>100</v>
      </c>
      <c r="E8" s="525" t="s">
        <v>576</v>
      </c>
      <c r="F8" s="522">
        <f>SUMIF(62:62,E8,63:63)-SUMIF(62:62,C8,63:63)+100</f>
        <v>100</v>
      </c>
      <c r="G8" s="525" t="s">
        <v>576</v>
      </c>
      <c r="H8" s="520">
        <f>SUMIF(62:62,G8,63:63)-SUMIF(62:62,C8,63:63)+100</f>
        <v>100</v>
      </c>
      <c r="I8" s="525" t="s">
        <v>576</v>
      </c>
      <c r="J8" s="520">
        <f>SUMIF(62:62,I8,63:63)-SUMIF(62:62,C8,63:63)+100</f>
        <v>100</v>
      </c>
      <c r="K8" s="524"/>
      <c r="L8" s="2120"/>
      <c r="M8" s="2121"/>
      <c r="N8" s="2121"/>
      <c r="O8" s="2121"/>
      <c r="P8" s="3459" t="s">
        <v>533</v>
      </c>
      <c r="Q8" s="3458"/>
      <c r="R8" s="1554" t="s">
        <v>8</v>
      </c>
      <c r="S8" s="1555">
        <f t="shared" si="0"/>
        <v>100</v>
      </c>
      <c r="T8" s="1554" t="s">
        <v>8</v>
      </c>
      <c r="U8" s="1555">
        <f t="shared" si="1"/>
        <v>100</v>
      </c>
      <c r="V8" s="1554" t="s">
        <v>8</v>
      </c>
      <c r="W8" s="1555">
        <f t="shared" si="2"/>
        <v>100</v>
      </c>
      <c r="X8" s="1556"/>
      <c r="Y8" s="3457" t="s">
        <v>533</v>
      </c>
      <c r="Z8" s="3458"/>
      <c r="AA8" s="1557">
        <f t="shared" ref="AA8:AA47" si="3">D8/F8</f>
        <v>1</v>
      </c>
      <c r="AB8" s="1557">
        <f t="shared" ref="AB8:AB47" si="4">D8/H8</f>
        <v>1</v>
      </c>
      <c r="AC8" s="1557">
        <f t="shared" ref="AC8:AC47" si="5">D8/J8</f>
        <v>1</v>
      </c>
    </row>
    <row r="9" spans="1:29" s="1216" customFormat="1" ht="15">
      <c r="A9" s="2869"/>
      <c r="B9" s="2876" t="s">
        <v>2753</v>
      </c>
      <c r="C9" s="3183" t="s">
        <v>3011</v>
      </c>
      <c r="D9" s="254">
        <v>100</v>
      </c>
      <c r="E9" s="860" t="s">
        <v>1677</v>
      </c>
      <c r="F9" s="254">
        <f>SUMIF(64:64,E9,65:65)-SUMIF(64:64,C9,65:65)+100</f>
        <v>100</v>
      </c>
      <c r="G9" s="860" t="s">
        <v>1677</v>
      </c>
      <c r="H9" s="254">
        <f>SUMIF(64:64,G9,65:65)-SUMIF(64:64,C9,65:65)+100</f>
        <v>100</v>
      </c>
      <c r="I9" s="860" t="s">
        <v>1677</v>
      </c>
      <c r="J9" s="254">
        <f>SUMIF(64:64,I9,65:65)-SUMIF(64:64,C9,65:65)+100</f>
        <v>100</v>
      </c>
      <c r="K9" s="524"/>
      <c r="L9" s="2120"/>
      <c r="M9" s="2121"/>
      <c r="N9" s="2121"/>
      <c r="O9" s="2121"/>
      <c r="P9" s="3424" t="s">
        <v>535</v>
      </c>
      <c r="Q9" s="1147" t="str">
        <f t="shared" ref="Q9:Q15" si="6">B9</f>
        <v>用途</v>
      </c>
      <c r="R9" s="1554" t="s">
        <v>8</v>
      </c>
      <c r="S9" s="1555">
        <f t="shared" si="0"/>
        <v>100</v>
      </c>
      <c r="T9" s="1554" t="s">
        <v>8</v>
      </c>
      <c r="U9" s="1555">
        <f t="shared" si="1"/>
        <v>100</v>
      </c>
      <c r="V9" s="1554" t="s">
        <v>8</v>
      </c>
      <c r="W9" s="1555">
        <f t="shared" si="2"/>
        <v>100</v>
      </c>
      <c r="X9" s="1556"/>
      <c r="Y9" s="3370" t="s">
        <v>536</v>
      </c>
      <c r="Z9" s="1146" t="str">
        <f t="shared" ref="Z9:Z15" si="7">Q9</f>
        <v>用途</v>
      </c>
      <c r="AA9" s="1557">
        <f t="shared" si="3"/>
        <v>1</v>
      </c>
      <c r="AB9" s="1557">
        <f t="shared" si="4"/>
        <v>1</v>
      </c>
      <c r="AC9" s="1557">
        <f t="shared" si="5"/>
        <v>1</v>
      </c>
    </row>
    <row r="10" spans="1:29" s="1334" customFormat="1" ht="27">
      <c r="A10" s="2870"/>
      <c r="B10" s="2875" t="s">
        <v>2754</v>
      </c>
      <c r="C10" s="861" t="s">
        <v>3000</v>
      </c>
      <c r="D10" s="255">
        <v>100</v>
      </c>
      <c r="E10" s="861" t="s">
        <v>3000</v>
      </c>
      <c r="F10" s="255">
        <f>SUMIF(66:66,E10,67:67)-SUMIF(66:66,C10,67:67)+100</f>
        <v>100</v>
      </c>
      <c r="G10" s="861" t="s">
        <v>3000</v>
      </c>
      <c r="H10" s="255">
        <f>SUMIF(66:66,G10,67:67)-SUMIF(66:66,C10,67:67)+100</f>
        <v>100</v>
      </c>
      <c r="I10" s="861" t="s">
        <v>3000</v>
      </c>
      <c r="J10" s="255">
        <f>SUMIF(66:66,I10,67:67)-SUMIF(66:66,C10,67:67)+100</f>
        <v>100</v>
      </c>
      <c r="K10" s="584">
        <v>1</v>
      </c>
      <c r="L10" s="2123"/>
      <c r="M10" s="2163"/>
      <c r="N10" s="2163"/>
      <c r="O10" s="2163"/>
      <c r="P10" s="3424"/>
      <c r="Q10" s="1147" t="str">
        <f t="shared" si="6"/>
        <v>土地使用年限（年）</v>
      </c>
      <c r="R10" s="1554" t="s">
        <v>8</v>
      </c>
      <c r="S10" s="1555">
        <f t="shared" si="0"/>
        <v>100</v>
      </c>
      <c r="T10" s="1554" t="s">
        <v>8</v>
      </c>
      <c r="U10" s="1555">
        <f t="shared" si="1"/>
        <v>100</v>
      </c>
      <c r="V10" s="1554" t="s">
        <v>8</v>
      </c>
      <c r="W10" s="1555">
        <f t="shared" si="2"/>
        <v>100</v>
      </c>
      <c r="X10" s="1556"/>
      <c r="Y10" s="3370"/>
      <c r="Z10" s="1146" t="str">
        <f t="shared" si="7"/>
        <v>土地使用年限（年）</v>
      </c>
      <c r="AA10" s="1557">
        <f t="shared" si="3"/>
        <v>1</v>
      </c>
      <c r="AB10" s="1557">
        <f t="shared" si="4"/>
        <v>1</v>
      </c>
      <c r="AC10" s="1557">
        <f t="shared" si="5"/>
        <v>1</v>
      </c>
    </row>
    <row r="11" spans="1:29" ht="15.75" thickBot="1">
      <c r="A11" s="2871"/>
      <c r="B11" s="2875" t="s">
        <v>2755</v>
      </c>
      <c r="C11" s="533">
        <f>'数据-汇总表'!I6</f>
        <v>2.5</v>
      </c>
      <c r="D11" s="255">
        <v>100</v>
      </c>
      <c r="E11" s="533">
        <v>1.24</v>
      </c>
      <c r="F11" s="255">
        <f>LOOKUP(E11,69:69,70:70)-LOOKUP(C11,69:69,70:70)+100</f>
        <v>102</v>
      </c>
      <c r="G11" s="534">
        <v>1.5</v>
      </c>
      <c r="H11" s="255">
        <f>LOOKUP(G11,69:69,70:70)-LOOKUP(C11,69:69,70:70)+100</f>
        <v>102</v>
      </c>
      <c r="I11" s="533">
        <v>3.27</v>
      </c>
      <c r="J11" s="255">
        <f>LOOKUP(I11,69:69,70:70)-LOOKUP(C11,69:69,70:70)+100</f>
        <v>98</v>
      </c>
      <c r="K11" s="584">
        <v>2</v>
      </c>
      <c r="L11" s="2125"/>
      <c r="M11" s="2119"/>
      <c r="N11" s="2119"/>
      <c r="O11" s="2119"/>
      <c r="P11" s="3424"/>
      <c r="Q11" s="1147" t="str">
        <f t="shared" si="6"/>
        <v>容积率</v>
      </c>
      <c r="R11" s="1554" t="s">
        <v>8</v>
      </c>
      <c r="S11" s="1555">
        <f t="shared" si="0"/>
        <v>102</v>
      </c>
      <c r="T11" s="1554" t="s">
        <v>8</v>
      </c>
      <c r="U11" s="1555">
        <f t="shared" si="1"/>
        <v>102</v>
      </c>
      <c r="V11" s="1554" t="s">
        <v>8</v>
      </c>
      <c r="W11" s="1555">
        <f t="shared" si="2"/>
        <v>98</v>
      </c>
      <c r="X11" s="1556"/>
      <c r="Y11" s="3370"/>
      <c r="Z11" s="1146" t="str">
        <f t="shared" si="7"/>
        <v>容积率</v>
      </c>
      <c r="AA11" s="1557">
        <f t="shared" si="3"/>
        <v>0.98039215686274506</v>
      </c>
      <c r="AB11" s="1557">
        <f t="shared" si="4"/>
        <v>0.98039215686274506</v>
      </c>
      <c r="AC11" s="1557">
        <f t="shared" si="5"/>
        <v>1.0204081632653061</v>
      </c>
    </row>
    <row r="12" spans="1:29" s="1216" customFormat="1" ht="15" hidden="1">
      <c r="A12" s="2872"/>
      <c r="B12" s="2878">
        <v>111</v>
      </c>
      <c r="C12" s="528"/>
      <c r="D12" s="538">
        <v>100</v>
      </c>
      <c r="E12" s="528"/>
      <c r="F12" s="255">
        <f>SUMIF(71:71,E12,72:72)-SUMIF(71:71,C12,72:72)+100</f>
        <v>100</v>
      </c>
      <c r="G12" s="910"/>
      <c r="H12" s="255">
        <f>SUMIF(71:71,G12,72:72)-SUMIF(71:71,C12,72:72)+100</f>
        <v>100</v>
      </c>
      <c r="I12" s="528"/>
      <c r="J12" s="255">
        <f>SUMIF(71:71,I12,72:72)-SUMIF(71:71,C12,72:72)+100</f>
        <v>100</v>
      </c>
      <c r="K12" s="581"/>
      <c r="L12" s="2120"/>
      <c r="M12" s="2121"/>
      <c r="N12" s="2121"/>
      <c r="O12" s="2121"/>
      <c r="P12" s="3424"/>
      <c r="Q12" s="1147">
        <f t="shared" si="6"/>
        <v>111</v>
      </c>
      <c r="R12" s="1554" t="s">
        <v>8</v>
      </c>
      <c r="S12" s="1555">
        <f t="shared" si="0"/>
        <v>100</v>
      </c>
      <c r="T12" s="1554" t="s">
        <v>8</v>
      </c>
      <c r="U12" s="1555">
        <f t="shared" si="1"/>
        <v>100</v>
      </c>
      <c r="V12" s="1554" t="s">
        <v>8</v>
      </c>
      <c r="W12" s="1555">
        <f t="shared" si="2"/>
        <v>100</v>
      </c>
      <c r="X12" s="1556"/>
      <c r="Y12" s="3370"/>
      <c r="Z12" s="1146">
        <f t="shared" si="7"/>
        <v>111</v>
      </c>
      <c r="AA12" s="1557">
        <f>D12/F12</f>
        <v>1</v>
      </c>
      <c r="AB12" s="1557">
        <f>D12/H12</f>
        <v>1</v>
      </c>
      <c r="AC12" s="1557">
        <f>D12/J12</f>
        <v>1</v>
      </c>
    </row>
    <row r="13" spans="1:29" ht="15" hidden="1">
      <c r="A13" s="2872"/>
      <c r="B13" s="2878">
        <v>111</v>
      </c>
      <c r="C13" s="539"/>
      <c r="D13" s="540">
        <v>100</v>
      </c>
      <c r="E13" s="528"/>
      <c r="F13" s="255">
        <f>SUMIF(73:73,E13,74:74)-SUMIF(73:73,C13,74:74)+100</f>
        <v>100</v>
      </c>
      <c r="G13" s="910"/>
      <c r="H13" s="540">
        <f>SUMIF(73:73,G13,74:74)-SUMIF(73:73,C13,74:74)+100</f>
        <v>100</v>
      </c>
      <c r="I13" s="528"/>
      <c r="J13" s="540">
        <f>SUMIF(73:73,I13,74:74)-SUMIF(73:73,C13,74:74)+100</f>
        <v>100</v>
      </c>
      <c r="K13" s="581"/>
      <c r="L13" s="2127"/>
      <c r="M13" s="2119"/>
      <c r="N13" s="2119"/>
      <c r="O13" s="2119"/>
      <c r="P13" s="3424"/>
      <c r="Q13" s="1147">
        <f t="shared" si="6"/>
        <v>111</v>
      </c>
      <c r="R13" s="1554" t="s">
        <v>8</v>
      </c>
      <c r="S13" s="1555">
        <f t="shared" si="0"/>
        <v>100</v>
      </c>
      <c r="T13" s="1554" t="s">
        <v>8</v>
      </c>
      <c r="U13" s="1555">
        <f t="shared" si="1"/>
        <v>100</v>
      </c>
      <c r="V13" s="1554" t="s">
        <v>8</v>
      </c>
      <c r="W13" s="1555">
        <f t="shared" si="2"/>
        <v>100</v>
      </c>
      <c r="X13" s="1556"/>
      <c r="Y13" s="3370"/>
      <c r="Z13" s="1146">
        <f t="shared" si="7"/>
        <v>111</v>
      </c>
      <c r="AA13" s="1557">
        <f t="shared" si="3"/>
        <v>1</v>
      </c>
      <c r="AB13" s="1557">
        <f t="shared" si="4"/>
        <v>1</v>
      </c>
      <c r="AC13" s="1557">
        <f t="shared" si="5"/>
        <v>1</v>
      </c>
    </row>
    <row r="14" spans="1:29" ht="15.75" hidden="1" thickBot="1">
      <c r="A14" s="2873"/>
      <c r="B14" s="2879">
        <v>111</v>
      </c>
      <c r="C14" s="545"/>
      <c r="D14" s="546">
        <v>100</v>
      </c>
      <c r="E14" s="911"/>
      <c r="F14" s="546">
        <f>SUMIF(75:75,E14,76:76)-SUMIF(75:75,C14,76:76)+100</f>
        <v>100</v>
      </c>
      <c r="G14" s="910"/>
      <c r="H14" s="546">
        <f>SUMIF(75:75,G14,76:76)-SUMIF(75:75,C14,76:76)+100</f>
        <v>100</v>
      </c>
      <c r="I14" s="528"/>
      <c r="J14" s="546">
        <f>SUMIF(75:75,I14,76:76)-SUMIF(75:75,C14,76:76)+100</f>
        <v>100</v>
      </c>
      <c r="K14" s="581"/>
      <c r="L14" s="2127"/>
      <c r="M14" s="2119"/>
      <c r="N14" s="2119"/>
      <c r="O14" s="2119"/>
      <c r="P14" s="3424"/>
      <c r="Q14" s="1147">
        <f t="shared" si="6"/>
        <v>111</v>
      </c>
      <c r="R14" s="1554" t="s">
        <v>8</v>
      </c>
      <c r="S14" s="1555">
        <f t="shared" si="0"/>
        <v>100</v>
      </c>
      <c r="T14" s="1554" t="s">
        <v>8</v>
      </c>
      <c r="U14" s="1555">
        <f t="shared" si="1"/>
        <v>100</v>
      </c>
      <c r="V14" s="1554" t="s">
        <v>8</v>
      </c>
      <c r="W14" s="1555">
        <f t="shared" si="2"/>
        <v>100</v>
      </c>
      <c r="X14" s="1556"/>
      <c r="Y14" s="3370"/>
      <c r="Z14" s="1146">
        <f t="shared" si="7"/>
        <v>111</v>
      </c>
      <c r="AA14" s="1557">
        <f t="shared" si="3"/>
        <v>1</v>
      </c>
      <c r="AB14" s="1557">
        <f t="shared" si="4"/>
        <v>1</v>
      </c>
      <c r="AC14" s="1557">
        <f t="shared" si="5"/>
        <v>1</v>
      </c>
    </row>
    <row r="15" spans="1:29" ht="15">
      <c r="A15" s="2865" t="s">
        <v>2751</v>
      </c>
      <c r="B15" s="547" t="s">
        <v>542</v>
      </c>
      <c r="C15" s="548" t="str">
        <f>估价对象房地状况!C5</f>
        <v>一般</v>
      </c>
      <c r="D15" s="549">
        <v>100</v>
      </c>
      <c r="E15" s="552"/>
      <c r="F15" s="549">
        <f>SUMIF(77:77,E16,78:78)-SUMIF(77:77,C16,78:78)+100</f>
        <v>100</v>
      </c>
      <c r="G15" s="550"/>
      <c r="H15" s="549">
        <f>SUMIF(77:77,G16,78:78)-SUMIF(77:77,C16,78:78)+100</f>
        <v>100</v>
      </c>
      <c r="I15" s="550"/>
      <c r="J15" s="549">
        <f>SUMIF(77:77,I16,78:78)-SUMIF(77:77,C16,78:78)+100</f>
        <v>100</v>
      </c>
      <c r="K15" s="898">
        <v>2</v>
      </c>
      <c r="L15" s="2127"/>
      <c r="M15" s="2119"/>
      <c r="N15" s="2119"/>
      <c r="O15" s="2119"/>
      <c r="P15" s="3460" t="s">
        <v>540</v>
      </c>
      <c r="Q15" s="1558" t="str">
        <f t="shared" si="6"/>
        <v>办公集聚程度</v>
      </c>
      <c r="R15" s="1559" t="s">
        <v>8</v>
      </c>
      <c r="S15" s="1560">
        <f t="shared" si="0"/>
        <v>100</v>
      </c>
      <c r="T15" s="1559" t="s">
        <v>8</v>
      </c>
      <c r="U15" s="1560">
        <f t="shared" si="1"/>
        <v>100</v>
      </c>
      <c r="V15" s="1559" t="s">
        <v>8</v>
      </c>
      <c r="W15" s="1560">
        <f t="shared" si="2"/>
        <v>100</v>
      </c>
      <c r="X15" s="1553"/>
      <c r="Y15" s="3460" t="s">
        <v>540</v>
      </c>
      <c r="Z15" s="1561" t="str">
        <f t="shared" si="7"/>
        <v>办公集聚程度</v>
      </c>
      <c r="AA15" s="1562">
        <f t="shared" si="3"/>
        <v>1</v>
      </c>
      <c r="AB15" s="1562">
        <f t="shared" si="4"/>
        <v>1</v>
      </c>
      <c r="AC15" s="1562">
        <f t="shared" si="5"/>
        <v>1</v>
      </c>
    </row>
    <row r="16" spans="1:29" ht="15">
      <c r="A16" s="532"/>
      <c r="B16" s="553"/>
      <c r="C16" s="554" t="s">
        <v>3019</v>
      </c>
      <c r="D16" s="555"/>
      <c r="E16" s="576" t="s">
        <v>3019</v>
      </c>
      <c r="F16" s="555"/>
      <c r="G16" s="576" t="s">
        <v>3019</v>
      </c>
      <c r="H16" s="559"/>
      <c r="I16" s="576" t="s">
        <v>3019</v>
      </c>
      <c r="J16" s="555"/>
      <c r="K16" s="899"/>
      <c r="L16" s="2127"/>
      <c r="M16" s="2119"/>
      <c r="N16" s="2119"/>
      <c r="O16" s="2119"/>
      <c r="P16" s="3461"/>
      <c r="Q16" s="1558"/>
      <c r="R16" s="1559"/>
      <c r="S16" s="1560"/>
      <c r="T16" s="1559"/>
      <c r="U16" s="1560"/>
      <c r="V16" s="1559"/>
      <c r="W16" s="1560"/>
      <c r="X16" s="1553"/>
      <c r="Y16" s="3461"/>
      <c r="Z16" s="1561"/>
      <c r="AA16" s="1562">
        <v>1</v>
      </c>
      <c r="AB16" s="1562">
        <v>1</v>
      </c>
      <c r="AC16" s="1562">
        <v>1</v>
      </c>
    </row>
    <row r="17" spans="1:29" ht="15">
      <c r="A17" s="532"/>
      <c r="B17" s="560" t="s">
        <v>296</v>
      </c>
      <c r="C17" s="573" t="str">
        <f>估价对象房地状况!C6</f>
        <v>较好</v>
      </c>
      <c r="D17" s="559">
        <v>100</v>
      </c>
      <c r="E17" s="564"/>
      <c r="F17" s="559">
        <f>SUMIF(79:79,E18,80:80)-SUMIF(79:79,C18,80:80)+100</f>
        <v>100</v>
      </c>
      <c r="G17" s="562"/>
      <c r="H17" s="565">
        <f>SUMIF(79:79,G18,80:80)-SUMIF(79:79,C18,80:80)+100</f>
        <v>100</v>
      </c>
      <c r="I17" s="562"/>
      <c r="J17" s="565">
        <f>SUMIF(79:79,I18,80:80)-SUMIF(79:79,C18,80:80)+100</f>
        <v>100</v>
      </c>
      <c r="K17" s="898">
        <v>2</v>
      </c>
      <c r="L17" s="2127"/>
      <c r="M17" s="2119"/>
      <c r="N17" s="2119"/>
      <c r="O17" s="2119"/>
      <c r="P17" s="3461"/>
      <c r="Q17" s="1558" t="str">
        <f>B17</f>
        <v>交通便捷度</v>
      </c>
      <c r="R17" s="1559" t="s">
        <v>8</v>
      </c>
      <c r="S17" s="1560">
        <f>F17</f>
        <v>100</v>
      </c>
      <c r="T17" s="1559" t="s">
        <v>8</v>
      </c>
      <c r="U17" s="1560">
        <f>H17</f>
        <v>100</v>
      </c>
      <c r="V17" s="1559" t="s">
        <v>8</v>
      </c>
      <c r="W17" s="1560">
        <f>J17</f>
        <v>100</v>
      </c>
      <c r="X17" s="1553"/>
      <c r="Y17" s="3461"/>
      <c r="Z17" s="1561" t="str">
        <f>Q17</f>
        <v>交通便捷度</v>
      </c>
      <c r="AA17" s="1562">
        <f t="shared" si="3"/>
        <v>1</v>
      </c>
      <c r="AB17" s="1562">
        <f t="shared" si="4"/>
        <v>1</v>
      </c>
      <c r="AC17" s="1562">
        <f t="shared" si="5"/>
        <v>1</v>
      </c>
    </row>
    <row r="18" spans="1:29" ht="15">
      <c r="A18" s="532"/>
      <c r="B18" s="566"/>
      <c r="C18" s="567" t="s">
        <v>3020</v>
      </c>
      <c r="D18" s="559"/>
      <c r="E18" s="567" t="s">
        <v>3020</v>
      </c>
      <c r="F18" s="559"/>
      <c r="G18" s="567" t="s">
        <v>3020</v>
      </c>
      <c r="H18" s="555"/>
      <c r="I18" s="567" t="s">
        <v>3020</v>
      </c>
      <c r="J18" s="555"/>
      <c r="K18" s="899"/>
      <c r="L18" s="2127"/>
      <c r="M18" s="2119"/>
      <c r="N18" s="2119"/>
      <c r="O18" s="2119"/>
      <c r="P18" s="3461"/>
      <c r="Q18" s="1558"/>
      <c r="R18" s="1559"/>
      <c r="S18" s="1560"/>
      <c r="T18" s="1559"/>
      <c r="U18" s="1560"/>
      <c r="V18" s="1559"/>
      <c r="W18" s="1560"/>
      <c r="X18" s="1553"/>
      <c r="Y18" s="3461"/>
      <c r="Z18" s="1561"/>
      <c r="AA18" s="1562">
        <v>1</v>
      </c>
      <c r="AB18" s="1562">
        <v>1</v>
      </c>
      <c r="AC18" s="1562">
        <v>1</v>
      </c>
    </row>
    <row r="19" spans="1:29" ht="15">
      <c r="A19" s="532"/>
      <c r="B19" s="2567" t="s">
        <v>2543</v>
      </c>
      <c r="C19" s="573" t="str">
        <f>估价对象房地状况!C7</f>
        <v>一般</v>
      </c>
      <c r="D19" s="565">
        <v>100</v>
      </c>
      <c r="E19" s="572"/>
      <c r="F19" s="565">
        <f>SUMIF(81:81,E20,82:82)-SUMIF(81:81,C20,82:82)+100</f>
        <v>100</v>
      </c>
      <c r="G19" s="570"/>
      <c r="H19" s="559">
        <f>SUMIF(81:81,G20,82:82)-SUMIF(81:81,C20,82:82)+100</f>
        <v>100</v>
      </c>
      <c r="I19" s="570"/>
      <c r="J19" s="559">
        <f>SUMIF(81:81,I20,82:82)-SUMIF(81:81,C20,82:82)+100</f>
        <v>100</v>
      </c>
      <c r="K19" s="898">
        <v>2</v>
      </c>
      <c r="L19" s="2127"/>
      <c r="M19" s="2119"/>
      <c r="N19" s="2119"/>
      <c r="O19" s="2119"/>
      <c r="P19" s="3461"/>
      <c r="Q19" s="1558" t="str">
        <f>B19</f>
        <v>公共配套设施</v>
      </c>
      <c r="R19" s="1559" t="s">
        <v>8</v>
      </c>
      <c r="S19" s="1560">
        <f>F19</f>
        <v>100</v>
      </c>
      <c r="T19" s="1559" t="s">
        <v>8</v>
      </c>
      <c r="U19" s="1560">
        <f>H19</f>
        <v>100</v>
      </c>
      <c r="V19" s="1559" t="s">
        <v>8</v>
      </c>
      <c r="W19" s="1560">
        <f>J19</f>
        <v>100</v>
      </c>
      <c r="X19" s="1553"/>
      <c r="Y19" s="3461"/>
      <c r="Z19" s="1561" t="str">
        <f>Q19</f>
        <v>公共配套设施</v>
      </c>
      <c r="AA19" s="1562">
        <f t="shared" si="3"/>
        <v>1</v>
      </c>
      <c r="AB19" s="1562">
        <f t="shared" si="4"/>
        <v>1</v>
      </c>
      <c r="AC19" s="1562">
        <f t="shared" si="5"/>
        <v>1</v>
      </c>
    </row>
    <row r="20" spans="1:29" ht="15">
      <c r="A20" s="532"/>
      <c r="B20" s="566"/>
      <c r="C20" s="554" t="s">
        <v>3019</v>
      </c>
      <c r="D20" s="555"/>
      <c r="E20" s="554" t="s">
        <v>3019</v>
      </c>
      <c r="F20" s="555"/>
      <c r="G20" s="554" t="s">
        <v>3019</v>
      </c>
      <c r="H20" s="555"/>
      <c r="I20" s="554" t="s">
        <v>3019</v>
      </c>
      <c r="J20" s="555"/>
      <c r="K20" s="899"/>
      <c r="L20" s="2127"/>
      <c r="M20" s="2119"/>
      <c r="N20" s="2119"/>
      <c r="O20" s="2119"/>
      <c r="P20" s="3461"/>
      <c r="Q20" s="1558"/>
      <c r="R20" s="1559"/>
      <c r="S20" s="1560"/>
      <c r="T20" s="1559"/>
      <c r="U20" s="1560"/>
      <c r="V20" s="1559"/>
      <c r="W20" s="1560"/>
      <c r="X20" s="1553"/>
      <c r="Y20" s="3461"/>
      <c r="Z20" s="1561"/>
      <c r="AA20" s="1562">
        <v>1</v>
      </c>
      <c r="AB20" s="1562">
        <v>1</v>
      </c>
      <c r="AC20" s="1562">
        <v>1</v>
      </c>
    </row>
    <row r="21" spans="1:29" ht="15">
      <c r="A21" s="532"/>
      <c r="B21" s="2555" t="s">
        <v>2555</v>
      </c>
      <c r="C21" s="573" t="str">
        <f>估价对象房地状况!C8</f>
        <v>六通</v>
      </c>
      <c r="D21" s="565">
        <v>100</v>
      </c>
      <c r="E21" s="572"/>
      <c r="F21" s="565">
        <f>SUMIF(83:83,E22,84:84)-SUMIF(83:83,C22,84:84)+100</f>
        <v>100</v>
      </c>
      <c r="G21" s="570"/>
      <c r="H21" s="565">
        <f>SUMIF(83:83,G22,84:84)-SUMIF(83:83,C22,84:84)+100</f>
        <v>100</v>
      </c>
      <c r="I21" s="570"/>
      <c r="J21" s="565">
        <f>SUMIF(83:83,I22,84:84)-SUMIF(83:83,C22,84:84)+100</f>
        <v>100</v>
      </c>
      <c r="K21" s="898">
        <v>1</v>
      </c>
      <c r="L21" s="2127"/>
      <c r="M21" s="2119"/>
      <c r="N21" s="2119"/>
      <c r="O21" s="2119"/>
      <c r="P21" s="3461"/>
      <c r="Q21" s="2543" t="str">
        <f>B21</f>
        <v>基础设施水平</v>
      </c>
      <c r="R21" s="1559" t="s">
        <v>8</v>
      </c>
      <c r="S21" s="1560">
        <f>F21</f>
        <v>100</v>
      </c>
      <c r="T21" s="1559" t="s">
        <v>8</v>
      </c>
      <c r="U21" s="1560">
        <f>H21</f>
        <v>100</v>
      </c>
      <c r="V21" s="1559" t="s">
        <v>8</v>
      </c>
      <c r="W21" s="1560">
        <f>J21</f>
        <v>100</v>
      </c>
      <c r="X21" s="2545"/>
      <c r="Y21" s="3461"/>
      <c r="Z21" s="2544" t="str">
        <f>Q21</f>
        <v>基础设施水平</v>
      </c>
      <c r="AA21" s="1562">
        <f t="shared" ref="AA21" si="8">D21/F21</f>
        <v>1</v>
      </c>
      <c r="AB21" s="1562">
        <f t="shared" ref="AB21" si="9">D21/H21</f>
        <v>1</v>
      </c>
      <c r="AC21" s="1562">
        <f t="shared" ref="AC21" si="10">D21/J21</f>
        <v>1</v>
      </c>
    </row>
    <row r="22" spans="1:29" ht="15">
      <c r="A22" s="532"/>
      <c r="B22" s="578"/>
      <c r="C22" s="567" t="s">
        <v>3023</v>
      </c>
      <c r="D22" s="555"/>
      <c r="E22" s="567" t="s">
        <v>3023</v>
      </c>
      <c r="F22" s="555"/>
      <c r="G22" s="567" t="s">
        <v>3023</v>
      </c>
      <c r="H22" s="555"/>
      <c r="I22" s="567" t="s">
        <v>3023</v>
      </c>
      <c r="J22" s="555"/>
      <c r="K22" s="2566"/>
      <c r="L22" s="2127"/>
      <c r="M22" s="2119"/>
      <c r="N22" s="2119"/>
      <c r="O22" s="2119"/>
      <c r="P22" s="3461"/>
      <c r="Q22" s="2543"/>
      <c r="R22" s="1559"/>
      <c r="S22" s="1560"/>
      <c r="T22" s="1559"/>
      <c r="U22" s="1560"/>
      <c r="V22" s="1559"/>
      <c r="W22" s="1560"/>
      <c r="X22" s="2545"/>
      <c r="Y22" s="3461"/>
      <c r="Z22" s="2544"/>
      <c r="AA22" s="1562">
        <v>1</v>
      </c>
      <c r="AB22" s="1562">
        <v>1</v>
      </c>
      <c r="AC22" s="1562">
        <v>1</v>
      </c>
    </row>
    <row r="23" spans="1:29" ht="15">
      <c r="A23" s="532"/>
      <c r="B23" s="560" t="s">
        <v>778</v>
      </c>
      <c r="C23" s="573" t="str">
        <f>估价对象房地状况!C9</f>
        <v>较好</v>
      </c>
      <c r="D23" s="559">
        <v>100</v>
      </c>
      <c r="E23" s="564"/>
      <c r="F23" s="559">
        <f>SUMIF(85:85,E24,86:86)-SUMIF(85:85,C24,86:86)+100</f>
        <v>98</v>
      </c>
      <c r="G23" s="562"/>
      <c r="H23" s="559">
        <f>SUMIF(85:85,G24,86:86)-SUMIF(85:85,C24,86:86)+100</f>
        <v>98</v>
      </c>
      <c r="I23" s="562"/>
      <c r="J23" s="559">
        <f>SUMIF(85:85,I24,86:86)-SUMIF(85:85,C24,86:86)+100</f>
        <v>98</v>
      </c>
      <c r="K23" s="898">
        <v>2</v>
      </c>
      <c r="L23" s="2127"/>
      <c r="M23" s="2119"/>
      <c r="N23" s="2119"/>
      <c r="O23" s="2119"/>
      <c r="P23" s="3461"/>
      <c r="Q23" s="1558" t="str">
        <f>B23</f>
        <v>环境质量</v>
      </c>
      <c r="R23" s="1559" t="s">
        <v>8</v>
      </c>
      <c r="S23" s="1560">
        <f>F23</f>
        <v>98</v>
      </c>
      <c r="T23" s="1559" t="s">
        <v>8</v>
      </c>
      <c r="U23" s="1560">
        <f>H23</f>
        <v>98</v>
      </c>
      <c r="V23" s="1559" t="s">
        <v>8</v>
      </c>
      <c r="W23" s="1560">
        <f>J23</f>
        <v>98</v>
      </c>
      <c r="X23" s="1553"/>
      <c r="Y23" s="3461"/>
      <c r="Z23" s="1561" t="str">
        <f>Q23</f>
        <v>环境质量</v>
      </c>
      <c r="AA23" s="1562">
        <f t="shared" si="3"/>
        <v>1.0204081632653061</v>
      </c>
      <c r="AB23" s="1562">
        <f t="shared" si="4"/>
        <v>1.0204081632653061</v>
      </c>
      <c r="AC23" s="1562">
        <f t="shared" si="5"/>
        <v>1.0204081632653061</v>
      </c>
    </row>
    <row r="24" spans="1:29" ht="15.75" thickBot="1">
      <c r="A24" s="532"/>
      <c r="B24" s="578"/>
      <c r="C24" s="554" t="s">
        <v>3020</v>
      </c>
      <c r="D24" s="555"/>
      <c r="E24" s="558" t="s">
        <v>3019</v>
      </c>
      <c r="F24" s="555"/>
      <c r="G24" s="558" t="s">
        <v>3019</v>
      </c>
      <c r="H24" s="555"/>
      <c r="I24" s="558" t="s">
        <v>3019</v>
      </c>
      <c r="J24" s="555"/>
      <c r="K24" s="899"/>
      <c r="L24" s="2127"/>
      <c r="M24" s="2119"/>
      <c r="N24" s="2119"/>
      <c r="O24" s="2119"/>
      <c r="P24" s="3461"/>
      <c r="Q24" s="1558"/>
      <c r="R24" s="1559"/>
      <c r="S24" s="1560"/>
      <c r="T24" s="1559"/>
      <c r="U24" s="1560"/>
      <c r="V24" s="1559"/>
      <c r="W24" s="1560"/>
      <c r="X24" s="1553"/>
      <c r="Y24" s="3461"/>
      <c r="Z24" s="1561"/>
      <c r="AA24" s="1562">
        <v>1</v>
      </c>
      <c r="AB24" s="1562">
        <v>1</v>
      </c>
      <c r="AC24" s="1562">
        <v>1</v>
      </c>
    </row>
    <row r="25" spans="1:29" ht="27" hidden="1">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7"/>
      <c r="M25" s="2119"/>
      <c r="N25" s="2119"/>
      <c r="O25" s="2119"/>
      <c r="P25" s="3461"/>
      <c r="Q25" s="1558" t="str">
        <f>B25</f>
        <v>毗邻道路的类型与等级</v>
      </c>
      <c r="R25" s="1559" t="s">
        <v>8</v>
      </c>
      <c r="S25" s="1560">
        <f>F25</f>
        <v>100</v>
      </c>
      <c r="T25" s="1559" t="s">
        <v>8</v>
      </c>
      <c r="U25" s="1560">
        <f>H25</f>
        <v>100</v>
      </c>
      <c r="V25" s="1559" t="s">
        <v>8</v>
      </c>
      <c r="W25" s="1560">
        <f>J25</f>
        <v>100</v>
      </c>
      <c r="X25" s="1553"/>
      <c r="Y25" s="3461"/>
      <c r="Z25" s="1561" t="str">
        <f>Q25</f>
        <v>毗邻道路的类型与等级</v>
      </c>
      <c r="AA25" s="1562">
        <f t="shared" si="3"/>
        <v>1</v>
      </c>
      <c r="AB25" s="1562">
        <f t="shared" si="4"/>
        <v>1</v>
      </c>
      <c r="AC25" s="1562">
        <f t="shared" si="5"/>
        <v>1</v>
      </c>
    </row>
    <row r="26" spans="1:29" ht="15" hidden="1">
      <c r="A26" s="515"/>
      <c r="B26" s="566"/>
      <c r="C26" s="580"/>
      <c r="D26" s="540"/>
      <c r="E26" s="583"/>
      <c r="F26" s="540"/>
      <c r="G26" s="580"/>
      <c r="H26" s="540"/>
      <c r="I26" s="583"/>
      <c r="J26" s="540"/>
      <c r="K26" s="899"/>
      <c r="L26" s="2127"/>
      <c r="M26" s="2119"/>
      <c r="N26" s="2119"/>
      <c r="O26" s="2119"/>
      <c r="P26" s="3461"/>
      <c r="Q26" s="1558"/>
      <c r="R26" s="1559"/>
      <c r="S26" s="1560"/>
      <c r="T26" s="1559"/>
      <c r="U26" s="1560"/>
      <c r="V26" s="1559"/>
      <c r="W26" s="1560"/>
      <c r="X26" s="1553"/>
      <c r="Y26" s="3461"/>
      <c r="Z26" s="1561"/>
      <c r="AA26" s="1562">
        <v>1</v>
      </c>
      <c r="AB26" s="1562">
        <v>1</v>
      </c>
      <c r="AC26" s="1562">
        <v>1</v>
      </c>
    </row>
    <row r="27" spans="1:29" ht="15" hidden="1">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7"/>
      <c r="M27" s="2119"/>
      <c r="N27" s="2119"/>
      <c r="O27" s="2119"/>
      <c r="P27" s="3461"/>
      <c r="Q27" s="1558" t="str">
        <f t="shared" ref="Q27:Q47" si="11">B27</f>
        <v>楼层</v>
      </c>
      <c r="R27" s="1559" t="s">
        <v>8</v>
      </c>
      <c r="S27" s="1560">
        <f>F27</f>
        <v>100</v>
      </c>
      <c r="T27" s="1559" t="s">
        <v>8</v>
      </c>
      <c r="U27" s="1560">
        <f>H27</f>
        <v>100</v>
      </c>
      <c r="V27" s="1559" t="s">
        <v>8</v>
      </c>
      <c r="W27" s="1560">
        <f>J27</f>
        <v>100</v>
      </c>
      <c r="X27" s="1553"/>
      <c r="Y27" s="3461"/>
      <c r="Z27" s="1561" t="str">
        <f>Q27</f>
        <v>楼层</v>
      </c>
      <c r="AA27" s="1562">
        <f t="shared" si="3"/>
        <v>1</v>
      </c>
      <c r="AB27" s="1562">
        <f t="shared" si="4"/>
        <v>1</v>
      </c>
      <c r="AC27" s="1562">
        <f t="shared" si="5"/>
        <v>1</v>
      </c>
    </row>
    <row r="28" spans="1:29" s="1216" customFormat="1" ht="15" hidden="1">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0"/>
      <c r="M28" s="2121"/>
      <c r="N28" s="2121"/>
      <c r="O28" s="2121"/>
      <c r="P28" s="3461"/>
      <c r="Q28" s="1147" t="str">
        <f t="shared" si="11"/>
        <v>朝向</v>
      </c>
      <c r="R28" s="1554" t="s">
        <v>8</v>
      </c>
      <c r="S28" s="1555">
        <f>F28</f>
        <v>100</v>
      </c>
      <c r="T28" s="1554" t="s">
        <v>8</v>
      </c>
      <c r="U28" s="1555">
        <f>H28</f>
        <v>100</v>
      </c>
      <c r="V28" s="1554" t="s">
        <v>8</v>
      </c>
      <c r="W28" s="1555">
        <f>J28</f>
        <v>100</v>
      </c>
      <c r="X28" s="1556"/>
      <c r="Y28" s="3461"/>
      <c r="Z28" s="1146" t="str">
        <f>Q28</f>
        <v>朝向</v>
      </c>
      <c r="AA28" s="1562">
        <f>D28/F28</f>
        <v>1</v>
      </c>
      <c r="AB28" s="1562">
        <f>D28/H28</f>
        <v>1</v>
      </c>
      <c r="AC28" s="1562">
        <f>D28/J28</f>
        <v>1</v>
      </c>
    </row>
    <row r="29" spans="1:29" ht="15" hidden="1">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7"/>
      <c r="M29" s="2119"/>
      <c r="N29" s="2119"/>
      <c r="O29" s="2119"/>
      <c r="P29" s="3461"/>
      <c r="Q29" s="1558">
        <f t="shared" si="11"/>
        <v>111</v>
      </c>
      <c r="R29" s="1559" t="s">
        <v>8</v>
      </c>
      <c r="S29" s="1560">
        <f t="shared" ref="S29:S47" si="12">F29</f>
        <v>100</v>
      </c>
      <c r="T29" s="1559" t="s">
        <v>8</v>
      </c>
      <c r="U29" s="1560">
        <f t="shared" ref="U29:U47" si="13">H29</f>
        <v>100</v>
      </c>
      <c r="V29" s="1559" t="s">
        <v>8</v>
      </c>
      <c r="W29" s="1560">
        <f t="shared" ref="W29:W47" si="14">J29</f>
        <v>100</v>
      </c>
      <c r="X29" s="1553"/>
      <c r="Y29" s="3461"/>
      <c r="Z29" s="1561">
        <f t="shared" ref="Z29:Z47" si="15">Q29</f>
        <v>111</v>
      </c>
      <c r="AA29" s="1562">
        <f t="shared" si="3"/>
        <v>1</v>
      </c>
      <c r="AB29" s="1562">
        <f t="shared" si="4"/>
        <v>1</v>
      </c>
      <c r="AC29" s="1562">
        <f t="shared" si="5"/>
        <v>1</v>
      </c>
    </row>
    <row r="30" spans="1:29" ht="15" hidden="1">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7"/>
      <c r="M30" s="2119"/>
      <c r="N30" s="2119"/>
      <c r="O30" s="2119"/>
      <c r="P30" s="3461"/>
      <c r="Q30" s="1558">
        <f t="shared" si="11"/>
        <v>111</v>
      </c>
      <c r="R30" s="1559" t="s">
        <v>8</v>
      </c>
      <c r="S30" s="1560">
        <f t="shared" si="12"/>
        <v>100</v>
      </c>
      <c r="T30" s="1559" t="s">
        <v>8</v>
      </c>
      <c r="U30" s="1560">
        <f t="shared" si="13"/>
        <v>100</v>
      </c>
      <c r="V30" s="1559" t="s">
        <v>8</v>
      </c>
      <c r="W30" s="1560">
        <f t="shared" si="14"/>
        <v>100</v>
      </c>
      <c r="X30" s="1553"/>
      <c r="Y30" s="3461"/>
      <c r="Z30" s="1561">
        <f t="shared" si="15"/>
        <v>111</v>
      </c>
      <c r="AA30" s="1562">
        <f t="shared" si="3"/>
        <v>1</v>
      </c>
      <c r="AB30" s="1562">
        <f t="shared" si="4"/>
        <v>1</v>
      </c>
      <c r="AC30" s="1562">
        <f t="shared" si="5"/>
        <v>1</v>
      </c>
    </row>
    <row r="31" spans="1:29" ht="15" hidden="1">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7"/>
      <c r="M31" s="2119"/>
      <c r="N31" s="2119"/>
      <c r="O31" s="2119"/>
      <c r="P31" s="3461"/>
      <c r="Q31" s="1558">
        <f t="shared" si="11"/>
        <v>111</v>
      </c>
      <c r="R31" s="1559" t="s">
        <v>8</v>
      </c>
      <c r="S31" s="1560">
        <f t="shared" si="12"/>
        <v>100</v>
      </c>
      <c r="T31" s="1559" t="s">
        <v>8</v>
      </c>
      <c r="U31" s="1560">
        <f t="shared" si="13"/>
        <v>100</v>
      </c>
      <c r="V31" s="1559" t="s">
        <v>8</v>
      </c>
      <c r="W31" s="1560">
        <f t="shared" si="14"/>
        <v>100</v>
      </c>
      <c r="X31" s="1553"/>
      <c r="Y31" s="3461"/>
      <c r="Z31" s="1561">
        <f t="shared" si="15"/>
        <v>111</v>
      </c>
      <c r="AA31" s="1562">
        <f t="shared" si="3"/>
        <v>1</v>
      </c>
      <c r="AB31" s="1562">
        <f t="shared" si="4"/>
        <v>1</v>
      </c>
      <c r="AC31" s="1562">
        <f t="shared" si="5"/>
        <v>1</v>
      </c>
    </row>
    <row r="32" spans="1:29" ht="15.75" hidden="1"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7"/>
      <c r="M32" s="2119"/>
      <c r="N32" s="2119"/>
      <c r="O32" s="2119"/>
      <c r="P32" s="3461"/>
      <c r="Q32" s="1558">
        <f t="shared" si="11"/>
        <v>111</v>
      </c>
      <c r="R32" s="1559" t="s">
        <v>8</v>
      </c>
      <c r="S32" s="1560">
        <f t="shared" si="12"/>
        <v>100</v>
      </c>
      <c r="T32" s="1559" t="s">
        <v>8</v>
      </c>
      <c r="U32" s="1560">
        <f t="shared" si="13"/>
        <v>100</v>
      </c>
      <c r="V32" s="1559" t="s">
        <v>8</v>
      </c>
      <c r="W32" s="1560">
        <f t="shared" si="14"/>
        <v>100</v>
      </c>
      <c r="X32" s="1553"/>
      <c r="Y32" s="3461"/>
      <c r="Z32" s="1561">
        <f t="shared" si="15"/>
        <v>111</v>
      </c>
      <c r="AA32" s="1562">
        <f t="shared" si="3"/>
        <v>1</v>
      </c>
      <c r="AB32" s="1562">
        <f t="shared" si="4"/>
        <v>1</v>
      </c>
      <c r="AC32" s="1562">
        <f t="shared" si="5"/>
        <v>1</v>
      </c>
    </row>
    <row r="33" spans="1:29" ht="15">
      <c r="A33" s="2862" t="s">
        <v>2752</v>
      </c>
      <c r="B33" s="172" t="s">
        <v>780</v>
      </c>
      <c r="C33" s="916" t="s">
        <v>3025</v>
      </c>
      <c r="D33" s="597">
        <v>100</v>
      </c>
      <c r="E33" s="916" t="s">
        <v>3025</v>
      </c>
      <c r="F33" s="575">
        <f>SUMIF(101:101,E33,102:102)-SUMIF(101:101,C33,102:102)+100</f>
        <v>100</v>
      </c>
      <c r="G33" s="916" t="s">
        <v>3025</v>
      </c>
      <c r="H33" s="540">
        <f>SUMIF(101:101,G33,102:102)-SUMIF(101:101,C33,102:102)+100</f>
        <v>100</v>
      </c>
      <c r="I33" s="916" t="s">
        <v>3025</v>
      </c>
      <c r="J33" s="597">
        <f>SUMIF(101:101,I33,102:102)-SUMIF(101:101,C33,102:102)+100</f>
        <v>100</v>
      </c>
      <c r="K33" s="584">
        <v>2</v>
      </c>
      <c r="L33" s="2127"/>
      <c r="M33" s="2119"/>
      <c r="N33" s="2119"/>
      <c r="O33" s="2119"/>
      <c r="P33" s="3462" t="s">
        <v>550</v>
      </c>
      <c r="Q33" s="1558" t="str">
        <f t="shared" si="11"/>
        <v>建筑类型</v>
      </c>
      <c r="R33" s="1559" t="s">
        <v>8</v>
      </c>
      <c r="S33" s="1560">
        <f t="shared" si="12"/>
        <v>100</v>
      </c>
      <c r="T33" s="1559" t="s">
        <v>8</v>
      </c>
      <c r="U33" s="1560">
        <f t="shared" si="13"/>
        <v>100</v>
      </c>
      <c r="V33" s="1559" t="s">
        <v>8</v>
      </c>
      <c r="W33" s="1560">
        <f t="shared" si="14"/>
        <v>100</v>
      </c>
      <c r="X33" s="1553"/>
      <c r="Y33" s="3463" t="s">
        <v>550</v>
      </c>
      <c r="Z33" s="1561" t="str">
        <f t="shared" si="15"/>
        <v>建筑类型</v>
      </c>
      <c r="AA33" s="1562">
        <f t="shared" si="3"/>
        <v>1</v>
      </c>
      <c r="AB33" s="1562">
        <f t="shared" si="4"/>
        <v>1</v>
      </c>
      <c r="AC33" s="1562">
        <f t="shared" si="5"/>
        <v>1</v>
      </c>
    </row>
    <row r="34" spans="1:29" s="1335" customFormat="1" ht="15">
      <c r="A34" s="603"/>
      <c r="B34" s="527" t="s">
        <v>726</v>
      </c>
      <c r="C34" s="880">
        <f>'数据-基础表'!B3</f>
        <v>79462.3</v>
      </c>
      <c r="D34" s="255">
        <v>100</v>
      </c>
      <c r="E34" s="534">
        <v>180000</v>
      </c>
      <c r="F34" s="863">
        <f>LOOKUP(E34,104:104,105:105)-LOOKUP(C34,104:104,105:105)+100</f>
        <v>102</v>
      </c>
      <c r="G34" s="533">
        <v>131888</v>
      </c>
      <c r="H34" s="255">
        <f>LOOKUP(G34,104:104,105:105)-LOOKUP(C34,104:104,105:105)+100</f>
        <v>101</v>
      </c>
      <c r="I34" s="533">
        <v>76000</v>
      </c>
      <c r="J34" s="255">
        <f>LOOKUP(I34,104:104,105:105)-LOOKUP(C34,104:104,105:105)+100</f>
        <v>100</v>
      </c>
      <c r="K34" s="581"/>
      <c r="L34" s="2125"/>
      <c r="M34" s="2156"/>
      <c r="N34" s="2156"/>
      <c r="O34" s="2156"/>
      <c r="P34" s="3463"/>
      <c r="Q34" s="1590" t="str">
        <f t="shared" si="11"/>
        <v>项目建筑规模</v>
      </c>
      <c r="R34" s="1563" t="s">
        <v>8</v>
      </c>
      <c r="S34" s="1564">
        <f t="shared" si="12"/>
        <v>102</v>
      </c>
      <c r="T34" s="1563" t="s">
        <v>8</v>
      </c>
      <c r="U34" s="1564">
        <f t="shared" si="13"/>
        <v>101</v>
      </c>
      <c r="V34" s="1563" t="s">
        <v>8</v>
      </c>
      <c r="W34" s="1564">
        <f t="shared" si="14"/>
        <v>100</v>
      </c>
      <c r="X34" s="1565"/>
      <c r="Y34" s="3463"/>
      <c r="Z34" s="1566" t="str">
        <f t="shared" si="15"/>
        <v>项目建筑规模</v>
      </c>
      <c r="AA34" s="1562">
        <f t="shared" si="3"/>
        <v>0.98039215686274506</v>
      </c>
      <c r="AB34" s="1562">
        <f t="shared" si="4"/>
        <v>0.99009900990099009</v>
      </c>
      <c r="AC34" s="1562">
        <f t="shared" si="5"/>
        <v>1</v>
      </c>
    </row>
    <row r="35" spans="1:29" ht="15">
      <c r="A35" s="594"/>
      <c r="B35" s="527" t="s">
        <v>727</v>
      </c>
      <c r="C35" s="574" t="s">
        <v>3026</v>
      </c>
      <c r="D35" s="540">
        <v>100</v>
      </c>
      <c r="E35" s="574" t="s">
        <v>3026</v>
      </c>
      <c r="F35" s="575">
        <f>SUMIF(106:106,E35,107:107)-SUMIF(106:106,C35,107:107)+100</f>
        <v>100</v>
      </c>
      <c r="G35" s="574" t="s">
        <v>3026</v>
      </c>
      <c r="H35" s="540">
        <f>SUMIF(106:106,G35,107:107)-SUMIF(106:106,C35,107:107)+100</f>
        <v>100</v>
      </c>
      <c r="I35" s="574" t="s">
        <v>3026</v>
      </c>
      <c r="J35" s="540">
        <f>SUMIF(106:106,I35,107:107)-SUMIF(106:106,C35,107:107)+100</f>
        <v>100</v>
      </c>
      <c r="K35" s="584">
        <v>1</v>
      </c>
      <c r="L35" s="2127"/>
      <c r="M35" s="2119"/>
      <c r="N35" s="2119"/>
      <c r="O35" s="2119"/>
      <c r="P35" s="3463"/>
      <c r="Q35" s="1558" t="str">
        <f t="shared" si="11"/>
        <v>建筑结构</v>
      </c>
      <c r="R35" s="1559" t="s">
        <v>8</v>
      </c>
      <c r="S35" s="1560">
        <f t="shared" si="12"/>
        <v>100</v>
      </c>
      <c r="T35" s="1559" t="s">
        <v>8</v>
      </c>
      <c r="U35" s="1560">
        <f t="shared" si="13"/>
        <v>100</v>
      </c>
      <c r="V35" s="1559" t="s">
        <v>8</v>
      </c>
      <c r="W35" s="1560">
        <f t="shared" si="14"/>
        <v>100</v>
      </c>
      <c r="X35" s="1553"/>
      <c r="Y35" s="3463"/>
      <c r="Z35" s="1561" t="str">
        <f t="shared" si="15"/>
        <v>建筑结构</v>
      </c>
      <c r="AA35" s="1562">
        <f t="shared" si="3"/>
        <v>1</v>
      </c>
      <c r="AB35" s="1562">
        <f t="shared" si="4"/>
        <v>1</v>
      </c>
      <c r="AC35" s="1562">
        <f t="shared" si="5"/>
        <v>1</v>
      </c>
    </row>
    <row r="36" spans="1:29" ht="15">
      <c r="A36" s="594"/>
      <c r="B36" s="527" t="s">
        <v>763</v>
      </c>
      <c r="C36" s="574" t="s">
        <v>3027</v>
      </c>
      <c r="D36" s="540">
        <v>100</v>
      </c>
      <c r="E36" s="574" t="s">
        <v>3027</v>
      </c>
      <c r="F36" s="575">
        <f>SUMIF(108:108,E36,109:109)-SUMIF(108:108,C36,109:109)+100</f>
        <v>100</v>
      </c>
      <c r="G36" s="574" t="s">
        <v>3027</v>
      </c>
      <c r="H36" s="540">
        <f>SUMIF(108:108,G36,109:109)-SUMIF(108:108,C36,109:109)+100</f>
        <v>100</v>
      </c>
      <c r="I36" s="574" t="s">
        <v>3027</v>
      </c>
      <c r="J36" s="540">
        <f>SUMIF(108:108,I36,109:109)-SUMIF(108:108,C36,109:109)+100</f>
        <v>100</v>
      </c>
      <c r="K36" s="584">
        <v>2</v>
      </c>
      <c r="L36" s="2127"/>
      <c r="M36" s="2119"/>
      <c r="N36" s="2119"/>
      <c r="O36" s="2119"/>
      <c r="P36" s="3463"/>
      <c r="Q36" s="1558" t="str">
        <f t="shared" si="11"/>
        <v>公共部分装修</v>
      </c>
      <c r="R36" s="1559" t="s">
        <v>8</v>
      </c>
      <c r="S36" s="1560">
        <f t="shared" si="12"/>
        <v>100</v>
      </c>
      <c r="T36" s="1559" t="s">
        <v>8</v>
      </c>
      <c r="U36" s="1560">
        <f t="shared" si="13"/>
        <v>100</v>
      </c>
      <c r="V36" s="1559" t="s">
        <v>8</v>
      </c>
      <c r="W36" s="1560">
        <f t="shared" si="14"/>
        <v>100</v>
      </c>
      <c r="X36" s="1553"/>
      <c r="Y36" s="3463"/>
      <c r="Z36" s="1561" t="str">
        <f t="shared" si="15"/>
        <v>公共部分装修</v>
      </c>
      <c r="AA36" s="1562">
        <f t="shared" si="3"/>
        <v>1</v>
      </c>
      <c r="AB36" s="1562">
        <f t="shared" si="4"/>
        <v>1</v>
      </c>
      <c r="AC36" s="1562">
        <f t="shared" si="5"/>
        <v>1</v>
      </c>
    </row>
    <row r="37" spans="1:29" ht="15">
      <c r="A37" s="594"/>
      <c r="B37" s="527" t="s">
        <v>764</v>
      </c>
      <c r="C37" s="883">
        <v>1</v>
      </c>
      <c r="D37" s="540">
        <v>100</v>
      </c>
      <c r="E37" s="883">
        <v>1</v>
      </c>
      <c r="F37" s="575">
        <f>LOOKUP(E37,111:111,112:112)-LOOKUP(C37,111:111,112:112)+100</f>
        <v>100</v>
      </c>
      <c r="G37" s="883">
        <v>1</v>
      </c>
      <c r="H37" s="575">
        <f>LOOKUP(G37,111:111,112:112)-LOOKUP(C37,111:111,112:112)+100</f>
        <v>100</v>
      </c>
      <c r="I37" s="883">
        <v>1</v>
      </c>
      <c r="J37" s="540">
        <f>LOOKUP(I37,111:111,112:112)-LOOKUP(C37,111:111,112:112)+100</f>
        <v>100</v>
      </c>
      <c r="K37" s="584">
        <v>1</v>
      </c>
      <c r="L37" s="2127"/>
      <c r="M37" s="2119"/>
      <c r="N37" s="2119"/>
      <c r="O37" s="2119"/>
      <c r="P37" s="3463"/>
      <c r="Q37" s="1558" t="str">
        <f t="shared" si="11"/>
        <v>成新度</v>
      </c>
      <c r="R37" s="1559" t="s">
        <v>8</v>
      </c>
      <c r="S37" s="1560">
        <f t="shared" si="12"/>
        <v>100</v>
      </c>
      <c r="T37" s="1559" t="s">
        <v>8</v>
      </c>
      <c r="U37" s="1560">
        <f t="shared" si="13"/>
        <v>100</v>
      </c>
      <c r="V37" s="1559" t="s">
        <v>8</v>
      </c>
      <c r="W37" s="1560">
        <f t="shared" si="14"/>
        <v>100</v>
      </c>
      <c r="X37" s="1553"/>
      <c r="Y37" s="3463"/>
      <c r="Z37" s="1561" t="str">
        <f t="shared" si="15"/>
        <v>成新度</v>
      </c>
      <c r="AA37" s="1562">
        <f t="shared" si="3"/>
        <v>1</v>
      </c>
      <c r="AB37" s="1562">
        <f t="shared" si="4"/>
        <v>1</v>
      </c>
      <c r="AC37" s="1562">
        <f t="shared" si="5"/>
        <v>1</v>
      </c>
    </row>
    <row r="38" spans="1:29" s="1216" customFormat="1" ht="15" hidden="1">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0"/>
      <c r="M38" s="2121"/>
      <c r="N38" s="2121"/>
      <c r="O38" s="2121"/>
      <c r="P38" s="3463"/>
      <c r="Q38" s="1147" t="str">
        <f t="shared" si="11"/>
        <v>写字楼等级</v>
      </c>
      <c r="R38" s="1554" t="s">
        <v>8</v>
      </c>
      <c r="S38" s="1555">
        <f t="shared" si="12"/>
        <v>100</v>
      </c>
      <c r="T38" s="1554" t="s">
        <v>8</v>
      </c>
      <c r="U38" s="1555">
        <f t="shared" si="13"/>
        <v>100</v>
      </c>
      <c r="V38" s="1554" t="s">
        <v>8</v>
      </c>
      <c r="W38" s="1555">
        <f t="shared" si="14"/>
        <v>100</v>
      </c>
      <c r="X38" s="1556"/>
      <c r="Y38" s="3463"/>
      <c r="Z38" s="1146" t="str">
        <f t="shared" si="15"/>
        <v>写字楼等级</v>
      </c>
      <c r="AA38" s="1557">
        <f t="shared" si="3"/>
        <v>1</v>
      </c>
      <c r="AB38" s="1557">
        <f t="shared" si="4"/>
        <v>1</v>
      </c>
      <c r="AC38" s="1557">
        <f t="shared" si="5"/>
        <v>1</v>
      </c>
    </row>
    <row r="39" spans="1:29" ht="15">
      <c r="A39" s="594"/>
      <c r="B39" s="527" t="s">
        <v>782</v>
      </c>
      <c r="C39" s="574" t="s">
        <v>3020</v>
      </c>
      <c r="D39" s="540">
        <v>100</v>
      </c>
      <c r="E39" s="574" t="s">
        <v>3020</v>
      </c>
      <c r="F39" s="575">
        <f>SUMIF(115:115,E39,116:116)-SUMIF(115:115,C39,116:116)+100</f>
        <v>100</v>
      </c>
      <c r="G39" s="574" t="s">
        <v>3020</v>
      </c>
      <c r="H39" s="540">
        <f>SUMIF(115:115,G39,116:116)-SUMIF(115:115,C39,116:116)+100</f>
        <v>100</v>
      </c>
      <c r="I39" s="574" t="s">
        <v>3020</v>
      </c>
      <c r="J39" s="540">
        <f>SUMIF(115:115,I39,116:116)-SUMIF(115:115,C39,116:116)+100</f>
        <v>100</v>
      </c>
      <c r="K39" s="584">
        <v>1</v>
      </c>
      <c r="L39" s="2127"/>
      <c r="M39" s="2119"/>
      <c r="N39" s="2119"/>
      <c r="O39" s="2119"/>
      <c r="P39" s="3463" t="s">
        <v>550</v>
      </c>
      <c r="Q39" s="1558" t="str">
        <f t="shared" si="11"/>
        <v>物业管理</v>
      </c>
      <c r="R39" s="1559" t="s">
        <v>8</v>
      </c>
      <c r="S39" s="1560">
        <f t="shared" si="12"/>
        <v>100</v>
      </c>
      <c r="T39" s="1559" t="s">
        <v>8</v>
      </c>
      <c r="U39" s="1560">
        <f t="shared" si="13"/>
        <v>100</v>
      </c>
      <c r="V39" s="1559" t="s">
        <v>8</v>
      </c>
      <c r="W39" s="1560">
        <f t="shared" si="14"/>
        <v>100</v>
      </c>
      <c r="X39" s="1553"/>
      <c r="Y39" s="3463" t="s">
        <v>550</v>
      </c>
      <c r="Z39" s="1561" t="str">
        <f t="shared" si="15"/>
        <v>物业管理</v>
      </c>
      <c r="AA39" s="1562">
        <f t="shared" si="3"/>
        <v>1</v>
      </c>
      <c r="AB39" s="1562">
        <f t="shared" si="4"/>
        <v>1</v>
      </c>
      <c r="AC39" s="1562">
        <f t="shared" si="5"/>
        <v>1</v>
      </c>
    </row>
    <row r="40" spans="1:29" ht="15">
      <c r="A40" s="594"/>
      <c r="B40" s="1880" t="s">
        <v>2562</v>
      </c>
      <c r="C40" s="574" t="s">
        <v>3034</v>
      </c>
      <c r="D40" s="540">
        <v>100</v>
      </c>
      <c r="E40" s="574" t="s">
        <v>3034</v>
      </c>
      <c r="F40" s="575">
        <f>SUMIF(117:117,E40,118:118)-SUMIF(117:117,C40,118:118)+100</f>
        <v>100</v>
      </c>
      <c r="G40" s="574" t="s">
        <v>3034</v>
      </c>
      <c r="H40" s="540">
        <f>SUMIF(117:117,G40,118:118)-SUMIF(117:117,C40,118:118)+100</f>
        <v>100</v>
      </c>
      <c r="I40" s="574" t="s">
        <v>3034</v>
      </c>
      <c r="J40" s="540">
        <f>SUMIF(117:117,I40,118:118)-SUMIF(117:117,C40,118:118)+100</f>
        <v>100</v>
      </c>
      <c r="K40" s="584">
        <v>1</v>
      </c>
      <c r="L40" s="2127"/>
      <c r="M40" s="2119"/>
      <c r="N40" s="2119"/>
      <c r="O40" s="2119"/>
      <c r="P40" s="3463"/>
      <c r="Q40" s="1558" t="str">
        <f t="shared" si="11"/>
        <v>市政基础设施</v>
      </c>
      <c r="R40" s="1559" t="s">
        <v>8</v>
      </c>
      <c r="S40" s="1560">
        <f t="shared" si="12"/>
        <v>100</v>
      </c>
      <c r="T40" s="1559" t="s">
        <v>8</v>
      </c>
      <c r="U40" s="1560">
        <f t="shared" si="13"/>
        <v>100</v>
      </c>
      <c r="V40" s="1559" t="s">
        <v>8</v>
      </c>
      <c r="W40" s="1560">
        <f t="shared" si="14"/>
        <v>100</v>
      </c>
      <c r="X40" s="1553"/>
      <c r="Y40" s="3463"/>
      <c r="Z40" s="1561" t="str">
        <f t="shared" si="15"/>
        <v>市政基础设施</v>
      </c>
      <c r="AA40" s="1562">
        <f t="shared" si="3"/>
        <v>1</v>
      </c>
      <c r="AB40" s="1562">
        <f t="shared" si="4"/>
        <v>1</v>
      </c>
      <c r="AC40" s="1562">
        <f t="shared" si="5"/>
        <v>1</v>
      </c>
    </row>
    <row r="41" spans="1:29" ht="15">
      <c r="A41" s="594"/>
      <c r="B41" s="527" t="s">
        <v>767</v>
      </c>
      <c r="C41" s="583" t="s">
        <v>3037</v>
      </c>
      <c r="D41" s="540">
        <v>100</v>
      </c>
      <c r="E41" s="583" t="s">
        <v>3037</v>
      </c>
      <c r="F41" s="575">
        <f>SUMIF(119:119,E41,120:120)-SUMIF(119:119,C41,120:120)+100</f>
        <v>100</v>
      </c>
      <c r="G41" s="583" t="s">
        <v>3037</v>
      </c>
      <c r="H41" s="540">
        <f>SUMIF(119:119,G41,120:120)-SUMIF(119:119,C41,120:120)+100</f>
        <v>100</v>
      </c>
      <c r="I41" s="583" t="s">
        <v>3037</v>
      </c>
      <c r="J41" s="540">
        <f>SUMIF(119:119,I41,120:120)-SUMIF(119:119,C41,120:120)+100</f>
        <v>100</v>
      </c>
      <c r="K41" s="584">
        <v>2</v>
      </c>
      <c r="L41" s="2127"/>
      <c r="M41" s="2119"/>
      <c r="N41" s="2119"/>
      <c r="O41" s="2119"/>
      <c r="P41" s="3463"/>
      <c r="Q41" s="1558" t="str">
        <f t="shared" si="11"/>
        <v>层高</v>
      </c>
      <c r="R41" s="1559" t="s">
        <v>8</v>
      </c>
      <c r="S41" s="1560">
        <f t="shared" si="12"/>
        <v>100</v>
      </c>
      <c r="T41" s="1559" t="s">
        <v>8</v>
      </c>
      <c r="U41" s="1560">
        <f t="shared" si="13"/>
        <v>100</v>
      </c>
      <c r="V41" s="1559" t="s">
        <v>8</v>
      </c>
      <c r="W41" s="1560">
        <f t="shared" si="14"/>
        <v>100</v>
      </c>
      <c r="X41" s="1553"/>
      <c r="Y41" s="3463"/>
      <c r="Z41" s="1561" t="str">
        <f t="shared" si="15"/>
        <v>层高</v>
      </c>
      <c r="AA41" s="1562">
        <f t="shared" si="3"/>
        <v>1</v>
      </c>
      <c r="AB41" s="1562">
        <f t="shared" si="4"/>
        <v>1</v>
      </c>
      <c r="AC41" s="1562">
        <f t="shared" si="5"/>
        <v>1</v>
      </c>
    </row>
    <row r="42" spans="1:29" s="1335" customFormat="1" ht="15" hidden="1">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5"/>
      <c r="M42" s="2156"/>
      <c r="N42" s="2156"/>
      <c r="O42" s="2156"/>
      <c r="P42" s="3463"/>
      <c r="Q42" s="1590" t="str">
        <f t="shared" si="11"/>
        <v>单套建筑面积</v>
      </c>
      <c r="R42" s="1563" t="s">
        <v>8</v>
      </c>
      <c r="S42" s="1564">
        <f t="shared" si="12"/>
        <v>100</v>
      </c>
      <c r="T42" s="1563" t="s">
        <v>8</v>
      </c>
      <c r="U42" s="1564">
        <f t="shared" si="13"/>
        <v>100</v>
      </c>
      <c r="V42" s="1563" t="s">
        <v>8</v>
      </c>
      <c r="W42" s="1564">
        <f t="shared" si="14"/>
        <v>100</v>
      </c>
      <c r="X42" s="1565"/>
      <c r="Y42" s="3463"/>
      <c r="Z42" s="1566" t="str">
        <f t="shared" si="15"/>
        <v>单套建筑面积</v>
      </c>
      <c r="AA42" s="1562">
        <f t="shared" si="3"/>
        <v>1</v>
      </c>
      <c r="AB42" s="1562">
        <f t="shared" si="4"/>
        <v>1</v>
      </c>
      <c r="AC42" s="1562">
        <f t="shared" si="5"/>
        <v>1</v>
      </c>
    </row>
    <row r="43" spans="1:29" ht="15">
      <c r="A43" s="594"/>
      <c r="B43" s="527" t="s">
        <v>770</v>
      </c>
      <c r="C43" s="574" t="s">
        <v>3027</v>
      </c>
      <c r="D43" s="540">
        <v>100</v>
      </c>
      <c r="E43" s="574" t="s">
        <v>3008</v>
      </c>
      <c r="F43" s="575">
        <f>SUMIF(123:123,E43,124:124)-SUMIF(123:123,C43,124:124)+100</f>
        <v>95.5</v>
      </c>
      <c r="G43" s="574" t="s">
        <v>3008</v>
      </c>
      <c r="H43" s="540">
        <f>SUMIF(123:123,G43,124:124)-SUMIF(123:123,C43,124:124)+100</f>
        <v>95.5</v>
      </c>
      <c r="I43" s="574" t="s">
        <v>3008</v>
      </c>
      <c r="J43" s="540">
        <f>SUMIF(123:123,I43,124:124)-SUMIF(123:123,C43,124:124)+100</f>
        <v>95.5</v>
      </c>
      <c r="K43" s="584">
        <v>1.5</v>
      </c>
      <c r="L43" s="2127"/>
      <c r="M43" s="2119"/>
      <c r="N43" s="2119"/>
      <c r="O43" s="2119"/>
      <c r="P43" s="3463"/>
      <c r="Q43" s="1558" t="str">
        <f t="shared" si="11"/>
        <v>内部装修</v>
      </c>
      <c r="R43" s="1559" t="s">
        <v>8</v>
      </c>
      <c r="S43" s="1560">
        <f t="shared" si="12"/>
        <v>95.5</v>
      </c>
      <c r="T43" s="1559" t="s">
        <v>8</v>
      </c>
      <c r="U43" s="1560">
        <f t="shared" si="13"/>
        <v>95.5</v>
      </c>
      <c r="V43" s="1559" t="s">
        <v>8</v>
      </c>
      <c r="W43" s="1560">
        <f t="shared" si="14"/>
        <v>95.5</v>
      </c>
      <c r="X43" s="1553"/>
      <c r="Y43" s="3463"/>
      <c r="Z43" s="1561" t="str">
        <f t="shared" si="15"/>
        <v>内部装修</v>
      </c>
      <c r="AA43" s="1562">
        <f t="shared" si="3"/>
        <v>1.0471204188481675</v>
      </c>
      <c r="AB43" s="1562">
        <f t="shared" si="4"/>
        <v>1.0471204188481675</v>
      </c>
      <c r="AC43" s="1562">
        <f t="shared" si="5"/>
        <v>1.0471204188481675</v>
      </c>
    </row>
    <row r="44" spans="1:29" ht="27.75" thickBot="1">
      <c r="A44" s="594"/>
      <c r="B44" s="527" t="s">
        <v>735</v>
      </c>
      <c r="C44" s="574" t="s">
        <v>3020</v>
      </c>
      <c r="D44" s="540">
        <v>100</v>
      </c>
      <c r="E44" s="574" t="s">
        <v>3020</v>
      </c>
      <c r="F44" s="575">
        <f>SUMIF(125:125,E44,126:126)-SUMIF(125:125,C44,126:126)+100</f>
        <v>100</v>
      </c>
      <c r="G44" s="574" t="s">
        <v>3020</v>
      </c>
      <c r="H44" s="540">
        <f>SUMIF(125:125,G44,126:126)-SUMIF(125:125,C44,126:126)+100</f>
        <v>100</v>
      </c>
      <c r="I44" s="574" t="s">
        <v>3020</v>
      </c>
      <c r="J44" s="540">
        <f>SUMIF(125:125,I44,126:126)-SUMIF(125:125,C44,126:126)+100</f>
        <v>100</v>
      </c>
      <c r="K44" s="584">
        <v>1</v>
      </c>
      <c r="L44" s="2127"/>
      <c r="M44" s="2119"/>
      <c r="N44" s="2119"/>
      <c r="O44" s="2119"/>
      <c r="P44" s="3463"/>
      <c r="Q44" s="1558" t="str">
        <f t="shared" si="11"/>
        <v>内部装修维护情况</v>
      </c>
      <c r="R44" s="1559" t="s">
        <v>8</v>
      </c>
      <c r="S44" s="1560">
        <f t="shared" si="12"/>
        <v>100</v>
      </c>
      <c r="T44" s="1559" t="s">
        <v>8</v>
      </c>
      <c r="U44" s="1560">
        <f t="shared" si="13"/>
        <v>100</v>
      </c>
      <c r="V44" s="1559" t="s">
        <v>8</v>
      </c>
      <c r="W44" s="1560">
        <f t="shared" si="14"/>
        <v>100</v>
      </c>
      <c r="X44" s="1553"/>
      <c r="Y44" s="3463"/>
      <c r="Z44" s="1561" t="str">
        <f t="shared" si="15"/>
        <v>内部装修维护情况</v>
      </c>
      <c r="AA44" s="1562">
        <f t="shared" si="3"/>
        <v>1</v>
      </c>
      <c r="AB44" s="1562">
        <f t="shared" si="4"/>
        <v>1</v>
      </c>
      <c r="AC44" s="1562">
        <f t="shared" si="5"/>
        <v>1</v>
      </c>
    </row>
    <row r="45" spans="1:29" s="1216" customFormat="1" ht="15" hidden="1">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0"/>
      <c r="M45" s="2121"/>
      <c r="N45" s="2121"/>
      <c r="O45" s="2121"/>
      <c r="P45" s="3463"/>
      <c r="Q45" s="1147">
        <f t="shared" si="11"/>
        <v>111</v>
      </c>
      <c r="R45" s="1554" t="s">
        <v>8</v>
      </c>
      <c r="S45" s="1555">
        <f t="shared" si="12"/>
        <v>100</v>
      </c>
      <c r="T45" s="1554" t="s">
        <v>8</v>
      </c>
      <c r="U45" s="1555">
        <f t="shared" si="13"/>
        <v>100</v>
      </c>
      <c r="V45" s="1554" t="s">
        <v>8</v>
      </c>
      <c r="W45" s="1555">
        <f t="shared" si="14"/>
        <v>100</v>
      </c>
      <c r="X45" s="1556"/>
      <c r="Y45" s="3463"/>
      <c r="Z45" s="1146">
        <f t="shared" si="15"/>
        <v>111</v>
      </c>
      <c r="AA45" s="1557">
        <f t="shared" si="3"/>
        <v>1</v>
      </c>
      <c r="AB45" s="1557">
        <f t="shared" si="4"/>
        <v>1</v>
      </c>
      <c r="AC45" s="1557">
        <f t="shared" si="5"/>
        <v>1</v>
      </c>
    </row>
    <row r="46" spans="1:29" ht="15" hidden="1">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7"/>
      <c r="M46" s="2119"/>
      <c r="N46" s="2119"/>
      <c r="O46" s="2119"/>
      <c r="P46" s="3463"/>
      <c r="Q46" s="1558">
        <f t="shared" si="11"/>
        <v>111</v>
      </c>
      <c r="R46" s="1559" t="s">
        <v>8</v>
      </c>
      <c r="S46" s="1560">
        <f t="shared" si="12"/>
        <v>100</v>
      </c>
      <c r="T46" s="1559" t="s">
        <v>8</v>
      </c>
      <c r="U46" s="1560">
        <f t="shared" si="13"/>
        <v>100</v>
      </c>
      <c r="V46" s="1559" t="s">
        <v>8</v>
      </c>
      <c r="W46" s="1560">
        <f t="shared" si="14"/>
        <v>100</v>
      </c>
      <c r="X46" s="1553"/>
      <c r="Y46" s="3463"/>
      <c r="Z46" s="1561">
        <f t="shared" si="15"/>
        <v>111</v>
      </c>
      <c r="AA46" s="1562">
        <f t="shared" si="3"/>
        <v>1</v>
      </c>
      <c r="AB46" s="1562">
        <f t="shared" si="4"/>
        <v>1</v>
      </c>
      <c r="AC46" s="1562">
        <f t="shared" si="5"/>
        <v>1</v>
      </c>
    </row>
    <row r="47" spans="1:29" ht="15.75" hidden="1"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7"/>
      <c r="M47" s="2119"/>
      <c r="N47" s="2119"/>
      <c r="O47" s="2119"/>
      <c r="P47" s="3544"/>
      <c r="Q47" s="1558">
        <f t="shared" si="11"/>
        <v>111</v>
      </c>
      <c r="R47" s="1559" t="s">
        <v>8</v>
      </c>
      <c r="S47" s="1560">
        <f t="shared" si="12"/>
        <v>100</v>
      </c>
      <c r="T47" s="1559" t="s">
        <v>8</v>
      </c>
      <c r="U47" s="1560">
        <f t="shared" si="13"/>
        <v>100</v>
      </c>
      <c r="V47" s="1559" t="s">
        <v>8</v>
      </c>
      <c r="W47" s="1560">
        <f t="shared" si="14"/>
        <v>100</v>
      </c>
      <c r="X47" s="1553"/>
      <c r="Y47" s="3544"/>
      <c r="Z47" s="1561">
        <f t="shared" si="15"/>
        <v>111</v>
      </c>
      <c r="AA47" s="1562">
        <f t="shared" si="3"/>
        <v>1</v>
      </c>
      <c r="AB47" s="1562">
        <f t="shared" si="4"/>
        <v>1</v>
      </c>
      <c r="AC47" s="1562">
        <f t="shared" si="5"/>
        <v>1</v>
      </c>
    </row>
    <row r="48" spans="1:29" ht="15">
      <c r="A48" s="607" t="s">
        <v>736</v>
      </c>
      <c r="B48" s="887"/>
      <c r="C48" s="2591" t="s">
        <v>1</v>
      </c>
      <c r="D48" s="2592"/>
      <c r="E48" s="2593">
        <v>9500</v>
      </c>
      <c r="F48" s="2594"/>
      <c r="G48" s="2595">
        <v>9500</v>
      </c>
      <c r="H48" s="2596"/>
      <c r="I48" s="2593">
        <v>10000</v>
      </c>
      <c r="J48" s="2596"/>
      <c r="K48" s="1596"/>
      <c r="L48" s="2129"/>
      <c r="M48" s="2119"/>
      <c r="N48" s="2119"/>
      <c r="O48" s="2119"/>
      <c r="P48" s="3422" t="str">
        <f>A48</f>
        <v>成交单价（元/平方米）</v>
      </c>
      <c r="Q48" s="3424"/>
      <c r="R48" s="3542">
        <f>E48</f>
        <v>9500</v>
      </c>
      <c r="S48" s="3542"/>
      <c r="T48" s="3542">
        <f>G48</f>
        <v>9500</v>
      </c>
      <c r="U48" s="3542"/>
      <c r="V48" s="3542">
        <f>I48</f>
        <v>10000</v>
      </c>
      <c r="W48" s="3542"/>
      <c r="X48" s="1545"/>
      <c r="Y48" s="1567"/>
      <c r="Z48" s="1545"/>
      <c r="AA48" s="1545"/>
      <c r="AB48" s="1545"/>
      <c r="AC48" s="1545"/>
    </row>
    <row r="49" spans="1:29" ht="15.75" thickBot="1">
      <c r="A49" s="615" t="s">
        <v>2757</v>
      </c>
      <c r="B49" s="888"/>
      <c r="C49" s="2597" t="e">
        <f>R50</f>
        <v>#DIV/0!</v>
      </c>
      <c r="D49" s="2598"/>
      <c r="E49" s="2599" t="e">
        <f>R49</f>
        <v>#DIV/0!</v>
      </c>
      <c r="F49" s="2599"/>
      <c r="G49" s="2597" t="e">
        <f>T49</f>
        <v>#DIV/0!</v>
      </c>
      <c r="H49" s="2598"/>
      <c r="I49" s="2599" t="e">
        <f>V49</f>
        <v>#DIV/0!</v>
      </c>
      <c r="J49" s="2598"/>
      <c r="K49" s="1597"/>
      <c r="L49" s="2129"/>
      <c r="M49" s="2119"/>
      <c r="N49" s="2119"/>
      <c r="O49" s="2119"/>
      <c r="P49" s="3422" t="str">
        <f>A49</f>
        <v>比较价格（元/平方米）</v>
      </c>
      <c r="Q49" s="3424"/>
      <c r="R49" s="3542" t="e">
        <f>IF(F1="售价",ROUND(PRODUCT(R48,AA7:AA47),0),ROUND(PRODUCT(R48,AA7:AA47),1))</f>
        <v>#DIV/0!</v>
      </c>
      <c r="S49" s="3542"/>
      <c r="T49" s="3542" t="e">
        <f>IF(F1="售价",ROUND(PRODUCT(T48,AB7:AB47),0),ROUND(PRODUCT(T48,AB7:AB47),1))</f>
        <v>#DIV/0!</v>
      </c>
      <c r="U49" s="3542"/>
      <c r="V49" s="3542" t="e">
        <f>IF(F1="售价",ROUND(PRODUCT(V48,AC7:AC47),0),ROUND(PRODUCT(V48,AC7:AC47),1))</f>
        <v>#DIV/0!</v>
      </c>
      <c r="W49" s="3542"/>
      <c r="X49" s="1545"/>
      <c r="Y49" s="1545"/>
      <c r="Z49" s="1545"/>
      <c r="AA49" s="1545"/>
      <c r="AB49" s="1545"/>
      <c r="AC49" s="1545"/>
    </row>
    <row r="50" spans="1:29" ht="15.75" thickBot="1">
      <c r="A50" s="621" t="s">
        <v>2928</v>
      </c>
      <c r="B50" s="622"/>
      <c r="C50" s="2600" t="e">
        <f>R50</f>
        <v>#DIV/0!</v>
      </c>
      <c r="D50" s="2600"/>
      <c r="E50" s="2600"/>
      <c r="F50" s="2600"/>
      <c r="G50" s="2600"/>
      <c r="H50" s="2600"/>
      <c r="I50" s="2600"/>
      <c r="J50" s="2600"/>
      <c r="K50" s="1598"/>
      <c r="L50" s="2129"/>
      <c r="M50" s="2119"/>
      <c r="N50" s="2119"/>
      <c r="O50" s="2119"/>
      <c r="P50" s="3549" t="str">
        <f>A50</f>
        <v>估价对象XX用房的比较价格（楼面单价，元/平方米）</v>
      </c>
      <c r="Q50" s="3422"/>
      <c r="R50" s="3543" t="e">
        <f>IF(F1="售价",ROUND(AVERAGE(R49:V49),0),ROUND(AVERAGE(R49:V49),1))</f>
        <v>#DIV/0!</v>
      </c>
      <c r="S50" s="3543"/>
      <c r="T50" s="3543"/>
      <c r="U50" s="3543"/>
      <c r="V50" s="3543"/>
      <c r="W50" s="3543"/>
      <c r="X50" s="1545"/>
      <c r="Y50" s="1545"/>
      <c r="Z50" s="1545"/>
      <c r="AA50" s="1545"/>
      <c r="AB50" s="1545"/>
      <c r="AC50" s="1545"/>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f>IF(E48&lt;G48,G48/E48-1,E48/G48-1)</f>
        <v>0</v>
      </c>
      <c r="F55" s="627" t="str">
        <f>IF(OR(E55&gt;=0.3,E55&lt;=-0.3),"超过30%","")</f>
        <v/>
      </c>
      <c r="G55" s="626">
        <f>IF(G48&lt;I48,I48/G48-1,G48/I48-1)</f>
        <v>5.2631578947368363E-2</v>
      </c>
      <c r="H55" s="627" t="str">
        <f>IF(OR(G55&gt;=0.3,G55&lt;=-0.3),"超过30%","")</f>
        <v/>
      </c>
      <c r="I55" s="626">
        <f>IF(I48&lt;E48,E48/I48-1,I48/E48-1)</f>
        <v>5.2631578947368363E-2</v>
      </c>
      <c r="J55" s="627" t="str">
        <f>IF(OR(I55&gt;=0.3,I55&lt;=-0.3),"超过30%","")</f>
        <v/>
      </c>
      <c r="K55" s="2137"/>
      <c r="L55" s="2138"/>
      <c r="M55" s="2131"/>
      <c r="N55" s="2131"/>
      <c r="O55" s="2131"/>
      <c r="P55" s="2194"/>
      <c r="Q55" s="2131"/>
      <c r="R55" s="2131"/>
      <c r="S55" s="2131"/>
      <c r="T55" s="2131"/>
      <c r="U55" s="2131"/>
      <c r="V55" s="2131"/>
      <c r="W55" s="2131"/>
      <c r="X55" s="2131"/>
      <c r="Y55" s="2131"/>
      <c r="Z55" s="2131"/>
      <c r="AA55" s="2131"/>
      <c r="AB55" s="2131"/>
      <c r="AC55" s="2131"/>
    </row>
    <row r="56" spans="1:29" s="1341"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0" t="s">
        <v>574</v>
      </c>
      <c r="B58" s="1545"/>
      <c r="C58" s="1569"/>
      <c r="D58" s="1569"/>
      <c r="E58" s="1569"/>
      <c r="F58" s="1571"/>
      <c r="G58" s="1571"/>
      <c r="H58" s="1569"/>
      <c r="I58" s="1569"/>
      <c r="J58" s="1569"/>
      <c r="K58" s="1572"/>
      <c r="L58" s="1568"/>
      <c r="M58" s="1569"/>
      <c r="N58" s="1569"/>
      <c r="O58" s="1569"/>
      <c r="P58" s="2195"/>
      <c r="Q58" s="2143"/>
      <c r="R58" s="2130"/>
      <c r="S58" s="2130"/>
      <c r="T58" s="2130"/>
      <c r="U58" s="2130"/>
      <c r="V58" s="2130"/>
      <c r="W58" s="2130"/>
      <c r="X58" s="2130"/>
      <c r="Y58" s="2130"/>
      <c r="Z58" s="2130"/>
      <c r="AA58" s="2130"/>
      <c r="AB58" s="2130"/>
      <c r="AC58" s="2130"/>
    </row>
    <row r="59" spans="1:29" s="1343" customFormat="1" ht="15">
      <c r="A59" s="645" t="s">
        <v>529</v>
      </c>
      <c r="B59" s="646"/>
      <c r="C59" s="2757" t="str">
        <f>YEAR(C7)&amp;"-"&amp;MONTH(C7)</f>
        <v>2020-2</v>
      </c>
      <c r="D59" s="2759">
        <f>EDATE(C59,-1)</f>
        <v>43831</v>
      </c>
      <c r="E59" s="2759">
        <f t="shared" ref="E59:O59" si="16">EDATE(D59,-1)</f>
        <v>43800</v>
      </c>
      <c r="F59" s="2759">
        <f t="shared" si="16"/>
        <v>43770</v>
      </c>
      <c r="G59" s="2759">
        <f t="shared" si="16"/>
        <v>43739</v>
      </c>
      <c r="H59" s="2759">
        <f t="shared" si="16"/>
        <v>43709</v>
      </c>
      <c r="I59" s="2759">
        <f t="shared" si="16"/>
        <v>43678</v>
      </c>
      <c r="J59" s="2759">
        <f t="shared" si="16"/>
        <v>43647</v>
      </c>
      <c r="K59" s="2759">
        <f t="shared" si="16"/>
        <v>43617</v>
      </c>
      <c r="L59" s="2759">
        <f t="shared" si="16"/>
        <v>43586</v>
      </c>
      <c r="M59" s="2759">
        <f t="shared" si="16"/>
        <v>43556</v>
      </c>
      <c r="N59" s="2759">
        <f t="shared" si="16"/>
        <v>43525</v>
      </c>
      <c r="O59" s="2759">
        <f t="shared" si="16"/>
        <v>43497</v>
      </c>
      <c r="P59" s="2196"/>
      <c r="Q59" s="2146"/>
      <c r="R59" s="2146"/>
      <c r="S59" s="2146"/>
      <c r="T59" s="2146"/>
      <c r="U59" s="2146"/>
      <c r="V59" s="2146"/>
      <c r="W59" s="2146"/>
      <c r="X59" s="2146"/>
      <c r="Y59" s="2146"/>
      <c r="Z59" s="2146"/>
      <c r="AA59" s="2146"/>
      <c r="AB59" s="2146"/>
      <c r="AC59" s="2146"/>
    </row>
    <row r="60" spans="1:29" s="1216" customFormat="1" ht="15">
      <c r="A60" s="647"/>
      <c r="B60" s="648"/>
      <c r="C60" s="649">
        <v>100</v>
      </c>
      <c r="D60" s="650">
        <v>100</v>
      </c>
      <c r="E60" s="650"/>
      <c r="F60" s="650"/>
      <c r="G60" s="650"/>
      <c r="H60" s="650"/>
      <c r="I60" s="650"/>
      <c r="J60" s="650"/>
      <c r="K60" s="650"/>
      <c r="L60" s="650"/>
      <c r="M60" s="651"/>
      <c r="N60" s="650"/>
      <c r="O60" s="651"/>
      <c r="P60" s="2197"/>
      <c r="Q60" s="1978"/>
      <c r="R60" s="1978"/>
      <c r="S60" s="1978"/>
      <c r="T60" s="1978"/>
      <c r="U60" s="1978"/>
      <c r="V60" s="1978"/>
      <c r="W60" s="1978"/>
      <c r="X60" s="1978"/>
      <c r="Y60" s="1978"/>
      <c r="Z60" s="1978"/>
      <c r="AA60" s="1978"/>
      <c r="AB60" s="1978"/>
      <c r="AC60" s="1978"/>
    </row>
    <row r="61" spans="1:29" s="1216" customFormat="1" ht="15.75" thickBot="1">
      <c r="A61" s="653" t="s">
        <v>575</v>
      </c>
      <c r="B61" s="654"/>
      <c r="C61" s="655"/>
      <c r="D61" s="656"/>
      <c r="E61" s="656"/>
      <c r="F61" s="656"/>
      <c r="G61" s="656"/>
      <c r="H61" s="656"/>
      <c r="I61" s="656"/>
      <c r="J61" s="656"/>
      <c r="K61" s="656"/>
      <c r="L61" s="656"/>
      <c r="M61" s="657"/>
      <c r="N61" s="656"/>
      <c r="O61" s="657"/>
      <c r="P61" s="2197"/>
      <c r="Q61" s="2143"/>
      <c r="R61" s="1978"/>
      <c r="S61" s="1978"/>
      <c r="T61" s="1978"/>
      <c r="U61" s="1978"/>
      <c r="V61" s="1978"/>
      <c r="W61" s="1978"/>
      <c r="X61" s="1978"/>
      <c r="Y61" s="1978"/>
      <c r="Z61" s="1978"/>
      <c r="AA61" s="1978"/>
      <c r="AB61" s="1978"/>
      <c r="AC61" s="1978"/>
    </row>
    <row r="62" spans="1:29" s="1216" customFormat="1" ht="15">
      <c r="A62" s="659" t="s">
        <v>531</v>
      </c>
      <c r="B62" s="648"/>
      <c r="C62" s="660" t="s">
        <v>576</v>
      </c>
      <c r="D62" s="661"/>
      <c r="E62" s="661"/>
      <c r="F62" s="661"/>
      <c r="G62" s="661"/>
      <c r="H62" s="661"/>
      <c r="I62" s="661"/>
      <c r="J62" s="661"/>
      <c r="K62" s="661"/>
      <c r="L62" s="662"/>
      <c r="M62" s="663"/>
      <c r="N62" s="2147"/>
      <c r="O62" s="2147"/>
      <c r="P62" s="2198"/>
      <c r="Q62" s="2143"/>
      <c r="R62" s="1978"/>
      <c r="S62" s="1978"/>
      <c r="T62" s="1978"/>
      <c r="U62" s="1978"/>
      <c r="V62" s="1978"/>
      <c r="W62" s="1978"/>
      <c r="X62" s="1978"/>
      <c r="Y62" s="1978"/>
      <c r="Z62" s="1978"/>
      <c r="AA62" s="1978"/>
      <c r="AB62" s="1978"/>
      <c r="AC62" s="1978"/>
    </row>
    <row r="63" spans="1:29" s="1216" customFormat="1" ht="15.75" thickBot="1">
      <c r="A63" s="659"/>
      <c r="B63" s="648"/>
      <c r="C63" s="889">
        <v>100</v>
      </c>
      <c r="D63" s="650"/>
      <c r="E63" s="650"/>
      <c r="F63" s="650"/>
      <c r="G63" s="650"/>
      <c r="H63" s="650"/>
      <c r="I63" s="650"/>
      <c r="J63" s="650"/>
      <c r="K63" s="650"/>
      <c r="L63" s="650"/>
      <c r="M63" s="652"/>
      <c r="N63" s="2147"/>
      <c r="O63" s="2147"/>
      <c r="P63" s="2197"/>
      <c r="Q63" s="2143"/>
      <c r="R63" s="1978"/>
      <c r="S63" s="1978"/>
      <c r="T63" s="1978"/>
      <c r="U63" s="1978"/>
      <c r="V63" s="1978"/>
      <c r="W63" s="1978"/>
      <c r="X63" s="1978"/>
      <c r="Y63" s="1978"/>
      <c r="Z63" s="1978"/>
      <c r="AA63" s="1978"/>
      <c r="AB63" s="1978"/>
      <c r="AC63" s="1978"/>
    </row>
    <row r="64" spans="1:29">
      <c r="A64" s="664" t="s">
        <v>577</v>
      </c>
      <c r="B64" s="665" t="s">
        <v>534</v>
      </c>
      <c r="C64" s="704" t="str">
        <f>C9</f>
        <v>办公</v>
      </c>
      <c r="D64" s="598"/>
      <c r="E64" s="598"/>
      <c r="F64" s="598"/>
      <c r="G64" s="598"/>
      <c r="H64" s="598"/>
      <c r="I64" s="598"/>
      <c r="J64" s="598"/>
      <c r="K64" s="666"/>
      <c r="L64" s="667"/>
      <c r="M64" s="668"/>
      <c r="N64" s="2149"/>
      <c r="O64" s="2149"/>
      <c r="P64" s="2199"/>
      <c r="Q64" s="2143"/>
      <c r="R64" s="2130"/>
      <c r="S64" s="2130"/>
      <c r="T64" s="2130"/>
      <c r="U64" s="2130"/>
      <c r="V64" s="2130"/>
      <c r="W64" s="2130"/>
      <c r="X64" s="2130"/>
      <c r="Y64" s="2130"/>
      <c r="Z64" s="2130"/>
      <c r="AA64" s="2130"/>
      <c r="AB64" s="2130"/>
      <c r="AC64" s="2130"/>
    </row>
    <row r="65" spans="1:29" ht="15.75" thickBot="1">
      <c r="A65" s="669"/>
      <c r="B65" s="670"/>
      <c r="C65" s="671">
        <v>100</v>
      </c>
      <c r="D65" s="671"/>
      <c r="E65" s="671"/>
      <c r="F65" s="671"/>
      <c r="G65" s="671"/>
      <c r="H65" s="671"/>
      <c r="I65" s="671"/>
      <c r="J65" s="671"/>
      <c r="K65" s="671"/>
      <c r="L65" s="671"/>
      <c r="M65" s="672"/>
      <c r="N65" s="2151"/>
      <c r="O65" s="2151"/>
      <c r="P65" s="2199"/>
      <c r="Q65" s="2143"/>
      <c r="R65" s="2130"/>
      <c r="S65" s="2130"/>
      <c r="T65" s="2130"/>
      <c r="U65" s="2130"/>
      <c r="V65" s="2130"/>
      <c r="W65" s="2130"/>
      <c r="X65" s="2130"/>
      <c r="Y65" s="2130"/>
      <c r="Z65" s="2130"/>
      <c r="AA65" s="2130"/>
      <c r="AB65" s="2130"/>
      <c r="AC65" s="2130"/>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49"/>
      <c r="O66" s="2149"/>
      <c r="P66" s="2199"/>
      <c r="Q66" s="2143"/>
      <c r="R66" s="2130"/>
      <c r="S66" s="2130"/>
      <c r="T66" s="2130"/>
      <c r="U66" s="2130"/>
      <c r="V66" s="2130"/>
      <c r="W66" s="2130"/>
      <c r="X66" s="2130"/>
      <c r="Y66" s="2130"/>
      <c r="Z66" s="2130"/>
      <c r="AA66" s="2130"/>
      <c r="AB66" s="2130"/>
      <c r="AC66" s="2130"/>
    </row>
    <row r="67" spans="1:29" ht="15.75" thickBot="1">
      <c r="A67" s="669"/>
      <c r="B67" s="678"/>
      <c r="C67" s="679" t="s">
        <v>14</v>
      </c>
      <c r="D67" s="679" t="s">
        <v>15</v>
      </c>
      <c r="E67" s="679">
        <v>100</v>
      </c>
      <c r="F67" s="679">
        <f>E67-$K10</f>
        <v>99</v>
      </c>
      <c r="G67" s="679">
        <f>F67-$K10</f>
        <v>98</v>
      </c>
      <c r="H67" s="679">
        <f>G67-$K10</f>
        <v>97</v>
      </c>
      <c r="I67" s="679">
        <f>H67-$K10</f>
        <v>96</v>
      </c>
      <c r="J67" s="679"/>
      <c r="K67" s="679"/>
      <c r="L67" s="679"/>
      <c r="M67" s="680"/>
      <c r="N67" s="2151"/>
      <c r="O67" s="2151"/>
      <c r="P67" s="2199"/>
      <c r="Q67" s="2143"/>
      <c r="R67" s="2130"/>
      <c r="S67" s="2130"/>
      <c r="T67" s="2130"/>
      <c r="U67" s="2130"/>
      <c r="V67" s="2130"/>
      <c r="W67" s="2130"/>
      <c r="X67" s="2130"/>
      <c r="Y67" s="2130"/>
      <c r="Z67" s="2130"/>
      <c r="AA67" s="2130"/>
      <c r="AB67" s="2130"/>
      <c r="AC67" s="2130"/>
    </row>
    <row r="68" spans="1:29" ht="15.75" thickTop="1">
      <c r="A68" s="669"/>
      <c r="B68" s="681" t="s">
        <v>538</v>
      </c>
      <c r="C68" s="682" t="str">
        <f>C69&amp;"（含）"&amp;"-"&amp;D69</f>
        <v>0（含）-1</v>
      </c>
      <c r="D68" s="682" t="str">
        <f t="shared" ref="D68:L68" si="17">D69&amp;"（含）"&amp;"-"&amp;E69</f>
        <v>1（含）-2</v>
      </c>
      <c r="E68" s="682" t="str">
        <f t="shared" si="17"/>
        <v>2（含）-3</v>
      </c>
      <c r="F68" s="682" t="str">
        <f t="shared" si="17"/>
        <v>3（含）-4</v>
      </c>
      <c r="G68" s="682" t="str">
        <f t="shared" si="17"/>
        <v>4（含）-</v>
      </c>
      <c r="H68" s="682" t="str">
        <f t="shared" si="17"/>
        <v>（含）-</v>
      </c>
      <c r="I68" s="682" t="str">
        <f t="shared" si="17"/>
        <v>（含）-</v>
      </c>
      <c r="J68" s="682" t="str">
        <f t="shared" si="17"/>
        <v>（含）-</v>
      </c>
      <c r="K68" s="682" t="str">
        <f t="shared" si="17"/>
        <v>（含）-</v>
      </c>
      <c r="L68" s="682" t="str">
        <f t="shared" si="17"/>
        <v>（含）-</v>
      </c>
      <c r="M68" s="555"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9"/>
      <c r="B69" s="683"/>
      <c r="C69" s="541">
        <v>0</v>
      </c>
      <c r="D69" s="541">
        <v>1</v>
      </c>
      <c r="E69" s="541">
        <v>2</v>
      </c>
      <c r="F69" s="541">
        <v>3</v>
      </c>
      <c r="G69" s="541">
        <v>4</v>
      </c>
      <c r="H69" s="541"/>
      <c r="I69" s="541"/>
      <c r="J69" s="541"/>
      <c r="K69" s="684"/>
      <c r="L69" s="685"/>
      <c r="M69" s="686"/>
      <c r="N69" s="2149"/>
      <c r="O69" s="2149"/>
      <c r="P69" s="2199"/>
      <c r="Q69" s="2143"/>
      <c r="R69" s="2130"/>
      <c r="S69" s="2130"/>
      <c r="T69" s="2130"/>
      <c r="U69" s="2130"/>
      <c r="V69" s="2130"/>
      <c r="W69" s="2130"/>
      <c r="X69" s="2130"/>
      <c r="Y69" s="2130"/>
      <c r="Z69" s="2130"/>
      <c r="AA69" s="2130"/>
      <c r="AB69" s="2130"/>
      <c r="AC69" s="2130"/>
    </row>
    <row r="70" spans="1:29" ht="15.75" thickBot="1">
      <c r="A70" s="669"/>
      <c r="B70" s="670"/>
      <c r="C70" s="679">
        <v>100</v>
      </c>
      <c r="D70" s="679">
        <f t="shared" ref="D70:M70" si="18">C70-$K11</f>
        <v>98</v>
      </c>
      <c r="E70" s="679">
        <f t="shared" si="18"/>
        <v>96</v>
      </c>
      <c r="F70" s="679">
        <f t="shared" si="18"/>
        <v>94</v>
      </c>
      <c r="G70" s="679">
        <f t="shared" si="18"/>
        <v>92</v>
      </c>
      <c r="H70" s="679">
        <f t="shared" si="18"/>
        <v>90</v>
      </c>
      <c r="I70" s="679">
        <f t="shared" si="18"/>
        <v>88</v>
      </c>
      <c r="J70" s="679">
        <f t="shared" si="18"/>
        <v>86</v>
      </c>
      <c r="K70" s="679">
        <f t="shared" si="18"/>
        <v>84</v>
      </c>
      <c r="L70" s="679">
        <f t="shared" si="18"/>
        <v>82</v>
      </c>
      <c r="M70" s="680">
        <f t="shared" si="18"/>
        <v>80</v>
      </c>
      <c r="N70" s="2151"/>
      <c r="O70" s="2151"/>
      <c r="P70" s="2199"/>
      <c r="Q70" s="2143"/>
      <c r="R70" s="2130"/>
      <c r="S70" s="2130"/>
      <c r="T70" s="2130"/>
      <c r="U70" s="2130"/>
      <c r="V70" s="2130"/>
      <c r="W70" s="2130"/>
      <c r="X70" s="2130"/>
      <c r="Y70" s="2130"/>
      <c r="Z70" s="2130"/>
      <c r="AA70" s="2130"/>
      <c r="AB70" s="2130"/>
      <c r="AC70" s="2130"/>
    </row>
    <row r="71" spans="1:29" s="1335" customFormat="1" ht="15.75" thickTop="1">
      <c r="A71" s="687"/>
      <c r="B71" s="673">
        <f>B12</f>
        <v>111</v>
      </c>
      <c r="C71" s="688"/>
      <c r="D71" s="688"/>
      <c r="E71" s="688"/>
      <c r="F71" s="688"/>
      <c r="G71" s="688"/>
      <c r="H71" s="689"/>
      <c r="I71" s="689"/>
      <c r="J71" s="689"/>
      <c r="K71" s="689"/>
      <c r="L71" s="690"/>
      <c r="M71" s="691"/>
      <c r="N71" s="2152"/>
      <c r="O71" s="2152"/>
      <c r="P71" s="2200"/>
      <c r="Q71" s="2154"/>
      <c r="R71" s="2155"/>
      <c r="S71" s="2155"/>
      <c r="T71" s="2155"/>
      <c r="U71" s="2155"/>
      <c r="V71" s="2155"/>
      <c r="W71" s="2155"/>
      <c r="X71" s="2155"/>
      <c r="Y71" s="2155"/>
      <c r="Z71" s="2155"/>
      <c r="AA71" s="2155"/>
      <c r="AB71" s="2155"/>
      <c r="AC71" s="2155"/>
    </row>
    <row r="72" spans="1:29" s="1335" customFormat="1" ht="15.75" thickBot="1">
      <c r="A72" s="687"/>
      <c r="B72" s="678"/>
      <c r="C72" s="692"/>
      <c r="D72" s="671"/>
      <c r="E72" s="671"/>
      <c r="F72" s="671"/>
      <c r="G72" s="671"/>
      <c r="H72" s="671"/>
      <c r="I72" s="671"/>
      <c r="J72" s="671"/>
      <c r="K72" s="671"/>
      <c r="L72" s="671"/>
      <c r="M72" s="672"/>
      <c r="N72" s="2151"/>
      <c r="O72" s="2151"/>
      <c r="P72" s="2200"/>
      <c r="Q72" s="2154"/>
      <c r="R72" s="2155"/>
      <c r="S72" s="2155"/>
      <c r="T72" s="2155"/>
      <c r="U72" s="2155"/>
      <c r="V72" s="2155"/>
      <c r="W72" s="2155"/>
      <c r="X72" s="2155"/>
      <c r="Y72" s="2155"/>
      <c r="Z72" s="2155"/>
      <c r="AA72" s="2155"/>
      <c r="AB72" s="2155"/>
      <c r="AC72" s="2155"/>
    </row>
    <row r="73" spans="1:29" s="1335" customFormat="1" ht="15.75" thickTop="1">
      <c r="A73" s="687"/>
      <c r="B73" s="673">
        <f>B13</f>
        <v>111</v>
      </c>
      <c r="C73" s="688"/>
      <c r="D73" s="688"/>
      <c r="E73" s="688"/>
      <c r="F73" s="688"/>
      <c r="G73" s="688"/>
      <c r="H73" s="689"/>
      <c r="I73" s="689"/>
      <c r="J73" s="689"/>
      <c r="K73" s="689"/>
      <c r="L73" s="690"/>
      <c r="M73" s="691"/>
      <c r="N73" s="2152"/>
      <c r="O73" s="2152"/>
      <c r="P73" s="2201"/>
      <c r="Q73" s="2157"/>
      <c r="R73" s="2155"/>
      <c r="S73" s="2155"/>
      <c r="T73" s="2155"/>
      <c r="U73" s="2155"/>
      <c r="V73" s="2155"/>
      <c r="W73" s="2155"/>
      <c r="X73" s="2155"/>
      <c r="Y73" s="2155"/>
      <c r="Z73" s="2155"/>
      <c r="AA73" s="2155"/>
      <c r="AB73" s="2155"/>
      <c r="AC73" s="2155"/>
    </row>
    <row r="74" spans="1:29" s="1335" customFormat="1" ht="15.75" thickBot="1">
      <c r="A74" s="687"/>
      <c r="B74" s="678"/>
      <c r="C74" s="692"/>
      <c r="D74" s="692"/>
      <c r="E74" s="692"/>
      <c r="F74" s="692"/>
      <c r="G74" s="692"/>
      <c r="H74" s="693"/>
      <c r="I74" s="693"/>
      <c r="J74" s="693"/>
      <c r="K74" s="693"/>
      <c r="L74" s="693"/>
      <c r="M74" s="694"/>
      <c r="N74" s="2152"/>
      <c r="O74" s="2152"/>
      <c r="P74" s="2200"/>
      <c r="Q74" s="2154"/>
      <c r="R74" s="2155"/>
      <c r="S74" s="2155"/>
      <c r="T74" s="2155"/>
      <c r="U74" s="2155"/>
      <c r="V74" s="2155"/>
      <c r="W74" s="2155"/>
      <c r="X74" s="2155"/>
      <c r="Y74" s="2155"/>
      <c r="Z74" s="2155"/>
      <c r="AA74" s="2155"/>
      <c r="AB74" s="2155"/>
      <c r="AC74" s="2155"/>
    </row>
    <row r="75" spans="1:29" s="1335" customFormat="1" ht="15.75" thickTop="1">
      <c r="A75" s="687"/>
      <c r="B75" s="681">
        <f>B14</f>
        <v>111</v>
      </c>
      <c r="C75" s="661"/>
      <c r="D75" s="661"/>
      <c r="E75" s="661"/>
      <c r="F75" s="661"/>
      <c r="G75" s="661"/>
      <c r="H75" s="695"/>
      <c r="I75" s="695"/>
      <c r="J75" s="695"/>
      <c r="K75" s="695"/>
      <c r="L75" s="696"/>
      <c r="M75" s="697"/>
      <c r="N75" s="2152"/>
      <c r="O75" s="2152"/>
      <c r="P75" s="2202"/>
      <c r="Q75" s="2154"/>
      <c r="R75" s="2155"/>
      <c r="S75" s="2155"/>
      <c r="T75" s="2155"/>
      <c r="U75" s="2155"/>
      <c r="V75" s="2155"/>
      <c r="W75" s="2155"/>
      <c r="X75" s="2155"/>
      <c r="Y75" s="2155"/>
      <c r="Z75" s="2155"/>
      <c r="AA75" s="2155"/>
      <c r="AB75" s="2155"/>
      <c r="AC75" s="2155"/>
    </row>
    <row r="76" spans="1:29" s="1335" customFormat="1" ht="15.75" thickBot="1">
      <c r="A76" s="698"/>
      <c r="B76" s="699"/>
      <c r="C76" s="700"/>
      <c r="D76" s="700"/>
      <c r="E76" s="700"/>
      <c r="F76" s="700"/>
      <c r="G76" s="700"/>
      <c r="H76" s="701"/>
      <c r="I76" s="701"/>
      <c r="J76" s="701"/>
      <c r="K76" s="701"/>
      <c r="L76" s="701"/>
      <c r="M76" s="702"/>
      <c r="N76" s="2152"/>
      <c r="O76" s="2152"/>
      <c r="P76" s="2200"/>
      <c r="Q76" s="2154"/>
      <c r="R76" s="2155"/>
      <c r="S76" s="2155"/>
      <c r="T76" s="2155"/>
      <c r="U76" s="2155"/>
      <c r="V76" s="2155"/>
      <c r="W76" s="2155"/>
      <c r="X76" s="2155"/>
      <c r="Y76" s="2155"/>
      <c r="Z76" s="2155"/>
      <c r="AA76" s="2155"/>
      <c r="AB76" s="2155"/>
      <c r="AC76" s="2155"/>
    </row>
    <row r="77" spans="1:29">
      <c r="A77" s="664" t="s">
        <v>539</v>
      </c>
      <c r="B77" s="665" t="s">
        <v>585</v>
      </c>
      <c r="C77" s="703" t="s">
        <v>579</v>
      </c>
      <c r="D77" s="703" t="s">
        <v>580</v>
      </c>
      <c r="E77" s="703" t="s">
        <v>581</v>
      </c>
      <c r="F77" s="703" t="s">
        <v>582</v>
      </c>
      <c r="G77" s="703" t="s">
        <v>583</v>
      </c>
      <c r="H77" s="704"/>
      <c r="I77" s="704"/>
      <c r="J77" s="704"/>
      <c r="K77" s="705"/>
      <c r="L77" s="706"/>
      <c r="M77" s="707"/>
      <c r="N77" s="2149"/>
      <c r="O77" s="2149"/>
      <c r="P77" s="2203"/>
      <c r="Q77" s="2143"/>
      <c r="R77" s="2130"/>
      <c r="S77" s="2130"/>
      <c r="T77" s="2130"/>
      <c r="U77" s="2130"/>
      <c r="V77" s="2130"/>
      <c r="W77" s="2130"/>
      <c r="X77" s="2130"/>
      <c r="Y77" s="2130"/>
      <c r="Z77" s="2130"/>
      <c r="AA77" s="2130"/>
      <c r="AB77" s="2130"/>
      <c r="AC77" s="2130"/>
    </row>
    <row r="78" spans="1:29" ht="15.75" thickBot="1">
      <c r="A78" s="669"/>
      <c r="B78" s="678"/>
      <c r="C78" s="679">
        <v>100</v>
      </c>
      <c r="D78" s="679">
        <f>C78-$K15</f>
        <v>98</v>
      </c>
      <c r="E78" s="679">
        <f>D78-$K15</f>
        <v>96</v>
      </c>
      <c r="F78" s="679">
        <f>E78-$K15</f>
        <v>94</v>
      </c>
      <c r="G78" s="679">
        <f>F78-$K15</f>
        <v>92</v>
      </c>
      <c r="H78" s="679"/>
      <c r="I78" s="679"/>
      <c r="J78" s="679"/>
      <c r="K78" s="679"/>
      <c r="L78" s="679"/>
      <c r="M78" s="680"/>
      <c r="N78" s="2151"/>
      <c r="O78" s="2151"/>
      <c r="P78" s="2199"/>
      <c r="Q78" s="2143"/>
      <c r="R78" s="2130"/>
      <c r="S78" s="2130"/>
      <c r="T78" s="2130"/>
      <c r="U78" s="2130"/>
      <c r="V78" s="2130"/>
      <c r="W78" s="2130"/>
      <c r="X78" s="2130"/>
      <c r="Y78" s="2130"/>
      <c r="Z78" s="2130"/>
      <c r="AA78" s="2130"/>
      <c r="AB78" s="2130"/>
      <c r="AC78" s="2130"/>
    </row>
    <row r="79" spans="1:29" ht="15.75" thickTop="1">
      <c r="A79" s="669"/>
      <c r="B79" s="673" t="s">
        <v>586</v>
      </c>
      <c r="C79" s="708" t="s">
        <v>579</v>
      </c>
      <c r="D79" s="708" t="s">
        <v>580</v>
      </c>
      <c r="E79" s="708" t="s">
        <v>581</v>
      </c>
      <c r="F79" s="708" t="s">
        <v>582</v>
      </c>
      <c r="G79" s="708" t="s">
        <v>583</v>
      </c>
      <c r="H79" s="674"/>
      <c r="I79" s="674"/>
      <c r="J79" s="674"/>
      <c r="K79" s="675"/>
      <c r="L79" s="676"/>
      <c r="M79" s="677"/>
      <c r="N79" s="2149"/>
      <c r="O79" s="2149"/>
      <c r="P79" s="2199"/>
      <c r="Q79" s="2143"/>
      <c r="R79" s="2130"/>
      <c r="S79" s="2130"/>
      <c r="T79" s="2130"/>
      <c r="U79" s="2130"/>
      <c r="V79" s="2130"/>
      <c r="W79" s="2130"/>
      <c r="X79" s="2130"/>
      <c r="Y79" s="2130"/>
      <c r="Z79" s="2130"/>
      <c r="AA79" s="2130"/>
      <c r="AB79" s="2130"/>
      <c r="AC79" s="2130"/>
    </row>
    <row r="80" spans="1:29" ht="15.75" thickBot="1">
      <c r="A80" s="669"/>
      <c r="B80" s="678"/>
      <c r="C80" s="679">
        <v>100</v>
      </c>
      <c r="D80" s="679">
        <f>C80-$K17</f>
        <v>98</v>
      </c>
      <c r="E80" s="679">
        <f>D80-$K17</f>
        <v>96</v>
      </c>
      <c r="F80" s="679">
        <f>E80-$K17</f>
        <v>94</v>
      </c>
      <c r="G80" s="679">
        <f>F80-$K17</f>
        <v>92</v>
      </c>
      <c r="H80" s="679"/>
      <c r="I80" s="679"/>
      <c r="J80" s="679"/>
      <c r="K80" s="679"/>
      <c r="L80" s="679"/>
      <c r="M80" s="680"/>
      <c r="N80" s="2151"/>
      <c r="O80" s="2151"/>
      <c r="P80" s="2199"/>
      <c r="Q80" s="2143"/>
      <c r="R80" s="2130"/>
      <c r="S80" s="2130"/>
      <c r="T80" s="2130"/>
      <c r="U80" s="2130"/>
      <c r="V80" s="2130"/>
      <c r="W80" s="2130"/>
      <c r="X80" s="2130"/>
      <c r="Y80" s="2130"/>
      <c r="Z80" s="2130"/>
      <c r="AA80" s="2130"/>
      <c r="AB80" s="2130"/>
      <c r="AC80" s="2130"/>
    </row>
    <row r="81" spans="1:29" ht="15.75" thickTop="1">
      <c r="A81" s="669"/>
      <c r="B81" s="1881" t="s">
        <v>2554</v>
      </c>
      <c r="C81" s="708" t="s">
        <v>579</v>
      </c>
      <c r="D81" s="708" t="s">
        <v>580</v>
      </c>
      <c r="E81" s="708" t="s">
        <v>581</v>
      </c>
      <c r="F81" s="708" t="s">
        <v>582</v>
      </c>
      <c r="G81" s="708" t="s">
        <v>583</v>
      </c>
      <c r="H81" s="674"/>
      <c r="I81" s="674"/>
      <c r="J81" s="674"/>
      <c r="K81" s="675"/>
      <c r="L81" s="676"/>
      <c r="M81" s="677"/>
      <c r="N81" s="2149"/>
      <c r="O81" s="2149"/>
      <c r="P81" s="2199"/>
      <c r="Q81" s="2143"/>
      <c r="R81" s="2130"/>
      <c r="S81" s="2130"/>
      <c r="T81" s="2130"/>
      <c r="U81" s="2130"/>
      <c r="V81" s="2130"/>
      <c r="W81" s="2130"/>
      <c r="X81" s="2130"/>
      <c r="Y81" s="2130"/>
      <c r="Z81" s="2130"/>
      <c r="AA81" s="2130"/>
      <c r="AB81" s="2130"/>
      <c r="AC81" s="2130"/>
    </row>
    <row r="82" spans="1:29" ht="15.75" thickBot="1">
      <c r="A82" s="669"/>
      <c r="B82" s="678"/>
      <c r="C82" s="679">
        <v>100</v>
      </c>
      <c r="D82" s="679">
        <f>C82-$K19</f>
        <v>98</v>
      </c>
      <c r="E82" s="679">
        <f>D82-$K19</f>
        <v>96</v>
      </c>
      <c r="F82" s="679">
        <f>E82-$K19</f>
        <v>94</v>
      </c>
      <c r="G82" s="679">
        <f>F82-$K19</f>
        <v>92</v>
      </c>
      <c r="H82" s="679"/>
      <c r="I82" s="679"/>
      <c r="J82" s="679"/>
      <c r="K82" s="679"/>
      <c r="L82" s="679"/>
      <c r="M82" s="680"/>
      <c r="N82" s="2151"/>
      <c r="O82" s="2151"/>
      <c r="P82" s="2199"/>
      <c r="Q82" s="2143"/>
      <c r="R82" s="2130"/>
      <c r="S82" s="2130"/>
      <c r="T82" s="2130"/>
      <c r="U82" s="2130"/>
      <c r="V82" s="2130"/>
      <c r="W82" s="2130"/>
      <c r="X82" s="2130"/>
      <c r="Y82" s="2130"/>
      <c r="Z82" s="2130"/>
      <c r="AA82" s="2130"/>
      <c r="AB82" s="2130"/>
      <c r="AC82" s="2130"/>
    </row>
    <row r="83" spans="1:29" ht="15.75" thickTop="1">
      <c r="A83" s="669"/>
      <c r="B83" s="2561" t="s">
        <v>2555</v>
      </c>
      <c r="C83" s="2562" t="s">
        <v>2556</v>
      </c>
      <c r="D83" s="2562" t="s">
        <v>2557</v>
      </c>
      <c r="E83" s="2562" t="s">
        <v>2558</v>
      </c>
      <c r="F83" s="2562" t="s">
        <v>2559</v>
      </c>
      <c r="G83" s="2562" t="s">
        <v>2560</v>
      </c>
      <c r="H83" s="674"/>
      <c r="I83" s="674"/>
      <c r="J83" s="674"/>
      <c r="K83" s="674"/>
      <c r="L83" s="674"/>
      <c r="M83" s="2565"/>
      <c r="N83" s="2151"/>
      <c r="O83" s="2151"/>
      <c r="P83" s="2199"/>
      <c r="Q83" s="2143"/>
      <c r="R83" s="2130"/>
      <c r="S83" s="2130"/>
      <c r="T83" s="2130"/>
      <c r="U83" s="2130"/>
      <c r="V83" s="2130"/>
      <c r="W83" s="2130"/>
      <c r="X83" s="2130"/>
      <c r="Y83" s="2130"/>
      <c r="Z83" s="2130"/>
      <c r="AA83" s="2130"/>
      <c r="AB83" s="2130"/>
      <c r="AC83" s="2130"/>
    </row>
    <row r="84" spans="1:29" ht="15.75" thickBot="1">
      <c r="A84" s="669"/>
      <c r="B84" s="681"/>
      <c r="C84" s="679">
        <v>100</v>
      </c>
      <c r="D84" s="679">
        <f>C84-$K21</f>
        <v>99</v>
      </c>
      <c r="E84" s="679">
        <f>D84-$K21</f>
        <v>98</v>
      </c>
      <c r="F84" s="679">
        <f>E84-$K21</f>
        <v>97</v>
      </c>
      <c r="G84" s="679">
        <f>F84-$K21</f>
        <v>96</v>
      </c>
      <c r="H84" s="935"/>
      <c r="I84" s="935"/>
      <c r="J84" s="935"/>
      <c r="K84" s="935"/>
      <c r="L84" s="935"/>
      <c r="M84" s="559"/>
      <c r="N84" s="2151"/>
      <c r="O84" s="2151"/>
      <c r="P84" s="2199"/>
      <c r="Q84" s="2143"/>
      <c r="R84" s="2130"/>
      <c r="S84" s="2130"/>
      <c r="T84" s="2130"/>
      <c r="U84" s="2130"/>
      <c r="V84" s="2130"/>
      <c r="W84" s="2130"/>
      <c r="X84" s="2130"/>
      <c r="Y84" s="2130"/>
      <c r="Z84" s="2130"/>
      <c r="AA84" s="2130"/>
      <c r="AB84" s="2130"/>
      <c r="AC84" s="2130"/>
    </row>
    <row r="85" spans="1:29" ht="15.75" thickTop="1">
      <c r="A85" s="669"/>
      <c r="B85" s="673" t="s">
        <v>784</v>
      </c>
      <c r="C85" s="708" t="s">
        <v>579</v>
      </c>
      <c r="D85" s="708" t="s">
        <v>580</v>
      </c>
      <c r="E85" s="708" t="s">
        <v>581</v>
      </c>
      <c r="F85" s="708" t="s">
        <v>582</v>
      </c>
      <c r="G85" s="708" t="s">
        <v>583</v>
      </c>
      <c r="H85" s="674"/>
      <c r="I85" s="674"/>
      <c r="J85" s="674"/>
      <c r="K85" s="675"/>
      <c r="L85" s="676"/>
      <c r="M85" s="677"/>
      <c r="N85" s="2149"/>
      <c r="O85" s="2149"/>
      <c r="P85" s="2199"/>
      <c r="Q85" s="2143"/>
      <c r="R85" s="2130"/>
      <c r="S85" s="2130"/>
      <c r="T85" s="2130"/>
      <c r="U85" s="2130"/>
      <c r="V85" s="2130"/>
      <c r="W85" s="2130"/>
      <c r="X85" s="2130"/>
      <c r="Y85" s="2130"/>
      <c r="Z85" s="2130"/>
      <c r="AA85" s="2130"/>
      <c r="AB85" s="2130"/>
      <c r="AC85" s="2130"/>
    </row>
    <row r="86" spans="1:29" ht="15.75" thickBot="1">
      <c r="A86" s="669"/>
      <c r="B86" s="678"/>
      <c r="C86" s="679">
        <v>100</v>
      </c>
      <c r="D86" s="679">
        <f>C86-$K23</f>
        <v>98</v>
      </c>
      <c r="E86" s="679">
        <f>D86-$K23</f>
        <v>96</v>
      </c>
      <c r="F86" s="679">
        <f>E86-$K23</f>
        <v>94</v>
      </c>
      <c r="G86" s="679">
        <f>F86-$K23</f>
        <v>92</v>
      </c>
      <c r="H86" s="679"/>
      <c r="I86" s="679"/>
      <c r="J86" s="679"/>
      <c r="K86" s="679"/>
      <c r="L86" s="679"/>
      <c r="M86" s="680"/>
      <c r="N86" s="2151"/>
      <c r="O86" s="2151"/>
      <c r="P86" s="2199"/>
      <c r="Q86" s="2143"/>
      <c r="R86" s="2130"/>
      <c r="S86" s="2130"/>
      <c r="T86" s="2130"/>
      <c r="U86" s="2130"/>
      <c r="V86" s="2130"/>
      <c r="W86" s="2130"/>
      <c r="X86" s="2130"/>
      <c r="Y86" s="2130"/>
      <c r="Z86" s="2130"/>
      <c r="AA86" s="2130"/>
      <c r="AB86" s="2130"/>
      <c r="AC86" s="2130"/>
    </row>
    <row r="87" spans="1:29" s="1216" customFormat="1" ht="27.75" thickTop="1">
      <c r="A87" s="709"/>
      <c r="B87" s="673" t="s">
        <v>785</v>
      </c>
      <c r="C87" s="688"/>
      <c r="D87" s="688"/>
      <c r="E87" s="688"/>
      <c r="F87" s="688"/>
      <c r="G87" s="688"/>
      <c r="H87" s="688"/>
      <c r="I87" s="688"/>
      <c r="J87" s="688"/>
      <c r="K87" s="688"/>
      <c r="L87" s="890"/>
      <c r="M87" s="891"/>
      <c r="N87" s="2147"/>
      <c r="O87" s="2147"/>
      <c r="P87" s="2199"/>
      <c r="Q87" s="2143"/>
      <c r="R87" s="1978"/>
      <c r="S87" s="1978"/>
      <c r="T87" s="1978"/>
      <c r="U87" s="1978"/>
      <c r="V87" s="1978"/>
      <c r="W87" s="1978"/>
      <c r="X87" s="1978"/>
      <c r="Y87" s="1978"/>
      <c r="Z87" s="1978"/>
      <c r="AA87" s="1978"/>
      <c r="AB87" s="1978"/>
      <c r="AC87" s="1978"/>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1"/>
      <c r="O88" s="2151"/>
      <c r="P88" s="2199"/>
      <c r="Q88" s="2143"/>
      <c r="R88" s="1978"/>
      <c r="S88" s="1978"/>
      <c r="T88" s="1978"/>
      <c r="U88" s="1978"/>
      <c r="V88" s="1978"/>
      <c r="W88" s="1978"/>
      <c r="X88" s="1978"/>
      <c r="Y88" s="1978"/>
      <c r="Z88" s="1978"/>
      <c r="AA88" s="1978"/>
      <c r="AB88" s="1978"/>
      <c r="AC88" s="1978"/>
    </row>
    <row r="89" spans="1:29" s="1216" customFormat="1" ht="15.75" thickTop="1">
      <c r="A89" s="709"/>
      <c r="B89" s="673" t="str">
        <f>B27</f>
        <v>楼层</v>
      </c>
      <c r="C89" s="688"/>
      <c r="D89" s="688"/>
      <c r="E89" s="688"/>
      <c r="F89" s="892"/>
      <c r="G89" s="688"/>
      <c r="H89" s="688"/>
      <c r="I89" s="688"/>
      <c r="J89" s="688"/>
      <c r="K89" s="688"/>
      <c r="L89" s="688"/>
      <c r="M89" s="891"/>
      <c r="N89" s="2147"/>
      <c r="O89" s="2147"/>
      <c r="P89" s="2199"/>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1"/>
      <c r="O90" s="2151"/>
      <c r="P90" s="2199"/>
      <c r="Q90" s="2143"/>
      <c r="R90" s="1978"/>
      <c r="S90" s="1978"/>
      <c r="T90" s="1978"/>
      <c r="U90" s="1978"/>
      <c r="V90" s="1978"/>
      <c r="W90" s="1978"/>
      <c r="X90" s="1978"/>
      <c r="Y90" s="1978"/>
      <c r="Z90" s="1978"/>
      <c r="AA90" s="1978"/>
      <c r="AB90" s="1978"/>
      <c r="AC90" s="1978"/>
    </row>
    <row r="91" spans="1:29" s="1335" customFormat="1" ht="15.75" thickTop="1">
      <c r="A91" s="687"/>
      <c r="B91" s="673" t="str">
        <f>B28</f>
        <v>朝向</v>
      </c>
      <c r="C91" s="688"/>
      <c r="D91" s="688"/>
      <c r="E91" s="688"/>
      <c r="F91" s="688"/>
      <c r="G91" s="688"/>
      <c r="H91" s="689"/>
      <c r="I91" s="689"/>
      <c r="J91" s="689"/>
      <c r="K91" s="689"/>
      <c r="L91" s="690"/>
      <c r="M91" s="691"/>
      <c r="N91" s="2152"/>
      <c r="O91" s="2152"/>
      <c r="P91" s="2200"/>
      <c r="Q91" s="2154"/>
      <c r="R91" s="2155"/>
      <c r="S91" s="2155"/>
      <c r="T91" s="2155"/>
      <c r="U91" s="2155"/>
      <c r="V91" s="2155"/>
      <c r="W91" s="2155"/>
      <c r="X91" s="2155"/>
      <c r="Y91" s="2155"/>
      <c r="Z91" s="2155"/>
      <c r="AA91" s="2155"/>
      <c r="AB91" s="2155"/>
      <c r="AC91" s="2155"/>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2"/>
      <c r="O92" s="2152"/>
      <c r="P92" s="2200"/>
      <c r="Q92" s="2154"/>
      <c r="R92" s="2155"/>
      <c r="S92" s="2155"/>
      <c r="T92" s="2155"/>
      <c r="U92" s="2155"/>
      <c r="V92" s="2155"/>
      <c r="W92" s="2155"/>
      <c r="X92" s="2155"/>
      <c r="Y92" s="2155"/>
      <c r="Z92" s="2155"/>
      <c r="AA92" s="2155"/>
      <c r="AB92" s="2155"/>
      <c r="AC92" s="2155"/>
    </row>
    <row r="93" spans="1:29" ht="15.75" thickTop="1">
      <c r="A93" s="669"/>
      <c r="B93" s="673">
        <f>B29</f>
        <v>111</v>
      </c>
      <c r="C93" s="688"/>
      <c r="D93" s="688"/>
      <c r="E93" s="688"/>
      <c r="F93" s="688"/>
      <c r="G93" s="688"/>
      <c r="H93" s="688"/>
      <c r="I93" s="688"/>
      <c r="J93" s="688"/>
      <c r="K93" s="688"/>
      <c r="L93" s="890"/>
      <c r="M93" s="891"/>
      <c r="N93" s="2149"/>
      <c r="O93" s="2149"/>
      <c r="P93" s="2199"/>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71"/>
      <c r="H94" s="671"/>
      <c r="I94" s="671"/>
      <c r="J94" s="671"/>
      <c r="K94" s="671"/>
      <c r="L94" s="671"/>
      <c r="M94" s="672"/>
      <c r="N94" s="2151"/>
      <c r="O94" s="2151"/>
      <c r="P94" s="2199"/>
      <c r="Q94" s="2143"/>
      <c r="R94" s="2130"/>
      <c r="S94" s="2130"/>
      <c r="T94" s="2130"/>
      <c r="U94" s="2130"/>
      <c r="V94" s="2130"/>
      <c r="W94" s="2130"/>
      <c r="X94" s="2130"/>
      <c r="Y94" s="2130"/>
      <c r="Z94" s="2130"/>
      <c r="AA94" s="2130"/>
      <c r="AB94" s="2130"/>
      <c r="AC94" s="2130"/>
    </row>
    <row r="95" spans="1:29" ht="15.75" thickTop="1">
      <c r="A95" s="669"/>
      <c r="B95" s="673">
        <f>B30</f>
        <v>111</v>
      </c>
      <c r="C95" s="688"/>
      <c r="D95" s="688"/>
      <c r="E95" s="688"/>
      <c r="F95" s="688"/>
      <c r="G95" s="718"/>
      <c r="H95" s="718"/>
      <c r="I95" s="718"/>
      <c r="J95" s="718"/>
      <c r="K95" s="719"/>
      <c r="L95" s="720"/>
      <c r="M95" s="721"/>
      <c r="N95" s="2149"/>
      <c r="O95" s="2149"/>
      <c r="P95" s="2199"/>
      <c r="Q95" s="2143"/>
      <c r="R95" s="2130"/>
      <c r="S95" s="2130"/>
      <c r="T95" s="2130"/>
      <c r="U95" s="2130"/>
      <c r="V95" s="2130"/>
      <c r="W95" s="2130"/>
      <c r="X95" s="2130"/>
      <c r="Y95" s="2130"/>
      <c r="Z95" s="2130"/>
      <c r="AA95" s="2130"/>
      <c r="AB95" s="2130"/>
      <c r="AC95" s="2130"/>
    </row>
    <row r="96" spans="1:29" ht="15.75" thickBot="1">
      <c r="A96" s="669"/>
      <c r="B96" s="678"/>
      <c r="C96" s="692"/>
      <c r="D96" s="692"/>
      <c r="E96" s="692"/>
      <c r="F96" s="692"/>
      <c r="G96" s="671"/>
      <c r="H96" s="671"/>
      <c r="I96" s="671"/>
      <c r="J96" s="671"/>
      <c r="K96" s="671"/>
      <c r="L96" s="671"/>
      <c r="M96" s="672"/>
      <c r="N96" s="2151"/>
      <c r="O96" s="2151"/>
      <c r="P96" s="2199"/>
      <c r="Q96" s="2143"/>
      <c r="R96" s="2130"/>
      <c r="S96" s="2130"/>
      <c r="T96" s="2130"/>
      <c r="U96" s="2130"/>
      <c r="V96" s="2130"/>
      <c r="W96" s="2130"/>
      <c r="X96" s="2130"/>
      <c r="Y96" s="2130"/>
      <c r="Z96" s="2130"/>
      <c r="AA96" s="2130"/>
      <c r="AB96" s="2130"/>
      <c r="AC96" s="2130"/>
    </row>
    <row r="97" spans="1:29" ht="15.75" thickTop="1">
      <c r="A97" s="669"/>
      <c r="B97" s="673">
        <f>B31</f>
        <v>111</v>
      </c>
      <c r="C97" s="688"/>
      <c r="D97" s="688"/>
      <c r="E97" s="688"/>
      <c r="F97" s="688"/>
      <c r="G97" s="718"/>
      <c r="H97" s="718"/>
      <c r="I97" s="718"/>
      <c r="J97" s="718"/>
      <c r="K97" s="719"/>
      <c r="L97" s="720"/>
      <c r="M97" s="721"/>
      <c r="N97" s="2149"/>
      <c r="O97" s="2149"/>
      <c r="P97" s="2199"/>
      <c r="Q97" s="2143"/>
      <c r="R97" s="2130"/>
      <c r="S97" s="2130"/>
      <c r="T97" s="2130"/>
      <c r="U97" s="2130"/>
      <c r="V97" s="2130"/>
      <c r="W97" s="2130"/>
      <c r="X97" s="2130"/>
      <c r="Y97" s="2130"/>
      <c r="Z97" s="2130"/>
      <c r="AA97" s="2130"/>
      <c r="AB97" s="2130"/>
      <c r="AC97" s="2130"/>
    </row>
    <row r="98" spans="1:29" ht="15.75" thickBot="1">
      <c r="A98" s="669"/>
      <c r="B98" s="678"/>
      <c r="C98" s="692"/>
      <c r="D98" s="671"/>
      <c r="E98" s="671"/>
      <c r="F98" s="671"/>
      <c r="G98" s="671"/>
      <c r="H98" s="671"/>
      <c r="I98" s="671"/>
      <c r="J98" s="671"/>
      <c r="K98" s="671"/>
      <c r="L98" s="671"/>
      <c r="M98" s="672"/>
      <c r="N98" s="2151"/>
      <c r="O98" s="2151"/>
      <c r="P98" s="2199"/>
      <c r="Q98" s="2143"/>
      <c r="R98" s="2130"/>
      <c r="S98" s="2130"/>
      <c r="T98" s="2130"/>
      <c r="U98" s="2130"/>
      <c r="V98" s="2130"/>
      <c r="W98" s="2130"/>
      <c r="X98" s="2130"/>
      <c r="Y98" s="2130"/>
      <c r="Z98" s="2130"/>
      <c r="AA98" s="2130"/>
      <c r="AB98" s="2130"/>
      <c r="AC98" s="2130"/>
    </row>
    <row r="99" spans="1:29" ht="15.75" thickTop="1">
      <c r="A99" s="669"/>
      <c r="B99" s="681">
        <f>B32</f>
        <v>111</v>
      </c>
      <c r="C99" s="661"/>
      <c r="D99" s="661"/>
      <c r="E99" s="661"/>
      <c r="F99" s="661"/>
      <c r="G99" s="722"/>
      <c r="H99" s="722"/>
      <c r="I99" s="722"/>
      <c r="J99" s="722"/>
      <c r="K99" s="723"/>
      <c r="L99" s="724"/>
      <c r="M99" s="725"/>
      <c r="N99" s="2149"/>
      <c r="O99" s="2149"/>
      <c r="P99" s="2199"/>
      <c r="Q99" s="2143"/>
      <c r="R99" s="2130"/>
      <c r="S99" s="2130"/>
      <c r="T99" s="2130"/>
      <c r="U99" s="2130"/>
      <c r="V99" s="2130"/>
      <c r="W99" s="2130"/>
      <c r="X99" s="2130"/>
      <c r="Y99" s="2130"/>
      <c r="Z99" s="2130"/>
      <c r="AA99" s="2130"/>
      <c r="AB99" s="2130"/>
      <c r="AC99" s="2130"/>
    </row>
    <row r="100" spans="1:29" ht="15.75" thickBot="1">
      <c r="A100" s="893"/>
      <c r="B100" s="699"/>
      <c r="C100" s="700"/>
      <c r="D100" s="700"/>
      <c r="E100" s="700"/>
      <c r="F100" s="700"/>
      <c r="G100" s="726"/>
      <c r="H100" s="726"/>
      <c r="I100" s="726"/>
      <c r="J100" s="726"/>
      <c r="K100" s="726"/>
      <c r="L100" s="726"/>
      <c r="M100" s="727"/>
      <c r="N100" s="2151"/>
      <c r="O100" s="2151"/>
      <c r="P100" s="2199"/>
      <c r="Q100" s="2143"/>
      <c r="R100" s="2130"/>
      <c r="S100" s="2130"/>
      <c r="T100" s="2130"/>
      <c r="U100" s="2130"/>
      <c r="V100" s="2130"/>
      <c r="W100" s="2130"/>
      <c r="X100" s="2130"/>
      <c r="Y100" s="2130"/>
      <c r="Z100" s="2130"/>
      <c r="AA100" s="2130"/>
      <c r="AB100" s="2130"/>
      <c r="AC100" s="2130"/>
    </row>
    <row r="101" spans="1:29">
      <c r="A101" s="664" t="s">
        <v>551</v>
      </c>
      <c r="B101" s="665" t="s">
        <v>747</v>
      </c>
      <c r="C101" s="3180" t="s">
        <v>3003</v>
      </c>
      <c r="D101" s="598"/>
      <c r="E101" s="598"/>
      <c r="F101" s="598"/>
      <c r="G101" s="598"/>
      <c r="H101" s="598"/>
      <c r="I101" s="598"/>
      <c r="J101" s="598"/>
      <c r="K101" s="666"/>
      <c r="L101" s="667"/>
      <c r="M101" s="668"/>
      <c r="N101" s="2149"/>
      <c r="O101" s="2149"/>
      <c r="P101" s="2199"/>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2">C102-$K33</f>
        <v>98</v>
      </c>
      <c r="E102" s="679">
        <f t="shared" si="22"/>
        <v>96</v>
      </c>
      <c r="F102" s="679">
        <f t="shared" si="22"/>
        <v>94</v>
      </c>
      <c r="G102" s="679">
        <f t="shared" si="22"/>
        <v>92</v>
      </c>
      <c r="H102" s="679">
        <f t="shared" si="22"/>
        <v>90</v>
      </c>
      <c r="I102" s="679">
        <f t="shared" si="22"/>
        <v>88</v>
      </c>
      <c r="J102" s="679">
        <f t="shared" si="22"/>
        <v>86</v>
      </c>
      <c r="K102" s="679">
        <f t="shared" si="22"/>
        <v>84</v>
      </c>
      <c r="L102" s="679">
        <f t="shared" si="22"/>
        <v>82</v>
      </c>
      <c r="M102" s="680">
        <f t="shared" si="22"/>
        <v>80</v>
      </c>
      <c r="N102" s="2151"/>
      <c r="O102" s="2151"/>
      <c r="P102" s="2199"/>
      <c r="Q102" s="2143"/>
      <c r="R102" s="2130"/>
      <c r="S102" s="2130"/>
      <c r="T102" s="2130"/>
      <c r="U102" s="2130"/>
      <c r="V102" s="2130"/>
      <c r="W102" s="2130"/>
      <c r="X102" s="2130"/>
      <c r="Y102" s="2130"/>
      <c r="Z102" s="2130"/>
      <c r="AA102" s="2130"/>
      <c r="AB102" s="2130"/>
      <c r="AC102" s="2130"/>
    </row>
    <row r="103" spans="1:29" ht="29.25" thickTop="1">
      <c r="A103" s="669"/>
      <c r="B103" s="673" t="s">
        <v>748</v>
      </c>
      <c r="C103" s="708" t="str">
        <f>C104&amp;"(含)"&amp;"-"&amp;D104</f>
        <v>0(含)-50000</v>
      </c>
      <c r="D103" s="708" t="str">
        <f t="shared" ref="D103:L103" si="23">D104&amp;"(含)"&amp;"-"&amp;E104</f>
        <v>50000(含)-100000</v>
      </c>
      <c r="E103" s="708" t="str">
        <f t="shared" si="23"/>
        <v>100000(含)-150000</v>
      </c>
      <c r="F103" s="708" t="str">
        <f t="shared" si="23"/>
        <v>150000(含)-200000</v>
      </c>
      <c r="G103" s="708" t="str">
        <f t="shared" si="23"/>
        <v>200000(含)-250000</v>
      </c>
      <c r="H103" s="708" t="str">
        <f t="shared" si="23"/>
        <v>250000(含)-300000</v>
      </c>
      <c r="I103" s="708" t="str">
        <f t="shared" si="23"/>
        <v>300000(含)-</v>
      </c>
      <c r="J103" s="708" t="str">
        <f t="shared" si="23"/>
        <v>(含)-</v>
      </c>
      <c r="K103" s="708" t="str">
        <f t="shared" si="23"/>
        <v>(含)-</v>
      </c>
      <c r="L103" s="708" t="str">
        <f t="shared" si="23"/>
        <v>(含)-</v>
      </c>
      <c r="M103" s="711"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5" customFormat="1">
      <c r="A104" s="728"/>
      <c r="B104" s="729"/>
      <c r="C104" s="730">
        <v>0</v>
      </c>
      <c r="D104" s="730">
        <f>C104+50000</f>
        <v>50000</v>
      </c>
      <c r="E104" s="730">
        <f t="shared" ref="E104:I104" si="24">D104+50000</f>
        <v>100000</v>
      </c>
      <c r="F104" s="730">
        <f t="shared" si="24"/>
        <v>150000</v>
      </c>
      <c r="G104" s="730">
        <f t="shared" si="24"/>
        <v>200000</v>
      </c>
      <c r="H104" s="730">
        <f t="shared" si="24"/>
        <v>250000</v>
      </c>
      <c r="I104" s="730">
        <f t="shared" si="24"/>
        <v>300000</v>
      </c>
      <c r="J104" s="731"/>
      <c r="K104" s="731"/>
      <c r="L104" s="732"/>
      <c r="M104" s="733"/>
      <c r="N104" s="2152"/>
      <c r="O104" s="2152"/>
      <c r="P104" s="2200"/>
      <c r="Q104" s="2154"/>
      <c r="R104" s="2155"/>
      <c r="S104" s="2155"/>
      <c r="T104" s="2155"/>
      <c r="U104" s="2155"/>
      <c r="V104" s="2155"/>
      <c r="W104" s="2155"/>
      <c r="X104" s="2155"/>
      <c r="Y104" s="2155"/>
      <c r="Z104" s="2155"/>
      <c r="AA104" s="2155"/>
      <c r="AB104" s="2155"/>
      <c r="AC104" s="2155"/>
    </row>
    <row r="105" spans="1:29" s="1335" customFormat="1" ht="15.75" thickBot="1">
      <c r="A105" s="687"/>
      <c r="B105" s="678"/>
      <c r="C105" s="692">
        <v>100</v>
      </c>
      <c r="D105" s="671">
        <f>C105+1</f>
        <v>101</v>
      </c>
      <c r="E105" s="671">
        <f t="shared" ref="E105:I105" si="25">D105+1</f>
        <v>102</v>
      </c>
      <c r="F105" s="671">
        <f t="shared" si="25"/>
        <v>103</v>
      </c>
      <c r="G105" s="671">
        <f t="shared" si="25"/>
        <v>104</v>
      </c>
      <c r="H105" s="671">
        <f t="shared" si="25"/>
        <v>105</v>
      </c>
      <c r="I105" s="671">
        <f t="shared" si="25"/>
        <v>106</v>
      </c>
      <c r="J105" s="671"/>
      <c r="K105" s="671"/>
      <c r="L105" s="671"/>
      <c r="M105" s="672"/>
      <c r="N105" s="2151"/>
      <c r="O105" s="2151"/>
      <c r="P105" s="2200"/>
      <c r="Q105" s="2154"/>
      <c r="R105" s="2155"/>
      <c r="S105" s="2155"/>
      <c r="T105" s="2155"/>
      <c r="U105" s="2155"/>
      <c r="V105" s="2155"/>
      <c r="W105" s="2155"/>
      <c r="X105" s="2155"/>
      <c r="Y105" s="2155"/>
      <c r="Z105" s="2155"/>
      <c r="AA105" s="2155"/>
      <c r="AB105" s="2155"/>
      <c r="AC105" s="2155"/>
    </row>
    <row r="106" spans="1:29" ht="15" thickTop="1">
      <c r="A106" s="735"/>
      <c r="B106" s="673" t="s">
        <v>749</v>
      </c>
      <c r="C106" s="3181" t="s">
        <v>3004</v>
      </c>
      <c r="D106" s="688"/>
      <c r="E106" s="718"/>
      <c r="F106" s="718"/>
      <c r="G106" s="718"/>
      <c r="H106" s="718"/>
      <c r="I106" s="718"/>
      <c r="J106" s="718"/>
      <c r="K106" s="719"/>
      <c r="L106" s="720"/>
      <c r="M106" s="721"/>
      <c r="N106" s="2149"/>
      <c r="O106" s="2149"/>
      <c r="P106" s="2199"/>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 t="shared" ref="D107:M107" si="26">C107-$K35</f>
        <v>99</v>
      </c>
      <c r="E107" s="679">
        <f t="shared" si="26"/>
        <v>98</v>
      </c>
      <c r="F107" s="679">
        <f t="shared" si="26"/>
        <v>97</v>
      </c>
      <c r="G107" s="679">
        <f t="shared" si="26"/>
        <v>96</v>
      </c>
      <c r="H107" s="679">
        <f t="shared" si="26"/>
        <v>95</v>
      </c>
      <c r="I107" s="679">
        <f t="shared" si="26"/>
        <v>94</v>
      </c>
      <c r="J107" s="679">
        <f t="shared" si="26"/>
        <v>93</v>
      </c>
      <c r="K107" s="679">
        <f t="shared" si="26"/>
        <v>92</v>
      </c>
      <c r="L107" s="679">
        <f t="shared" si="26"/>
        <v>91</v>
      </c>
      <c r="M107" s="680">
        <f t="shared" si="26"/>
        <v>90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5"/>
      <c r="B108" s="673" t="s">
        <v>751</v>
      </c>
      <c r="C108" s="3181" t="s">
        <v>3005</v>
      </c>
      <c r="D108" s="3181" t="s">
        <v>3006</v>
      </c>
      <c r="E108" s="3181" t="s">
        <v>3007</v>
      </c>
      <c r="F108" s="3182" t="s">
        <v>3009</v>
      </c>
      <c r="G108" s="718"/>
      <c r="H108" s="718"/>
      <c r="I108" s="718"/>
      <c r="J108" s="718"/>
      <c r="K108" s="719"/>
      <c r="L108" s="720"/>
      <c r="M108" s="721"/>
      <c r="N108" s="2149"/>
      <c r="O108" s="2149"/>
      <c r="P108" s="2199"/>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 t="shared" ref="D109:M109" si="27">C109-$K36</f>
        <v>98</v>
      </c>
      <c r="E109" s="679">
        <f t="shared" si="27"/>
        <v>96</v>
      </c>
      <c r="F109" s="679">
        <f t="shared" si="27"/>
        <v>94</v>
      </c>
      <c r="G109" s="679">
        <f t="shared" si="27"/>
        <v>92</v>
      </c>
      <c r="H109" s="679">
        <f t="shared" si="27"/>
        <v>90</v>
      </c>
      <c r="I109" s="679">
        <f t="shared" si="27"/>
        <v>88</v>
      </c>
      <c r="J109" s="679">
        <f t="shared" si="27"/>
        <v>86</v>
      </c>
      <c r="K109" s="679">
        <f t="shared" si="27"/>
        <v>84</v>
      </c>
      <c r="L109" s="679">
        <f t="shared" si="27"/>
        <v>82</v>
      </c>
      <c r="M109" s="680">
        <f t="shared" si="27"/>
        <v>80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9"/>
      <c r="O110" s="2149"/>
      <c r="P110" s="2199"/>
      <c r="Q110" s="2143"/>
      <c r="R110" s="2130"/>
      <c r="S110" s="2130"/>
      <c r="T110" s="2130"/>
      <c r="U110" s="2130"/>
      <c r="V110" s="2130"/>
      <c r="W110" s="2130"/>
      <c r="X110" s="2130"/>
      <c r="Y110" s="2130"/>
      <c r="Z110" s="2130"/>
      <c r="AA110" s="2130"/>
      <c r="AB110" s="2130"/>
      <c r="AC110" s="2130"/>
    </row>
    <row r="111" spans="1:29">
      <c r="A111" s="735"/>
      <c r="B111" s="681"/>
      <c r="C111" s="894">
        <v>0.5</v>
      </c>
      <c r="D111" s="894">
        <v>0.6</v>
      </c>
      <c r="E111" s="894">
        <v>0.7</v>
      </c>
      <c r="F111" s="894">
        <v>0.8</v>
      </c>
      <c r="G111" s="894">
        <v>0.9</v>
      </c>
      <c r="H111" s="894">
        <v>1.0001</v>
      </c>
      <c r="I111" s="905"/>
      <c r="J111" s="905"/>
      <c r="K111" s="906"/>
      <c r="L111" s="907"/>
      <c r="M111" s="908"/>
      <c r="N111" s="2149"/>
      <c r="O111" s="2149"/>
      <c r="P111" s="2199"/>
      <c r="Q111" s="2143"/>
      <c r="R111" s="2130"/>
      <c r="S111" s="2130"/>
      <c r="T111" s="2130"/>
      <c r="U111" s="2130"/>
      <c r="V111" s="2130"/>
      <c r="W111" s="2130"/>
      <c r="X111" s="2130"/>
      <c r="Y111" s="2130"/>
      <c r="Z111" s="2130"/>
      <c r="AA111" s="2130"/>
      <c r="AB111" s="2130"/>
      <c r="AC111" s="2130"/>
    </row>
    <row r="112" spans="1:29" ht="15.75" thickBot="1">
      <c r="A112" s="669"/>
      <c r="B112" s="678"/>
      <c r="C112" s="712">
        <v>100</v>
      </c>
      <c r="D112" s="679">
        <f>C112+$K37</f>
        <v>101</v>
      </c>
      <c r="E112" s="679">
        <f t="shared" ref="E112:M112" si="28">D112+$K37</f>
        <v>102</v>
      </c>
      <c r="F112" s="679">
        <f t="shared" si="28"/>
        <v>103</v>
      </c>
      <c r="G112" s="679">
        <f t="shared" si="28"/>
        <v>104</v>
      </c>
      <c r="H112" s="679">
        <f t="shared" si="28"/>
        <v>105</v>
      </c>
      <c r="I112" s="679">
        <f t="shared" si="28"/>
        <v>106</v>
      </c>
      <c r="J112" s="679">
        <f t="shared" si="28"/>
        <v>107</v>
      </c>
      <c r="K112" s="679">
        <f t="shared" si="28"/>
        <v>108</v>
      </c>
      <c r="L112" s="679">
        <f t="shared" si="28"/>
        <v>109</v>
      </c>
      <c r="M112" s="679">
        <f t="shared" si="28"/>
        <v>110</v>
      </c>
      <c r="N112" s="2151"/>
      <c r="O112" s="2151"/>
      <c r="P112" s="2199"/>
      <c r="Q112" s="2143"/>
      <c r="R112" s="2130"/>
      <c r="S112" s="2130"/>
      <c r="T112" s="2130"/>
      <c r="U112" s="2130"/>
      <c r="V112" s="2130"/>
      <c r="W112" s="2130"/>
      <c r="X112" s="2130"/>
      <c r="Y112" s="2130"/>
      <c r="Z112" s="2130"/>
      <c r="AA112" s="2130"/>
      <c r="AB112" s="2130"/>
      <c r="AC112" s="2130"/>
    </row>
    <row r="113" spans="1:29" s="1335" customFormat="1" ht="15" thickTop="1">
      <c r="A113" s="728"/>
      <c r="B113" s="673" t="s">
        <v>786</v>
      </c>
      <c r="C113" s="688"/>
      <c r="D113" s="688"/>
      <c r="E113" s="688"/>
      <c r="F113" s="688"/>
      <c r="G113" s="688"/>
      <c r="H113" s="718"/>
      <c r="I113" s="718"/>
      <c r="J113" s="718"/>
      <c r="K113" s="719"/>
      <c r="L113" s="720"/>
      <c r="M113" s="721"/>
      <c r="N113" s="2152"/>
      <c r="O113" s="2152"/>
      <c r="P113" s="2200"/>
      <c r="Q113" s="2154"/>
      <c r="R113" s="2155"/>
      <c r="S113" s="2155"/>
      <c r="T113" s="2155"/>
      <c r="U113" s="2155"/>
      <c r="V113" s="2155"/>
      <c r="W113" s="2155"/>
      <c r="X113" s="2155"/>
      <c r="Y113" s="2155"/>
      <c r="Z113" s="2155"/>
      <c r="AA113" s="2155"/>
      <c r="AB113" s="2155"/>
      <c r="AC113" s="2155"/>
    </row>
    <row r="114" spans="1:29" s="1335" customFormat="1" ht="15.75" thickBot="1">
      <c r="A114" s="687"/>
      <c r="B114" s="678"/>
      <c r="C114" s="679">
        <v>100</v>
      </c>
      <c r="D114" s="679">
        <f>C114-$K38</f>
        <v>100</v>
      </c>
      <c r="E114" s="679">
        <f t="shared" ref="E114:M114" si="29">D114-$K38</f>
        <v>100</v>
      </c>
      <c r="F114" s="679">
        <f t="shared" si="29"/>
        <v>100</v>
      </c>
      <c r="G114" s="679">
        <f t="shared" si="29"/>
        <v>100</v>
      </c>
      <c r="H114" s="679">
        <f t="shared" si="29"/>
        <v>100</v>
      </c>
      <c r="I114" s="679">
        <f t="shared" si="29"/>
        <v>100</v>
      </c>
      <c r="J114" s="679">
        <f t="shared" si="29"/>
        <v>100</v>
      </c>
      <c r="K114" s="679">
        <f t="shared" si="29"/>
        <v>100</v>
      </c>
      <c r="L114" s="679">
        <f t="shared" si="29"/>
        <v>100</v>
      </c>
      <c r="M114" s="679">
        <f t="shared" si="29"/>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5"/>
      <c r="B115" s="673" t="s">
        <v>753</v>
      </c>
      <c r="C115" s="3181" t="s">
        <v>3028</v>
      </c>
      <c r="D115" s="3181" t="s">
        <v>3029</v>
      </c>
      <c r="E115" s="3182" t="s">
        <v>3030</v>
      </c>
      <c r="F115" s="3182" t="s">
        <v>3031</v>
      </c>
      <c r="G115" s="3182" t="s">
        <v>3032</v>
      </c>
      <c r="H115" s="718"/>
      <c r="I115" s="718"/>
      <c r="J115" s="718"/>
      <c r="K115" s="719"/>
      <c r="L115" s="720"/>
      <c r="M115" s="721"/>
      <c r="N115" s="2149"/>
      <c r="O115" s="2149"/>
      <c r="P115" s="2199"/>
      <c r="Q115" s="2143"/>
      <c r="R115" s="2130"/>
      <c r="S115" s="2130"/>
      <c r="T115" s="2130"/>
      <c r="U115" s="2130"/>
      <c r="V115" s="2130"/>
      <c r="W115" s="2130"/>
      <c r="X115" s="2130"/>
      <c r="Y115" s="2130"/>
      <c r="Z115" s="2130"/>
      <c r="AA115" s="2130"/>
      <c r="AB115" s="2130"/>
      <c r="AC115" s="2130"/>
    </row>
    <row r="116" spans="1:29" ht="15.75" thickBot="1">
      <c r="A116" s="669"/>
      <c r="B116" s="678"/>
      <c r="C116" s="679">
        <v>100</v>
      </c>
      <c r="D116" s="679">
        <f t="shared" ref="D116:M116" si="30">C116-$K39</f>
        <v>99</v>
      </c>
      <c r="E116" s="679">
        <f t="shared" si="30"/>
        <v>98</v>
      </c>
      <c r="F116" s="679">
        <f t="shared" si="30"/>
        <v>97</v>
      </c>
      <c r="G116" s="679">
        <f t="shared" si="30"/>
        <v>96</v>
      </c>
      <c r="H116" s="679">
        <f t="shared" si="30"/>
        <v>95</v>
      </c>
      <c r="I116" s="679">
        <f t="shared" si="30"/>
        <v>94</v>
      </c>
      <c r="J116" s="679">
        <f t="shared" si="30"/>
        <v>93</v>
      </c>
      <c r="K116" s="679">
        <f t="shared" si="30"/>
        <v>92</v>
      </c>
      <c r="L116" s="679">
        <f t="shared" si="30"/>
        <v>91</v>
      </c>
      <c r="M116" s="680">
        <f t="shared" si="30"/>
        <v>90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5"/>
      <c r="B117" s="1881" t="s">
        <v>2553</v>
      </c>
      <c r="C117" s="3181" t="s">
        <v>3033</v>
      </c>
      <c r="D117" s="3181" t="s">
        <v>3035</v>
      </c>
      <c r="E117" s="3181" t="s">
        <v>3036</v>
      </c>
      <c r="F117" s="688"/>
      <c r="G117" s="688"/>
      <c r="H117" s="718"/>
      <c r="I117" s="718"/>
      <c r="J117" s="718"/>
      <c r="K117" s="719"/>
      <c r="L117" s="720"/>
      <c r="M117" s="721"/>
      <c r="N117" s="2149"/>
      <c r="O117" s="2149"/>
      <c r="P117" s="2199"/>
      <c r="Q117" s="2143"/>
      <c r="R117" s="2130"/>
      <c r="S117" s="2130"/>
      <c r="T117" s="2130"/>
      <c r="U117" s="2130"/>
      <c r="V117" s="2130"/>
      <c r="W117" s="2130"/>
      <c r="X117" s="2130"/>
      <c r="Y117" s="2130"/>
      <c r="Z117" s="2130"/>
      <c r="AA117" s="2130"/>
      <c r="AB117" s="2130"/>
      <c r="AC117" s="2130"/>
    </row>
    <row r="118" spans="1:29" ht="15.75" thickBot="1">
      <c r="A118" s="669"/>
      <c r="B118" s="678"/>
      <c r="C118" s="679">
        <v>100</v>
      </c>
      <c r="D118" s="679">
        <f>C118-$K40</f>
        <v>99</v>
      </c>
      <c r="E118" s="679">
        <f>D118-$K40</f>
        <v>98</v>
      </c>
      <c r="F118" s="679">
        <f>E118-$K40</f>
        <v>97</v>
      </c>
      <c r="G118" s="679">
        <f>F118-$K40</f>
        <v>96</v>
      </c>
      <c r="H118" s="679"/>
      <c r="I118" s="679"/>
      <c r="J118" s="679"/>
      <c r="K118" s="679"/>
      <c r="L118" s="679"/>
      <c r="M118" s="680"/>
      <c r="N118" s="2151"/>
      <c r="O118" s="2151"/>
      <c r="P118" s="2199"/>
      <c r="Q118" s="2143"/>
      <c r="R118" s="2130"/>
      <c r="S118" s="2130"/>
      <c r="T118" s="2130"/>
      <c r="U118" s="2130"/>
      <c r="V118" s="2130"/>
      <c r="W118" s="2130"/>
      <c r="X118" s="2130"/>
      <c r="Y118" s="2130"/>
      <c r="Z118" s="2130"/>
      <c r="AA118" s="2130"/>
      <c r="AB118" s="2130"/>
      <c r="AC118" s="2130"/>
    </row>
    <row r="119" spans="1:29" ht="15" thickTop="1">
      <c r="A119" s="735"/>
      <c r="B119" s="917" t="s">
        <v>787</v>
      </c>
      <c r="C119" s="3182" t="s">
        <v>3010</v>
      </c>
      <c r="D119" s="718"/>
      <c r="E119" s="718"/>
      <c r="F119" s="718"/>
      <c r="G119" s="718"/>
      <c r="H119" s="718"/>
      <c r="I119" s="718"/>
      <c r="J119" s="718"/>
      <c r="K119" s="718"/>
      <c r="L119" s="918"/>
      <c r="M119" s="919"/>
      <c r="N119" s="2151"/>
      <c r="O119" s="2151"/>
      <c r="P119" s="2204"/>
      <c r="Q119" s="2191"/>
      <c r="R119" s="2130"/>
      <c r="S119" s="2130"/>
      <c r="T119" s="2130"/>
      <c r="U119" s="2130"/>
      <c r="V119" s="2130"/>
      <c r="W119" s="2130"/>
      <c r="X119" s="2130"/>
      <c r="Y119" s="2130"/>
      <c r="Z119" s="2130"/>
      <c r="AA119" s="2130"/>
      <c r="AB119" s="2130"/>
      <c r="AC119" s="2130"/>
    </row>
    <row r="120" spans="1:29" ht="15.75" thickBot="1">
      <c r="A120" s="669"/>
      <c r="B120" s="678"/>
      <c r="C120" s="712">
        <v>100</v>
      </c>
      <c r="D120" s="679">
        <f>C120-$K41</f>
        <v>98</v>
      </c>
      <c r="E120" s="679">
        <f t="shared" ref="E120:M120" si="31">D120-$K41</f>
        <v>96</v>
      </c>
      <c r="F120" s="679">
        <f t="shared" si="31"/>
        <v>94</v>
      </c>
      <c r="G120" s="679">
        <f t="shared" si="31"/>
        <v>92</v>
      </c>
      <c r="H120" s="679">
        <f t="shared" si="31"/>
        <v>90</v>
      </c>
      <c r="I120" s="679">
        <f t="shared" si="31"/>
        <v>88</v>
      </c>
      <c r="J120" s="679">
        <f t="shared" si="31"/>
        <v>86</v>
      </c>
      <c r="K120" s="679">
        <f t="shared" si="31"/>
        <v>84</v>
      </c>
      <c r="L120" s="679">
        <f t="shared" si="31"/>
        <v>82</v>
      </c>
      <c r="M120" s="679">
        <f t="shared" si="31"/>
        <v>80</v>
      </c>
      <c r="N120" s="2151"/>
      <c r="O120" s="2151"/>
      <c r="P120" s="2199"/>
      <c r="Q120" s="2143"/>
      <c r="R120" s="2130"/>
      <c r="S120" s="2130"/>
      <c r="T120" s="2130"/>
      <c r="U120" s="2130"/>
      <c r="V120" s="2130"/>
      <c r="W120" s="2130"/>
      <c r="X120" s="2130"/>
      <c r="Y120" s="2130"/>
      <c r="Z120" s="2130"/>
      <c r="AA120" s="2130"/>
      <c r="AB120" s="2130"/>
      <c r="AC120" s="2130"/>
    </row>
    <row r="121" spans="1:29" s="1335" customFormat="1" ht="15" thickTop="1">
      <c r="A121" s="728"/>
      <c r="B121" s="673" t="s">
        <v>775</v>
      </c>
      <c r="C121" s="688"/>
      <c r="D121" s="688"/>
      <c r="E121" s="688"/>
      <c r="F121" s="718"/>
      <c r="G121" s="689"/>
      <c r="H121" s="689"/>
      <c r="I121" s="689"/>
      <c r="J121" s="689"/>
      <c r="K121" s="689"/>
      <c r="L121" s="690"/>
      <c r="M121" s="691"/>
      <c r="N121" s="2152"/>
      <c r="O121" s="2152"/>
      <c r="P121" s="2200"/>
      <c r="Q121" s="2154"/>
      <c r="R121" s="2155"/>
      <c r="S121" s="2155"/>
      <c r="T121" s="2155"/>
      <c r="U121" s="2155"/>
      <c r="V121" s="2155"/>
      <c r="W121" s="2155"/>
      <c r="X121" s="2155"/>
      <c r="Y121" s="2155"/>
      <c r="Z121" s="2155"/>
      <c r="AA121" s="2155"/>
      <c r="AB121" s="2155"/>
      <c r="AC121" s="2155"/>
    </row>
    <row r="122" spans="1:29" s="1335" customFormat="1" ht="15.75" thickBot="1">
      <c r="A122" s="687"/>
      <c r="B122" s="670"/>
      <c r="C122" s="692"/>
      <c r="D122" s="692"/>
      <c r="E122" s="692"/>
      <c r="F122" s="692"/>
      <c r="G122" s="692"/>
      <c r="H122" s="692"/>
      <c r="I122" s="692"/>
      <c r="J122" s="692"/>
      <c r="K122" s="692"/>
      <c r="L122" s="692"/>
      <c r="M122" s="692"/>
      <c r="N122" s="2152"/>
      <c r="O122" s="2152"/>
      <c r="P122" s="2200"/>
      <c r="Q122" s="2154"/>
      <c r="R122" s="2155"/>
      <c r="S122" s="2155"/>
      <c r="T122" s="2155"/>
      <c r="U122" s="2155"/>
      <c r="V122" s="2155"/>
      <c r="W122" s="2155"/>
      <c r="X122" s="2155"/>
      <c r="Y122" s="2155"/>
      <c r="Z122" s="2155"/>
      <c r="AA122" s="2155"/>
      <c r="AB122" s="2155"/>
      <c r="AC122" s="2155"/>
    </row>
    <row r="123" spans="1:29" ht="15" thickTop="1">
      <c r="A123" s="735"/>
      <c r="B123" s="673" t="s">
        <v>755</v>
      </c>
      <c r="C123" s="3181" t="s">
        <v>3005</v>
      </c>
      <c r="D123" s="3181" t="s">
        <v>3006</v>
      </c>
      <c r="E123" s="3181" t="s">
        <v>3007</v>
      </c>
      <c r="F123" s="3182" t="s">
        <v>3009</v>
      </c>
      <c r="G123" s="718"/>
      <c r="H123" s="718"/>
      <c r="I123" s="718"/>
      <c r="J123" s="718"/>
      <c r="K123" s="719"/>
      <c r="L123" s="720"/>
      <c r="M123" s="721"/>
      <c r="N123" s="2149"/>
      <c r="O123" s="2149"/>
      <c r="P123" s="2199"/>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32">C124-$K43</f>
        <v>98.5</v>
      </c>
      <c r="E124" s="679">
        <f t="shared" si="32"/>
        <v>97</v>
      </c>
      <c r="F124" s="679">
        <f t="shared" si="32"/>
        <v>95.5</v>
      </c>
      <c r="G124" s="679">
        <f t="shared" si="32"/>
        <v>94</v>
      </c>
      <c r="H124" s="679">
        <f t="shared" si="32"/>
        <v>92.5</v>
      </c>
      <c r="I124" s="679">
        <f t="shared" si="32"/>
        <v>91</v>
      </c>
      <c r="J124" s="679">
        <f t="shared" si="32"/>
        <v>89.5</v>
      </c>
      <c r="K124" s="679">
        <f t="shared" si="32"/>
        <v>88</v>
      </c>
      <c r="L124" s="679">
        <f t="shared" si="32"/>
        <v>86.5</v>
      </c>
      <c r="M124" s="680">
        <f t="shared" si="32"/>
        <v>85</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49"/>
      <c r="O125" s="2149"/>
      <c r="P125" s="2200"/>
      <c r="Q125" s="2143"/>
      <c r="R125" s="2130"/>
      <c r="S125" s="2130"/>
      <c r="T125" s="2130"/>
      <c r="U125" s="2130"/>
      <c r="V125" s="2130"/>
      <c r="W125" s="2130"/>
      <c r="X125" s="2130"/>
      <c r="Y125" s="2130"/>
      <c r="Z125" s="2130"/>
      <c r="AA125" s="2130"/>
      <c r="AB125" s="2130"/>
      <c r="AC125" s="2130"/>
    </row>
    <row r="126" spans="1:29" ht="15.75" thickBot="1">
      <c r="A126" s="669"/>
      <c r="B126" s="678"/>
      <c r="C126" s="679">
        <v>100</v>
      </c>
      <c r="D126" s="679">
        <f>C126-$K44</f>
        <v>99</v>
      </c>
      <c r="E126" s="679">
        <f>D126-$K44</f>
        <v>98</v>
      </c>
      <c r="F126" s="679">
        <f>E126-$K44</f>
        <v>97</v>
      </c>
      <c r="G126" s="679">
        <f>F126-$K44</f>
        <v>96</v>
      </c>
      <c r="H126" s="679"/>
      <c r="I126" s="679"/>
      <c r="J126" s="679"/>
      <c r="K126" s="679"/>
      <c r="L126" s="679"/>
      <c r="M126" s="680"/>
      <c r="N126" s="2151"/>
      <c r="O126" s="2151"/>
      <c r="P126" s="2199"/>
      <c r="Q126" s="2143"/>
      <c r="R126" s="2130"/>
      <c r="S126" s="2130"/>
      <c r="T126" s="2130"/>
      <c r="U126" s="2130"/>
      <c r="V126" s="2130"/>
      <c r="W126" s="2130"/>
      <c r="X126" s="2130"/>
      <c r="Y126" s="2130"/>
      <c r="Z126" s="2130"/>
      <c r="AA126" s="2130"/>
      <c r="AB126" s="2130"/>
      <c r="AC126" s="2130"/>
    </row>
    <row r="127" spans="1:29" s="1335" customFormat="1" ht="15" thickTop="1">
      <c r="A127" s="728"/>
      <c r="B127" s="673">
        <f>B45</f>
        <v>111</v>
      </c>
      <c r="C127" s="688"/>
      <c r="D127" s="688"/>
      <c r="E127" s="688"/>
      <c r="F127" s="688"/>
      <c r="G127" s="688"/>
      <c r="H127" s="689"/>
      <c r="I127" s="689"/>
      <c r="J127" s="689"/>
      <c r="K127" s="689"/>
      <c r="L127" s="690"/>
      <c r="M127" s="691"/>
      <c r="N127" s="2152"/>
      <c r="O127" s="2152"/>
      <c r="P127" s="2200"/>
      <c r="Q127" s="2154"/>
      <c r="R127" s="2155"/>
      <c r="S127" s="2155"/>
      <c r="T127" s="2155"/>
      <c r="U127" s="2155"/>
      <c r="V127" s="2155"/>
      <c r="W127" s="2155"/>
      <c r="X127" s="2155"/>
      <c r="Y127" s="2155"/>
      <c r="Z127" s="2155"/>
      <c r="AA127" s="2155"/>
      <c r="AB127" s="2155"/>
      <c r="AC127" s="2155"/>
    </row>
    <row r="128" spans="1:29" s="1335" customFormat="1" ht="15.75" thickBot="1">
      <c r="A128" s="687"/>
      <c r="B128" s="678"/>
      <c r="C128" s="692"/>
      <c r="D128" s="671"/>
      <c r="E128" s="671"/>
      <c r="F128" s="671"/>
      <c r="G128" s="692"/>
      <c r="H128" s="693"/>
      <c r="I128" s="693"/>
      <c r="J128" s="693"/>
      <c r="K128" s="693"/>
      <c r="L128" s="693"/>
      <c r="M128" s="694"/>
      <c r="N128" s="2152"/>
      <c r="O128" s="2152"/>
      <c r="P128" s="2200"/>
      <c r="Q128" s="2154"/>
      <c r="R128" s="2155"/>
      <c r="S128" s="2155"/>
      <c r="T128" s="2155"/>
      <c r="U128" s="2155"/>
      <c r="V128" s="2155"/>
      <c r="W128" s="2155"/>
      <c r="X128" s="2155"/>
      <c r="Y128" s="2155"/>
      <c r="Z128" s="2155"/>
      <c r="AA128" s="2155"/>
      <c r="AB128" s="2155"/>
      <c r="AC128" s="2155"/>
    </row>
    <row r="129" spans="1:29" ht="15" thickTop="1">
      <c r="A129" s="735"/>
      <c r="B129" s="673">
        <f>B46</f>
        <v>111</v>
      </c>
      <c r="C129" s="688"/>
      <c r="D129" s="688"/>
      <c r="E129" s="688"/>
      <c r="F129" s="688"/>
      <c r="G129" s="718"/>
      <c r="H129" s="718"/>
      <c r="I129" s="718"/>
      <c r="J129" s="718"/>
      <c r="K129" s="719"/>
      <c r="L129" s="720"/>
      <c r="M129" s="721"/>
      <c r="N129" s="2149"/>
      <c r="O129" s="2149"/>
      <c r="P129" s="2199"/>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99"/>
      <c r="Q130" s="2143"/>
      <c r="R130" s="2130"/>
      <c r="S130" s="2130"/>
      <c r="T130" s="2130"/>
      <c r="U130" s="2130"/>
      <c r="V130" s="2130"/>
      <c r="W130" s="2130"/>
      <c r="X130" s="2130"/>
      <c r="Y130" s="2130"/>
      <c r="Z130" s="2130"/>
      <c r="AA130" s="2130"/>
      <c r="AB130" s="2130"/>
      <c r="AC130" s="2130"/>
    </row>
    <row r="131" spans="1:29" ht="15" thickTop="1">
      <c r="A131" s="735"/>
      <c r="B131" s="681">
        <f>B47</f>
        <v>111</v>
      </c>
      <c r="C131" s="661"/>
      <c r="D131" s="661"/>
      <c r="E131" s="661"/>
      <c r="F131" s="661"/>
      <c r="G131" s="722"/>
      <c r="H131" s="722"/>
      <c r="I131" s="722"/>
      <c r="J131" s="722"/>
      <c r="K131" s="661"/>
      <c r="L131" s="662"/>
      <c r="M131" s="725"/>
      <c r="N131" s="2149"/>
      <c r="O131" s="2149"/>
      <c r="P131" s="2199"/>
      <c r="Q131" s="2143"/>
      <c r="R131" s="2130"/>
      <c r="S131" s="2130"/>
      <c r="T131" s="2130"/>
      <c r="U131" s="2130"/>
      <c r="V131" s="2130"/>
      <c r="W131" s="2130"/>
      <c r="X131" s="2130"/>
      <c r="Y131" s="2130"/>
      <c r="Z131" s="2130"/>
      <c r="AA131" s="2130"/>
      <c r="AB131" s="2130"/>
      <c r="AC131" s="2130"/>
    </row>
    <row r="132" spans="1:29" ht="15.75" thickBot="1">
      <c r="A132" s="893"/>
      <c r="B132" s="699"/>
      <c r="C132" s="700"/>
      <c r="D132" s="700"/>
      <c r="E132" s="700"/>
      <c r="F132" s="700"/>
      <c r="G132" s="726"/>
      <c r="H132" s="726"/>
      <c r="I132" s="726"/>
      <c r="J132" s="726"/>
      <c r="K132" s="726"/>
      <c r="L132" s="726"/>
      <c r="M132" s="727"/>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3"/>
  <sheetViews>
    <sheetView topLeftCell="A82" zoomScale="85" zoomScaleNormal="85" workbookViewId="0">
      <selection activeCell="A101" sqref="A101"/>
    </sheetView>
  </sheetViews>
  <sheetFormatPr defaultRowHeight="13.5"/>
  <cols>
    <col min="2" max="2" width="0" hidden="1" customWidth="1"/>
    <col min="5" max="5" width="0" hidden="1" customWidth="1"/>
    <col min="8" max="8" width="0" hidden="1" customWidth="1"/>
    <col min="9" max="9" width="14.375" customWidth="1"/>
    <col min="14" max="26" width="0" hidden="1" customWidth="1"/>
    <col min="28" max="29" width="0" hidden="1" customWidth="1"/>
    <col min="31" max="32" width="0" hidden="1" customWidth="1"/>
    <col min="34" max="34" width="0" hidden="1" customWidth="1"/>
    <col min="36" max="36" width="0" hidden="1" customWidth="1"/>
    <col min="38" max="39" width="0" hidden="1" customWidth="1"/>
    <col min="42" max="45" width="0" hidden="1" customWidth="1"/>
  </cols>
  <sheetData>
    <row r="1" spans="1:45">
      <c r="A1" s="3195" t="s">
        <v>3040</v>
      </c>
      <c r="B1" s="3195" t="s">
        <v>3041</v>
      </c>
      <c r="C1" s="3195" t="s">
        <v>3042</v>
      </c>
      <c r="D1" s="3195" t="s">
        <v>3061</v>
      </c>
      <c r="E1" s="3195" t="s">
        <v>3062</v>
      </c>
      <c r="F1" s="3195" t="s">
        <v>3063</v>
      </c>
      <c r="G1" s="3195" t="s">
        <v>3045</v>
      </c>
      <c r="H1" s="3195" t="s">
        <v>3064</v>
      </c>
      <c r="I1" s="3195" t="s">
        <v>3065</v>
      </c>
      <c r="J1" s="3195" t="s">
        <v>3043</v>
      </c>
      <c r="K1" s="3195" t="s">
        <v>3044</v>
      </c>
      <c r="L1" s="3195" t="s">
        <v>2032</v>
      </c>
      <c r="M1" s="3195" t="s">
        <v>3066</v>
      </c>
      <c r="N1" s="3195" t="s">
        <v>3067</v>
      </c>
      <c r="O1" s="3195" t="s">
        <v>3068</v>
      </c>
      <c r="P1" s="3195" t="s">
        <v>3069</v>
      </c>
      <c r="Q1" s="3195" t="s">
        <v>3070</v>
      </c>
      <c r="R1" s="3195" t="s">
        <v>3071</v>
      </c>
      <c r="S1" s="3195" t="s">
        <v>3072</v>
      </c>
      <c r="T1" s="3195" t="s">
        <v>3073</v>
      </c>
      <c r="U1" s="3195" t="s">
        <v>3074</v>
      </c>
      <c r="V1" s="3195" t="s">
        <v>3075</v>
      </c>
      <c r="W1" s="3195" t="s">
        <v>3076</v>
      </c>
      <c r="X1" s="3195" t="s">
        <v>3077</v>
      </c>
      <c r="Y1" s="3195" t="s">
        <v>3078</v>
      </c>
      <c r="Z1" s="3195" t="s">
        <v>3046</v>
      </c>
      <c r="AA1" s="3195" t="s">
        <v>3079</v>
      </c>
      <c r="AB1" s="3195" t="s">
        <v>3080</v>
      </c>
      <c r="AC1" s="3195" t="s">
        <v>3081</v>
      </c>
      <c r="AD1" s="3195" t="s">
        <v>3051</v>
      </c>
      <c r="AE1" s="3195" t="s">
        <v>3082</v>
      </c>
      <c r="AF1" s="3195" t="s">
        <v>3047</v>
      </c>
      <c r="AG1" s="3195" t="s">
        <v>3048</v>
      </c>
      <c r="AH1" s="3195" t="s">
        <v>3083</v>
      </c>
      <c r="AI1" s="3195" t="s">
        <v>3084</v>
      </c>
      <c r="AJ1" s="3195" t="s">
        <v>3085</v>
      </c>
      <c r="AK1" s="3195" t="s">
        <v>3049</v>
      </c>
      <c r="AL1" s="3195" t="s">
        <v>3086</v>
      </c>
      <c r="AM1" s="3195" t="s">
        <v>3087</v>
      </c>
      <c r="AN1" s="3195" t="s">
        <v>3050</v>
      </c>
      <c r="AO1" s="3195" t="s">
        <v>3088</v>
      </c>
      <c r="AP1" s="3195" t="s">
        <v>3089</v>
      </c>
      <c r="AQ1" s="3195" t="s">
        <v>3090</v>
      </c>
      <c r="AR1" s="3195" t="s">
        <v>3091</v>
      </c>
      <c r="AS1" s="3195" t="s">
        <v>3052</v>
      </c>
    </row>
    <row r="2" spans="1:45">
      <c r="A2" s="3195" t="s">
        <v>3170</v>
      </c>
      <c r="B2" s="3195" t="s">
        <v>3171</v>
      </c>
      <c r="C2" s="3195" t="s">
        <v>3172</v>
      </c>
      <c r="D2" s="3195" t="s">
        <v>3173</v>
      </c>
      <c r="E2" s="3195" t="s">
        <v>2815</v>
      </c>
      <c r="F2" s="3195" t="s">
        <v>3170</v>
      </c>
      <c r="G2" s="3195" t="s">
        <v>3054</v>
      </c>
      <c r="H2" s="3195" t="s">
        <v>3174</v>
      </c>
      <c r="I2" s="3195" t="s">
        <v>3175</v>
      </c>
      <c r="J2" s="3195">
        <v>32154.07</v>
      </c>
      <c r="K2" s="3195">
        <v>112539.25</v>
      </c>
      <c r="L2" s="3195" t="s">
        <v>3176</v>
      </c>
      <c r="M2" s="3195" t="s">
        <v>2815</v>
      </c>
      <c r="N2" s="3195" t="s">
        <v>3177</v>
      </c>
      <c r="O2" s="3195" t="s">
        <v>3178</v>
      </c>
      <c r="P2" s="3195" t="s">
        <v>2815</v>
      </c>
      <c r="Q2" s="3195" t="s">
        <v>2815</v>
      </c>
      <c r="R2" s="3195" t="s">
        <v>2815</v>
      </c>
      <c r="S2" s="3195" t="s">
        <v>2815</v>
      </c>
      <c r="T2" s="3195" t="s">
        <v>2815</v>
      </c>
      <c r="U2" s="3195" t="s">
        <v>2815</v>
      </c>
      <c r="V2" s="3195" t="s">
        <v>2815</v>
      </c>
      <c r="W2" s="3195" t="s">
        <v>3092</v>
      </c>
      <c r="X2" s="3195" t="s">
        <v>3179</v>
      </c>
      <c r="Y2" s="3195" t="s">
        <v>3180</v>
      </c>
      <c r="Z2" s="3195" t="s">
        <v>3181</v>
      </c>
      <c r="AA2" s="3195" t="s">
        <v>3181</v>
      </c>
      <c r="AB2" s="3195" t="s">
        <v>3182</v>
      </c>
      <c r="AC2" s="3195" t="s">
        <v>3095</v>
      </c>
      <c r="AD2" s="3195" t="s">
        <v>3183</v>
      </c>
      <c r="AE2" s="3195">
        <v>15856.78</v>
      </c>
      <c r="AF2" s="3195">
        <v>15856.78</v>
      </c>
      <c r="AG2" s="3195">
        <v>15856.78</v>
      </c>
      <c r="AH2" s="3195">
        <v>328.77</v>
      </c>
      <c r="AI2" s="3195">
        <v>328.77</v>
      </c>
      <c r="AJ2" s="3195">
        <v>1409</v>
      </c>
      <c r="AK2" s="3195">
        <v>1409</v>
      </c>
      <c r="AL2" s="3195" t="s">
        <v>2815</v>
      </c>
      <c r="AM2" s="3195" t="s">
        <v>2815</v>
      </c>
      <c r="AN2" s="3195">
        <v>0</v>
      </c>
      <c r="AO2" s="3195" t="s">
        <v>3184</v>
      </c>
      <c r="AP2" s="3195" t="s">
        <v>2815</v>
      </c>
      <c r="AQ2" s="3195" t="s">
        <v>2815</v>
      </c>
      <c r="AR2" s="3195" t="s">
        <v>2815</v>
      </c>
      <c r="AS2" s="3195" t="s">
        <v>3057</v>
      </c>
    </row>
    <row r="3" spans="1:45">
      <c r="A3" s="3195" t="s">
        <v>3185</v>
      </c>
      <c r="B3" s="3195" t="s">
        <v>3171</v>
      </c>
      <c r="C3" s="3195" t="s">
        <v>3172</v>
      </c>
      <c r="D3" s="3195" t="s">
        <v>3173</v>
      </c>
      <c r="E3" s="3195" t="s">
        <v>2815</v>
      </c>
      <c r="F3" s="3195" t="s">
        <v>3185</v>
      </c>
      <c r="G3" s="3195" t="s">
        <v>3054</v>
      </c>
      <c r="H3" s="3195" t="s">
        <v>3186</v>
      </c>
      <c r="I3" s="3195" t="s">
        <v>3175</v>
      </c>
      <c r="J3" s="3195">
        <v>26379.5</v>
      </c>
      <c r="K3" s="3195">
        <v>79138.5</v>
      </c>
      <c r="L3" s="3195" t="s">
        <v>3187</v>
      </c>
      <c r="M3" s="3195" t="s">
        <v>2815</v>
      </c>
      <c r="N3" s="3195" t="s">
        <v>3188</v>
      </c>
      <c r="O3" s="3195" t="s">
        <v>3178</v>
      </c>
      <c r="P3" s="3195" t="s">
        <v>2815</v>
      </c>
      <c r="Q3" s="3195" t="s">
        <v>2815</v>
      </c>
      <c r="R3" s="3195" t="s">
        <v>2815</v>
      </c>
      <c r="S3" s="3195" t="s">
        <v>2815</v>
      </c>
      <c r="T3" s="3195" t="s">
        <v>2815</v>
      </c>
      <c r="U3" s="3195" t="s">
        <v>2815</v>
      </c>
      <c r="V3" s="3195" t="s">
        <v>2815</v>
      </c>
      <c r="W3" s="3195" t="s">
        <v>3092</v>
      </c>
      <c r="X3" s="3195" t="s">
        <v>3179</v>
      </c>
      <c r="Y3" s="3195" t="s">
        <v>3180</v>
      </c>
      <c r="Z3" s="3195" t="s">
        <v>3181</v>
      </c>
      <c r="AA3" s="3195" t="s">
        <v>3181</v>
      </c>
      <c r="AB3" s="3195" t="s">
        <v>3182</v>
      </c>
      <c r="AC3" s="3195" t="s">
        <v>3095</v>
      </c>
      <c r="AD3" s="3195" t="s">
        <v>3183</v>
      </c>
      <c r="AE3" s="3195">
        <v>14189.53</v>
      </c>
      <c r="AF3" s="3195">
        <v>14189.53</v>
      </c>
      <c r="AG3" s="3195">
        <v>14189.53</v>
      </c>
      <c r="AH3" s="3195">
        <v>358.6</v>
      </c>
      <c r="AI3" s="3195">
        <v>358.6</v>
      </c>
      <c r="AJ3" s="3195">
        <v>1792.99</v>
      </c>
      <c r="AK3" s="3195">
        <v>1793</v>
      </c>
      <c r="AL3" s="3195" t="s">
        <v>2815</v>
      </c>
      <c r="AM3" s="3195" t="s">
        <v>2815</v>
      </c>
      <c r="AN3" s="3195">
        <v>0</v>
      </c>
      <c r="AO3" s="3195" t="s">
        <v>3184</v>
      </c>
      <c r="AP3" s="3195" t="s">
        <v>2815</v>
      </c>
      <c r="AQ3" s="3195" t="s">
        <v>2815</v>
      </c>
      <c r="AR3" s="3195" t="s">
        <v>2815</v>
      </c>
      <c r="AS3" s="3195" t="s">
        <v>3057</v>
      </c>
    </row>
    <row r="4" spans="1:45">
      <c r="A4" s="3195" t="s">
        <v>3189</v>
      </c>
      <c r="B4" s="3195" t="s">
        <v>3171</v>
      </c>
      <c r="C4" s="3195" t="s">
        <v>3172</v>
      </c>
      <c r="D4" s="3195" t="s">
        <v>3173</v>
      </c>
      <c r="E4" s="3195" t="s">
        <v>2815</v>
      </c>
      <c r="F4" s="3195" t="s">
        <v>3189</v>
      </c>
      <c r="G4" s="3195" t="s">
        <v>3054</v>
      </c>
      <c r="H4" s="3195" t="s">
        <v>3190</v>
      </c>
      <c r="I4" s="3195" t="s">
        <v>3175</v>
      </c>
      <c r="J4" s="3195">
        <v>25556.54</v>
      </c>
      <c r="K4" s="3195">
        <v>76669.62</v>
      </c>
      <c r="L4" s="3195" t="s">
        <v>3187</v>
      </c>
      <c r="M4" s="3195" t="s">
        <v>2815</v>
      </c>
      <c r="N4" s="3195" t="s">
        <v>3188</v>
      </c>
      <c r="O4" s="3195" t="s">
        <v>3178</v>
      </c>
      <c r="P4" s="3195" t="s">
        <v>2815</v>
      </c>
      <c r="Q4" s="3195" t="s">
        <v>2815</v>
      </c>
      <c r="R4" s="3195" t="s">
        <v>2815</v>
      </c>
      <c r="S4" s="3195" t="s">
        <v>2815</v>
      </c>
      <c r="T4" s="3195" t="s">
        <v>2815</v>
      </c>
      <c r="U4" s="3195" t="s">
        <v>2815</v>
      </c>
      <c r="V4" s="3195" t="s">
        <v>2815</v>
      </c>
      <c r="W4" s="3195" t="s">
        <v>3092</v>
      </c>
      <c r="X4" s="3195" t="s">
        <v>3179</v>
      </c>
      <c r="Y4" s="3195" t="s">
        <v>3180</v>
      </c>
      <c r="Z4" s="3195" t="s">
        <v>3181</v>
      </c>
      <c r="AA4" s="3195" t="s">
        <v>3181</v>
      </c>
      <c r="AB4" s="3195" t="s">
        <v>3182</v>
      </c>
      <c r="AC4" s="3195" t="s">
        <v>3095</v>
      </c>
      <c r="AD4" s="3195" t="s">
        <v>3183</v>
      </c>
      <c r="AE4" s="3195">
        <v>13746.86</v>
      </c>
      <c r="AF4" s="3195">
        <v>13746.86</v>
      </c>
      <c r="AG4" s="3195">
        <v>13746.86</v>
      </c>
      <c r="AH4" s="3195">
        <v>358.6</v>
      </c>
      <c r="AI4" s="3195">
        <v>358.6</v>
      </c>
      <c r="AJ4" s="3195">
        <v>1792.99</v>
      </c>
      <c r="AK4" s="3195">
        <v>1793</v>
      </c>
      <c r="AL4" s="3195" t="s">
        <v>2815</v>
      </c>
      <c r="AM4" s="3195" t="s">
        <v>2815</v>
      </c>
      <c r="AN4" s="3195">
        <v>0</v>
      </c>
      <c r="AO4" s="3195" t="s">
        <v>3184</v>
      </c>
      <c r="AP4" s="3195" t="s">
        <v>2815</v>
      </c>
      <c r="AQ4" s="3195" t="s">
        <v>2815</v>
      </c>
      <c r="AR4" s="3195" t="s">
        <v>2815</v>
      </c>
      <c r="AS4" s="3195" t="s">
        <v>3057</v>
      </c>
    </row>
    <row r="5" spans="1:45">
      <c r="A5" s="3195" t="s">
        <v>3191</v>
      </c>
      <c r="B5" s="3195" t="s">
        <v>3171</v>
      </c>
      <c r="C5" s="3195" t="s">
        <v>3172</v>
      </c>
      <c r="D5" s="3195" t="s">
        <v>3173</v>
      </c>
      <c r="E5" s="3195" t="s">
        <v>2815</v>
      </c>
      <c r="F5" s="3195" t="s">
        <v>3191</v>
      </c>
      <c r="G5" s="3195" t="s">
        <v>3054</v>
      </c>
      <c r="H5" s="3195" t="s">
        <v>3192</v>
      </c>
      <c r="I5" s="3195" t="s">
        <v>3175</v>
      </c>
      <c r="J5" s="3195">
        <v>27788.92</v>
      </c>
      <c r="K5" s="3195">
        <v>69472.3</v>
      </c>
      <c r="L5" s="3195" t="s">
        <v>3193</v>
      </c>
      <c r="M5" s="3195" t="s">
        <v>2815</v>
      </c>
      <c r="N5" s="3195" t="s">
        <v>3177</v>
      </c>
      <c r="O5" s="3195" t="s">
        <v>3194</v>
      </c>
      <c r="P5" s="3195" t="s">
        <v>2815</v>
      </c>
      <c r="Q5" s="3195" t="s">
        <v>2815</v>
      </c>
      <c r="R5" s="3195" t="s">
        <v>2815</v>
      </c>
      <c r="S5" s="3195" t="s">
        <v>2815</v>
      </c>
      <c r="T5" s="3195" t="s">
        <v>2815</v>
      </c>
      <c r="U5" s="3195" t="s">
        <v>2815</v>
      </c>
      <c r="V5" s="3195" t="s">
        <v>2815</v>
      </c>
      <c r="W5" s="3195" t="s">
        <v>3092</v>
      </c>
      <c r="X5" s="3195" t="s">
        <v>3179</v>
      </c>
      <c r="Y5" s="3195" t="s">
        <v>3180</v>
      </c>
      <c r="Z5" s="3195" t="s">
        <v>3181</v>
      </c>
      <c r="AA5" s="3195" t="s">
        <v>3181</v>
      </c>
      <c r="AB5" s="3195" t="s">
        <v>3182</v>
      </c>
      <c r="AC5" s="3195" t="s">
        <v>3095</v>
      </c>
      <c r="AD5" s="3195" t="s">
        <v>3183</v>
      </c>
      <c r="AE5" s="3195">
        <v>14950.44</v>
      </c>
      <c r="AF5" s="3195">
        <v>14950.44</v>
      </c>
      <c r="AG5" s="3195">
        <v>14950.44</v>
      </c>
      <c r="AH5" s="3195">
        <v>358.67</v>
      </c>
      <c r="AI5" s="3195">
        <v>358.67</v>
      </c>
      <c r="AJ5" s="3195">
        <v>2152</v>
      </c>
      <c r="AK5" s="3195">
        <v>2152</v>
      </c>
      <c r="AL5" s="3195" t="s">
        <v>2815</v>
      </c>
      <c r="AM5" s="3195" t="s">
        <v>2815</v>
      </c>
      <c r="AN5" s="3195">
        <v>0</v>
      </c>
      <c r="AO5" s="3195" t="s">
        <v>3184</v>
      </c>
      <c r="AP5" s="3195" t="s">
        <v>2815</v>
      </c>
      <c r="AQ5" s="3195" t="s">
        <v>2815</v>
      </c>
      <c r="AR5" s="3195" t="s">
        <v>2815</v>
      </c>
      <c r="AS5" s="3195" t="s">
        <v>3057</v>
      </c>
    </row>
    <row r="6" spans="1:45">
      <c r="A6" s="3195" t="s">
        <v>3195</v>
      </c>
      <c r="B6" s="3195" t="s">
        <v>3171</v>
      </c>
      <c r="C6" s="3195" t="s">
        <v>3172</v>
      </c>
      <c r="D6" s="3195" t="s">
        <v>3173</v>
      </c>
      <c r="E6" s="3195" t="s">
        <v>2815</v>
      </c>
      <c r="F6" s="3195" t="s">
        <v>3195</v>
      </c>
      <c r="G6" s="3195" t="s">
        <v>3054</v>
      </c>
      <c r="H6" s="3195" t="s">
        <v>3196</v>
      </c>
      <c r="I6" s="3195" t="s">
        <v>3175</v>
      </c>
      <c r="J6" s="3195">
        <v>19979.28</v>
      </c>
      <c r="K6" s="3195">
        <v>59937.84</v>
      </c>
      <c r="L6" s="3195" t="s">
        <v>3187</v>
      </c>
      <c r="M6" s="3195" t="s">
        <v>2815</v>
      </c>
      <c r="N6" s="3195" t="s">
        <v>3188</v>
      </c>
      <c r="O6" s="3195" t="s">
        <v>3178</v>
      </c>
      <c r="P6" s="3195" t="s">
        <v>2815</v>
      </c>
      <c r="Q6" s="3195" t="s">
        <v>2815</v>
      </c>
      <c r="R6" s="3195" t="s">
        <v>2815</v>
      </c>
      <c r="S6" s="3195" t="s">
        <v>2815</v>
      </c>
      <c r="T6" s="3195" t="s">
        <v>2815</v>
      </c>
      <c r="U6" s="3195" t="s">
        <v>2815</v>
      </c>
      <c r="V6" s="3195" t="s">
        <v>2815</v>
      </c>
      <c r="W6" s="3195" t="s">
        <v>3092</v>
      </c>
      <c r="X6" s="3195" t="s">
        <v>3179</v>
      </c>
      <c r="Y6" s="3195" t="s">
        <v>3180</v>
      </c>
      <c r="Z6" s="3195" t="s">
        <v>3181</v>
      </c>
      <c r="AA6" s="3195" t="s">
        <v>3181</v>
      </c>
      <c r="AB6" s="3195" t="s">
        <v>3182</v>
      </c>
      <c r="AC6" s="3195" t="s">
        <v>3095</v>
      </c>
      <c r="AD6" s="3195" t="s">
        <v>3183</v>
      </c>
      <c r="AE6" s="3195">
        <v>10746.85</v>
      </c>
      <c r="AF6" s="3195">
        <v>10746.85</v>
      </c>
      <c r="AG6" s="3195">
        <v>10746.85</v>
      </c>
      <c r="AH6" s="3195">
        <v>358.6</v>
      </c>
      <c r="AI6" s="3195">
        <v>358.6</v>
      </c>
      <c r="AJ6" s="3195">
        <v>1792.99</v>
      </c>
      <c r="AK6" s="3195">
        <v>1793</v>
      </c>
      <c r="AL6" s="3195" t="s">
        <v>2815</v>
      </c>
      <c r="AM6" s="3195" t="s">
        <v>2815</v>
      </c>
      <c r="AN6" s="3195">
        <v>0</v>
      </c>
      <c r="AO6" s="3195" t="s">
        <v>3184</v>
      </c>
      <c r="AP6" s="3195" t="s">
        <v>2815</v>
      </c>
      <c r="AQ6" s="3195" t="s">
        <v>2815</v>
      </c>
      <c r="AR6" s="3195" t="s">
        <v>2815</v>
      </c>
      <c r="AS6" s="3195" t="s">
        <v>3055</v>
      </c>
    </row>
    <row r="7" spans="1:45">
      <c r="A7" s="3195" t="s">
        <v>3197</v>
      </c>
      <c r="B7" s="3195" t="s">
        <v>3171</v>
      </c>
      <c r="C7" s="3195" t="s">
        <v>3053</v>
      </c>
      <c r="D7" s="3195" t="s">
        <v>3173</v>
      </c>
      <c r="E7" s="3195" t="s">
        <v>2815</v>
      </c>
      <c r="F7" s="3195" t="s">
        <v>3197</v>
      </c>
      <c r="G7" s="3195" t="s">
        <v>3054</v>
      </c>
      <c r="H7" s="3195" t="s">
        <v>3198</v>
      </c>
      <c r="I7" s="3195" t="s">
        <v>3101</v>
      </c>
      <c r="J7" s="3195">
        <v>5538.2</v>
      </c>
      <c r="K7" s="3195">
        <v>13845.5</v>
      </c>
      <c r="L7" s="3195" t="s">
        <v>3193</v>
      </c>
      <c r="M7" s="3195" t="s">
        <v>2815</v>
      </c>
      <c r="N7" s="3195" t="s">
        <v>3199</v>
      </c>
      <c r="O7" s="3195" t="s">
        <v>3200</v>
      </c>
      <c r="P7" s="3195" t="s">
        <v>2815</v>
      </c>
      <c r="Q7" s="3195" t="s">
        <v>2815</v>
      </c>
      <c r="R7" s="3195" t="s">
        <v>2815</v>
      </c>
      <c r="S7" s="3195" t="s">
        <v>2815</v>
      </c>
      <c r="T7" s="3195" t="s">
        <v>2815</v>
      </c>
      <c r="U7" s="3195" t="s">
        <v>2815</v>
      </c>
      <c r="V7" s="3195" t="s">
        <v>2815</v>
      </c>
      <c r="W7" s="3195" t="s">
        <v>3092</v>
      </c>
      <c r="X7" s="3195" t="s">
        <v>3201</v>
      </c>
      <c r="Y7" s="3195" t="s">
        <v>3094</v>
      </c>
      <c r="Z7" s="3195" t="s">
        <v>3202</v>
      </c>
      <c r="AA7" s="3195" t="s">
        <v>3202</v>
      </c>
      <c r="AB7" s="3195" t="s">
        <v>3203</v>
      </c>
      <c r="AC7" s="3195" t="s">
        <v>3095</v>
      </c>
      <c r="AD7" s="3195" t="s">
        <v>3204</v>
      </c>
      <c r="AE7" s="3195">
        <v>5058.04</v>
      </c>
      <c r="AF7" s="3195">
        <v>5057.76</v>
      </c>
      <c r="AG7" s="3195">
        <v>5059.1400000000003</v>
      </c>
      <c r="AH7" s="3195">
        <v>608.83000000000004</v>
      </c>
      <c r="AI7" s="3195">
        <v>609</v>
      </c>
      <c r="AJ7" s="3195">
        <v>3652.99</v>
      </c>
      <c r="AK7" s="3195">
        <v>3654</v>
      </c>
      <c r="AL7" s="3195" t="s">
        <v>2815</v>
      </c>
      <c r="AM7" s="3195" t="s">
        <v>2815</v>
      </c>
      <c r="AN7" s="3195">
        <v>0.03</v>
      </c>
      <c r="AO7" s="3195" t="s">
        <v>3096</v>
      </c>
      <c r="AP7" s="3195" t="s">
        <v>2815</v>
      </c>
      <c r="AQ7" s="3195" t="s">
        <v>2815</v>
      </c>
      <c r="AR7" s="3195" t="s">
        <v>2815</v>
      </c>
      <c r="AS7" s="3195" t="s">
        <v>3057</v>
      </c>
    </row>
    <row r="8" spans="1:45" s="3197" customFormat="1">
      <c r="A8" s="3196" t="s">
        <v>3205</v>
      </c>
      <c r="B8" s="3196" t="s">
        <v>3171</v>
      </c>
      <c r="C8" s="3196" t="s">
        <v>3053</v>
      </c>
      <c r="D8" s="3196" t="s">
        <v>3173</v>
      </c>
      <c r="E8" s="3196" t="s">
        <v>2815</v>
      </c>
      <c r="F8" s="3196" t="s">
        <v>3205</v>
      </c>
      <c r="G8" s="3196" t="s">
        <v>3054</v>
      </c>
      <c r="H8" s="3196">
        <v>21</v>
      </c>
      <c r="I8" s="3196" t="s">
        <v>3206</v>
      </c>
      <c r="J8" s="3196">
        <v>11227.4</v>
      </c>
      <c r="K8" s="3196">
        <v>32559.46</v>
      </c>
      <c r="L8" s="3196" t="s">
        <v>3207</v>
      </c>
      <c r="M8" s="3196" t="s">
        <v>2815</v>
      </c>
      <c r="N8" s="3196" t="s">
        <v>3208</v>
      </c>
      <c r="O8" s="3196" t="s">
        <v>3178</v>
      </c>
      <c r="P8" s="3196" t="s">
        <v>2815</v>
      </c>
      <c r="Q8" s="3196" t="s">
        <v>2815</v>
      </c>
      <c r="R8" s="3196" t="s">
        <v>2815</v>
      </c>
      <c r="S8" s="3196" t="s">
        <v>2815</v>
      </c>
      <c r="T8" s="3196" t="s">
        <v>2815</v>
      </c>
      <c r="U8" s="3196" t="s">
        <v>2815</v>
      </c>
      <c r="V8" s="3196" t="s">
        <v>2815</v>
      </c>
      <c r="W8" s="3196" t="s">
        <v>3092</v>
      </c>
      <c r="X8" s="3196" t="s">
        <v>3209</v>
      </c>
      <c r="Y8" s="3196" t="s">
        <v>3210</v>
      </c>
      <c r="Z8" s="3196" t="s">
        <v>3211</v>
      </c>
      <c r="AA8" s="3196" t="s">
        <v>3211</v>
      </c>
      <c r="AB8" s="3196" t="s">
        <v>3212</v>
      </c>
      <c r="AC8" s="3196" t="s">
        <v>3095</v>
      </c>
      <c r="AD8" s="3196" t="s">
        <v>3213</v>
      </c>
      <c r="AE8" s="3196">
        <v>3031.2</v>
      </c>
      <c r="AF8" s="3196">
        <v>3031.38</v>
      </c>
      <c r="AG8" s="3196">
        <v>3031.38</v>
      </c>
      <c r="AH8" s="3196">
        <v>180</v>
      </c>
      <c r="AI8" s="3196">
        <v>180</v>
      </c>
      <c r="AJ8" s="3196">
        <v>931.02</v>
      </c>
      <c r="AK8" s="3196">
        <v>931.02</v>
      </c>
      <c r="AL8" s="3196" t="s">
        <v>2815</v>
      </c>
      <c r="AM8" s="3196" t="s">
        <v>2815</v>
      </c>
      <c r="AN8" s="3196">
        <v>0</v>
      </c>
      <c r="AO8" s="3196" t="s">
        <v>3096</v>
      </c>
      <c r="AP8" s="3196" t="s">
        <v>2815</v>
      </c>
      <c r="AQ8" s="3196" t="s">
        <v>2815</v>
      </c>
      <c r="AR8" s="3196" t="s">
        <v>2815</v>
      </c>
      <c r="AS8" s="3196" t="s">
        <v>3057</v>
      </c>
    </row>
    <row r="9" spans="1:45">
      <c r="A9" s="3195" t="s">
        <v>3214</v>
      </c>
      <c r="B9" s="3195" t="s">
        <v>3171</v>
      </c>
      <c r="C9" s="3195" t="s">
        <v>3053</v>
      </c>
      <c r="D9" s="3195" t="s">
        <v>3173</v>
      </c>
      <c r="E9" s="3195" t="s">
        <v>2815</v>
      </c>
      <c r="F9" s="3195" t="s">
        <v>3214</v>
      </c>
      <c r="G9" s="3195" t="s">
        <v>3054</v>
      </c>
      <c r="H9" s="3195" t="s">
        <v>3215</v>
      </c>
      <c r="I9" s="3195" t="s">
        <v>3216</v>
      </c>
      <c r="J9" s="3195">
        <v>13878.42</v>
      </c>
      <c r="K9" s="3195">
        <v>48574.47</v>
      </c>
      <c r="L9" s="3195" t="s">
        <v>3217</v>
      </c>
      <c r="M9" s="3195" t="s">
        <v>2815</v>
      </c>
      <c r="N9" s="3195" t="s">
        <v>3099</v>
      </c>
      <c r="O9" s="3195" t="s">
        <v>3218</v>
      </c>
      <c r="P9" s="3195" t="s">
        <v>2815</v>
      </c>
      <c r="Q9" s="3195" t="s">
        <v>2815</v>
      </c>
      <c r="R9" s="3195" t="s">
        <v>2815</v>
      </c>
      <c r="S9" s="3195" t="s">
        <v>2815</v>
      </c>
      <c r="T9" s="3195" t="s">
        <v>2815</v>
      </c>
      <c r="U9" s="3195" t="s">
        <v>2815</v>
      </c>
      <c r="V9" s="3195" t="s">
        <v>2815</v>
      </c>
      <c r="W9" s="3195" t="s">
        <v>3092</v>
      </c>
      <c r="X9" s="3195" t="s">
        <v>3219</v>
      </c>
      <c r="Y9" s="3195" t="s">
        <v>3220</v>
      </c>
      <c r="Z9" s="3195" t="s">
        <v>3093</v>
      </c>
      <c r="AA9" s="3195" t="s">
        <v>3093</v>
      </c>
      <c r="AB9" s="3195" t="s">
        <v>3221</v>
      </c>
      <c r="AC9" s="3195" t="s">
        <v>3095</v>
      </c>
      <c r="AD9" s="3195" t="s">
        <v>3222</v>
      </c>
      <c r="AE9" s="3195">
        <v>6363.26</v>
      </c>
      <c r="AF9" s="3195">
        <v>6363.26</v>
      </c>
      <c r="AG9" s="3195">
        <v>6363.26</v>
      </c>
      <c r="AH9" s="3195">
        <v>305.67</v>
      </c>
      <c r="AI9" s="3195">
        <v>305.67</v>
      </c>
      <c r="AJ9" s="3195">
        <v>1310</v>
      </c>
      <c r="AK9" s="3195">
        <v>1310</v>
      </c>
      <c r="AL9" s="3195" t="s">
        <v>2815</v>
      </c>
      <c r="AM9" s="3195" t="s">
        <v>2815</v>
      </c>
      <c r="AN9" s="3195">
        <v>0</v>
      </c>
      <c r="AO9" s="3195" t="s">
        <v>3223</v>
      </c>
      <c r="AP9" s="3195" t="s">
        <v>2815</v>
      </c>
      <c r="AQ9" s="3195" t="s">
        <v>2815</v>
      </c>
      <c r="AR9" s="3195" t="s">
        <v>2815</v>
      </c>
      <c r="AS9" s="3195" t="s">
        <v>3057</v>
      </c>
    </row>
    <row r="10" spans="1:45">
      <c r="A10" s="3195" t="s">
        <v>3224</v>
      </c>
      <c r="B10" s="3195" t="s">
        <v>3171</v>
      </c>
      <c r="C10" s="3195" t="s">
        <v>3225</v>
      </c>
      <c r="D10" s="3195" t="s">
        <v>3173</v>
      </c>
      <c r="E10" s="3195" t="s">
        <v>2815</v>
      </c>
      <c r="F10" s="3195" t="s">
        <v>3224</v>
      </c>
      <c r="G10" s="3195" t="s">
        <v>3054</v>
      </c>
      <c r="H10" s="3195" t="s">
        <v>3226</v>
      </c>
      <c r="I10" s="3195" t="s">
        <v>3227</v>
      </c>
      <c r="J10" s="3195">
        <v>87030</v>
      </c>
      <c r="K10" s="3195">
        <v>322011</v>
      </c>
      <c r="L10" s="3195" t="s">
        <v>3228</v>
      </c>
      <c r="M10" s="3195" t="s">
        <v>2815</v>
      </c>
      <c r="N10" s="3195" t="s">
        <v>3099</v>
      </c>
      <c r="O10" s="3195" t="s">
        <v>3229</v>
      </c>
      <c r="P10" s="3195" t="s">
        <v>2815</v>
      </c>
      <c r="Q10" s="3195" t="s">
        <v>2815</v>
      </c>
      <c r="R10" s="3195" t="s">
        <v>2815</v>
      </c>
      <c r="S10" s="3195" t="s">
        <v>2815</v>
      </c>
      <c r="T10" s="3195" t="s">
        <v>2815</v>
      </c>
      <c r="U10" s="3195" t="s">
        <v>2815</v>
      </c>
      <c r="V10" s="3195" t="s">
        <v>2815</v>
      </c>
      <c r="W10" s="3195" t="s">
        <v>3103</v>
      </c>
      <c r="X10" s="3195" t="s">
        <v>3098</v>
      </c>
      <c r="Y10" s="3195" t="s">
        <v>3230</v>
      </c>
      <c r="Z10" s="3195" t="s">
        <v>3231</v>
      </c>
      <c r="AA10" s="3195" t="s">
        <v>3231</v>
      </c>
      <c r="AB10" s="3195" t="s">
        <v>3232</v>
      </c>
      <c r="AC10" s="3195" t="s">
        <v>3095</v>
      </c>
      <c r="AD10" s="3195" t="s">
        <v>3233</v>
      </c>
      <c r="AE10" s="3195">
        <v>16057</v>
      </c>
      <c r="AF10" s="3195">
        <v>26761</v>
      </c>
      <c r="AG10" s="3195">
        <v>26761</v>
      </c>
      <c r="AH10" s="3195">
        <v>204.99</v>
      </c>
      <c r="AI10" s="3195">
        <v>204.99</v>
      </c>
      <c r="AJ10" s="3195">
        <v>831.05</v>
      </c>
      <c r="AK10" s="3195">
        <v>831.05</v>
      </c>
      <c r="AL10" s="3195" t="s">
        <v>2815</v>
      </c>
      <c r="AM10" s="3195" t="s">
        <v>2815</v>
      </c>
      <c r="AN10" s="3195">
        <v>0</v>
      </c>
      <c r="AO10" s="3195" t="s">
        <v>3234</v>
      </c>
      <c r="AP10" s="3195" t="s">
        <v>2815</v>
      </c>
      <c r="AQ10" s="3195" t="s">
        <v>2815</v>
      </c>
      <c r="AR10" s="3195" t="s">
        <v>2815</v>
      </c>
      <c r="AS10" s="3195" t="s">
        <v>3057</v>
      </c>
    </row>
    <row r="11" spans="1:45">
      <c r="A11" s="3195" t="s">
        <v>3205</v>
      </c>
      <c r="B11" s="3195" t="s">
        <v>3171</v>
      </c>
      <c r="C11" s="3195" t="s">
        <v>3225</v>
      </c>
      <c r="D11" s="3195" t="s">
        <v>3173</v>
      </c>
      <c r="E11" s="3195" t="s">
        <v>2815</v>
      </c>
      <c r="F11" s="3195" t="s">
        <v>3205</v>
      </c>
      <c r="G11" s="3195" t="s">
        <v>3054</v>
      </c>
      <c r="H11" s="3195" t="s">
        <v>3226</v>
      </c>
      <c r="I11" s="3195" t="s">
        <v>3235</v>
      </c>
      <c r="J11" s="3195">
        <v>87030</v>
      </c>
      <c r="K11" s="3195">
        <v>322011</v>
      </c>
      <c r="L11" s="3195" t="s">
        <v>3228</v>
      </c>
      <c r="M11" s="3195" t="s">
        <v>2815</v>
      </c>
      <c r="N11" s="3195" t="s">
        <v>3099</v>
      </c>
      <c r="O11" s="3195" t="s">
        <v>3236</v>
      </c>
      <c r="P11" s="3195" t="s">
        <v>2815</v>
      </c>
      <c r="Q11" s="3195" t="s">
        <v>2815</v>
      </c>
      <c r="R11" s="3195" t="s">
        <v>2815</v>
      </c>
      <c r="S11" s="3195" t="s">
        <v>2815</v>
      </c>
      <c r="T11" s="3195" t="s">
        <v>2815</v>
      </c>
      <c r="U11" s="3195" t="s">
        <v>2815</v>
      </c>
      <c r="V11" s="3195" t="s">
        <v>2815</v>
      </c>
      <c r="W11" s="3195" t="s">
        <v>3103</v>
      </c>
      <c r="X11" s="3195" t="s">
        <v>3237</v>
      </c>
      <c r="Y11" s="3195" t="s">
        <v>3238</v>
      </c>
      <c r="Z11" s="3195" t="s">
        <v>3239</v>
      </c>
      <c r="AA11" s="3195" t="s">
        <v>3231</v>
      </c>
      <c r="AB11" s="3195" t="s">
        <v>3240</v>
      </c>
      <c r="AC11" s="3195" t="s">
        <v>3095</v>
      </c>
      <c r="AD11" s="3195" t="s">
        <v>3233</v>
      </c>
      <c r="AE11" s="3195">
        <v>16057</v>
      </c>
      <c r="AF11" s="3195">
        <v>26761</v>
      </c>
      <c r="AG11" s="3195">
        <v>26761</v>
      </c>
      <c r="AH11" s="3195">
        <v>204.99</v>
      </c>
      <c r="AI11" s="3195">
        <v>204.99</v>
      </c>
      <c r="AJ11" s="3195">
        <v>831.05</v>
      </c>
      <c r="AK11" s="3195">
        <v>831.05</v>
      </c>
      <c r="AL11" s="3195" t="s">
        <v>2815</v>
      </c>
      <c r="AM11" s="3195" t="s">
        <v>2815</v>
      </c>
      <c r="AN11" s="3195">
        <v>0</v>
      </c>
      <c r="AO11" s="3195" t="s">
        <v>3234</v>
      </c>
      <c r="AP11" s="3195" t="s">
        <v>2815</v>
      </c>
      <c r="AQ11" s="3195" t="s">
        <v>2815</v>
      </c>
      <c r="AR11" s="3195" t="s">
        <v>2815</v>
      </c>
      <c r="AS11" s="3195" t="s">
        <v>3057</v>
      </c>
    </row>
    <row r="12" spans="1:45">
      <c r="A12" s="3195" t="s">
        <v>3241</v>
      </c>
      <c r="B12" s="3195" t="s">
        <v>3171</v>
      </c>
      <c r="C12" s="3195" t="s">
        <v>3172</v>
      </c>
      <c r="D12" s="3195" t="s">
        <v>3173</v>
      </c>
      <c r="E12" s="3195" t="s">
        <v>2815</v>
      </c>
      <c r="F12" s="3195" t="s">
        <v>3241</v>
      </c>
      <c r="G12" s="3195" t="s">
        <v>3054</v>
      </c>
      <c r="H12" s="3195" t="s">
        <v>3242</v>
      </c>
      <c r="I12" s="3195" t="s">
        <v>3243</v>
      </c>
      <c r="J12" s="3195">
        <v>5867.3</v>
      </c>
      <c r="K12" s="3195">
        <v>11734.6</v>
      </c>
      <c r="L12" s="3195" t="s">
        <v>3244</v>
      </c>
      <c r="M12" s="3195" t="s">
        <v>2815</v>
      </c>
      <c r="N12" s="3195" t="s">
        <v>3097</v>
      </c>
      <c r="O12" s="3195" t="s">
        <v>3245</v>
      </c>
      <c r="P12" s="3195" t="s">
        <v>2815</v>
      </c>
      <c r="Q12" s="3195" t="s">
        <v>2815</v>
      </c>
      <c r="R12" s="3195" t="s">
        <v>2815</v>
      </c>
      <c r="S12" s="3195" t="s">
        <v>2815</v>
      </c>
      <c r="T12" s="3195" t="s">
        <v>2815</v>
      </c>
      <c r="U12" s="3195" t="s">
        <v>2815</v>
      </c>
      <c r="V12" s="3195" t="s">
        <v>2815</v>
      </c>
      <c r="W12" s="3195" t="s">
        <v>3103</v>
      </c>
      <c r="X12" s="3195" t="s">
        <v>3237</v>
      </c>
      <c r="Y12" s="3195" t="s">
        <v>3238</v>
      </c>
      <c r="Z12" s="3195" t="s">
        <v>3239</v>
      </c>
      <c r="AA12" s="3195" t="s">
        <v>3239</v>
      </c>
      <c r="AB12" s="3195" t="s">
        <v>3246</v>
      </c>
      <c r="AC12" s="3195" t="s">
        <v>3095</v>
      </c>
      <c r="AD12" s="3195" t="s">
        <v>3247</v>
      </c>
      <c r="AE12" s="3195">
        <v>2449.48</v>
      </c>
      <c r="AF12" s="3195">
        <v>3517.71</v>
      </c>
      <c r="AG12" s="3195">
        <v>3517.71</v>
      </c>
      <c r="AH12" s="3195">
        <v>399.7</v>
      </c>
      <c r="AI12" s="3195">
        <v>399.7</v>
      </c>
      <c r="AJ12" s="3195">
        <v>2997.73</v>
      </c>
      <c r="AK12" s="3195">
        <v>2997.73</v>
      </c>
      <c r="AL12" s="3195" t="s">
        <v>2815</v>
      </c>
      <c r="AM12" s="3195" t="s">
        <v>2815</v>
      </c>
      <c r="AN12" s="3195">
        <v>0</v>
      </c>
      <c r="AO12" s="3195" t="s">
        <v>3184</v>
      </c>
      <c r="AP12" s="3195" t="s">
        <v>2815</v>
      </c>
      <c r="AQ12" s="3195" t="s">
        <v>2815</v>
      </c>
      <c r="AR12" s="3195" t="s">
        <v>2815</v>
      </c>
      <c r="AS12" s="3195" t="s">
        <v>3057</v>
      </c>
    </row>
    <row r="13" spans="1:45">
      <c r="A13" s="3195" t="s">
        <v>3241</v>
      </c>
      <c r="B13" s="3195" t="s">
        <v>3171</v>
      </c>
      <c r="C13" s="3195" t="s">
        <v>3172</v>
      </c>
      <c r="D13" s="3195" t="s">
        <v>3173</v>
      </c>
      <c r="E13" s="3195" t="s">
        <v>2815</v>
      </c>
      <c r="F13" s="3195" t="s">
        <v>3241</v>
      </c>
      <c r="G13" s="3195" t="s">
        <v>3054</v>
      </c>
      <c r="H13" s="3195" t="s">
        <v>3248</v>
      </c>
      <c r="I13" s="3195" t="s">
        <v>3243</v>
      </c>
      <c r="J13" s="3195">
        <v>7884.68</v>
      </c>
      <c r="K13" s="3195">
        <v>15769.36</v>
      </c>
      <c r="L13" s="3195" t="s">
        <v>3244</v>
      </c>
      <c r="M13" s="3195" t="s">
        <v>2815</v>
      </c>
      <c r="N13" s="3195" t="s">
        <v>3097</v>
      </c>
      <c r="O13" s="3195" t="s">
        <v>3245</v>
      </c>
      <c r="P13" s="3195" t="s">
        <v>2815</v>
      </c>
      <c r="Q13" s="3195" t="s">
        <v>2815</v>
      </c>
      <c r="R13" s="3195" t="s">
        <v>2815</v>
      </c>
      <c r="S13" s="3195" t="s">
        <v>2815</v>
      </c>
      <c r="T13" s="3195" t="s">
        <v>2815</v>
      </c>
      <c r="U13" s="3195" t="s">
        <v>2815</v>
      </c>
      <c r="V13" s="3195" t="s">
        <v>2815</v>
      </c>
      <c r="W13" s="3195" t="s">
        <v>3103</v>
      </c>
      <c r="X13" s="3195" t="s">
        <v>3237</v>
      </c>
      <c r="Y13" s="3195" t="s">
        <v>3238</v>
      </c>
      <c r="Z13" s="3195" t="s">
        <v>3239</v>
      </c>
      <c r="AA13" s="3195" t="s">
        <v>3239</v>
      </c>
      <c r="AB13" s="3195" t="s">
        <v>3249</v>
      </c>
      <c r="AC13" s="3195" t="s">
        <v>3095</v>
      </c>
      <c r="AD13" s="3195" t="s">
        <v>3247</v>
      </c>
      <c r="AE13" s="3195">
        <v>3304</v>
      </c>
      <c r="AF13" s="3195">
        <v>4746.57</v>
      </c>
      <c r="AG13" s="3195">
        <v>4748.1400000000003</v>
      </c>
      <c r="AH13" s="3195">
        <v>401.33</v>
      </c>
      <c r="AI13" s="3195">
        <v>401.47</v>
      </c>
      <c r="AJ13" s="3195">
        <v>3010</v>
      </c>
      <c r="AK13" s="3195">
        <v>3011</v>
      </c>
      <c r="AL13" s="3195" t="s">
        <v>2815</v>
      </c>
      <c r="AM13" s="3195" t="s">
        <v>2815</v>
      </c>
      <c r="AN13" s="3195">
        <v>0.03</v>
      </c>
      <c r="AO13" s="3195" t="s">
        <v>3184</v>
      </c>
      <c r="AP13" s="3195" t="s">
        <v>2815</v>
      </c>
      <c r="AQ13" s="3195" t="s">
        <v>2815</v>
      </c>
      <c r="AR13" s="3195" t="s">
        <v>2815</v>
      </c>
      <c r="AS13" s="3195" t="s">
        <v>3057</v>
      </c>
    </row>
    <row r="14" spans="1:45">
      <c r="A14" s="3195" t="s">
        <v>3241</v>
      </c>
      <c r="B14" s="3195" t="s">
        <v>3171</v>
      </c>
      <c r="C14" s="3195" t="s">
        <v>3172</v>
      </c>
      <c r="D14" s="3195" t="s">
        <v>3173</v>
      </c>
      <c r="E14" s="3195" t="s">
        <v>2815</v>
      </c>
      <c r="F14" s="3195" t="s">
        <v>3241</v>
      </c>
      <c r="G14" s="3195" t="s">
        <v>3054</v>
      </c>
      <c r="H14" s="3195" t="s">
        <v>3250</v>
      </c>
      <c r="I14" s="3195" t="s">
        <v>3243</v>
      </c>
      <c r="J14" s="3195">
        <v>13868.6</v>
      </c>
      <c r="K14" s="3195">
        <v>27737.200000000001</v>
      </c>
      <c r="L14" s="3195" t="s">
        <v>3244</v>
      </c>
      <c r="M14" s="3195" t="s">
        <v>2815</v>
      </c>
      <c r="N14" s="3195" t="s">
        <v>3097</v>
      </c>
      <c r="O14" s="3195" t="s">
        <v>3245</v>
      </c>
      <c r="P14" s="3195" t="s">
        <v>2815</v>
      </c>
      <c r="Q14" s="3195" t="s">
        <v>2815</v>
      </c>
      <c r="R14" s="3195" t="s">
        <v>2815</v>
      </c>
      <c r="S14" s="3195" t="s">
        <v>2815</v>
      </c>
      <c r="T14" s="3195" t="s">
        <v>2815</v>
      </c>
      <c r="U14" s="3195" t="s">
        <v>2815</v>
      </c>
      <c r="V14" s="3195" t="s">
        <v>2815</v>
      </c>
      <c r="W14" s="3195" t="s">
        <v>3103</v>
      </c>
      <c r="X14" s="3195" t="s">
        <v>3237</v>
      </c>
      <c r="Y14" s="3195" t="s">
        <v>3238</v>
      </c>
      <c r="Z14" s="3195" t="s">
        <v>3239</v>
      </c>
      <c r="AA14" s="3195" t="s">
        <v>3239</v>
      </c>
      <c r="AB14" s="3195" t="s">
        <v>3251</v>
      </c>
      <c r="AC14" s="3195" t="s">
        <v>3095</v>
      </c>
      <c r="AD14" s="3195" t="s">
        <v>3247</v>
      </c>
      <c r="AE14" s="3195">
        <v>5838.13</v>
      </c>
      <c r="AF14" s="3195">
        <v>8335.77</v>
      </c>
      <c r="AG14" s="3195">
        <v>8335.77</v>
      </c>
      <c r="AH14" s="3195">
        <v>400.7</v>
      </c>
      <c r="AI14" s="3195">
        <v>400.7</v>
      </c>
      <c r="AJ14" s="3195">
        <v>3005.26</v>
      </c>
      <c r="AK14" s="3195">
        <v>3005.26</v>
      </c>
      <c r="AL14" s="3195" t="s">
        <v>2815</v>
      </c>
      <c r="AM14" s="3195" t="s">
        <v>2815</v>
      </c>
      <c r="AN14" s="3195">
        <v>0</v>
      </c>
      <c r="AO14" s="3195" t="s">
        <v>3184</v>
      </c>
      <c r="AP14" s="3195" t="s">
        <v>2815</v>
      </c>
      <c r="AQ14" s="3195" t="s">
        <v>2815</v>
      </c>
      <c r="AR14" s="3195" t="s">
        <v>2815</v>
      </c>
      <c r="AS14" s="3195" t="s">
        <v>3059</v>
      </c>
    </row>
    <row r="15" spans="1:45">
      <c r="A15" s="3195" t="s">
        <v>3241</v>
      </c>
      <c r="B15" s="3195" t="s">
        <v>3171</v>
      </c>
      <c r="C15" s="3195" t="s">
        <v>3172</v>
      </c>
      <c r="D15" s="3195" t="s">
        <v>3173</v>
      </c>
      <c r="E15" s="3195" t="s">
        <v>2815</v>
      </c>
      <c r="F15" s="3195" t="s">
        <v>3241</v>
      </c>
      <c r="G15" s="3195" t="s">
        <v>3054</v>
      </c>
      <c r="H15" s="3195" t="s">
        <v>3252</v>
      </c>
      <c r="I15" s="3195" t="s">
        <v>3243</v>
      </c>
      <c r="J15" s="3195">
        <v>9521.17</v>
      </c>
      <c r="K15" s="3195">
        <v>19042.34</v>
      </c>
      <c r="L15" s="3195" t="s">
        <v>3244</v>
      </c>
      <c r="M15" s="3195" t="s">
        <v>2815</v>
      </c>
      <c r="N15" s="3195" t="s">
        <v>3097</v>
      </c>
      <c r="O15" s="3195" t="s">
        <v>3245</v>
      </c>
      <c r="P15" s="3195" t="s">
        <v>2815</v>
      </c>
      <c r="Q15" s="3195" t="s">
        <v>2815</v>
      </c>
      <c r="R15" s="3195" t="s">
        <v>2815</v>
      </c>
      <c r="S15" s="3195" t="s">
        <v>2815</v>
      </c>
      <c r="T15" s="3195" t="s">
        <v>2815</v>
      </c>
      <c r="U15" s="3195" t="s">
        <v>2815</v>
      </c>
      <c r="V15" s="3195" t="s">
        <v>2815</v>
      </c>
      <c r="W15" s="3195" t="s">
        <v>3103</v>
      </c>
      <c r="X15" s="3195" t="s">
        <v>3237</v>
      </c>
      <c r="Y15" s="3195" t="s">
        <v>3238</v>
      </c>
      <c r="Z15" s="3195" t="s">
        <v>3239</v>
      </c>
      <c r="AA15" s="3195" t="s">
        <v>3239</v>
      </c>
      <c r="AB15" s="3195" t="s">
        <v>3253</v>
      </c>
      <c r="AC15" s="3195" t="s">
        <v>3095</v>
      </c>
      <c r="AD15" s="3195" t="s">
        <v>3247</v>
      </c>
      <c r="AE15" s="3195">
        <v>3989.75</v>
      </c>
      <c r="AF15" s="3195">
        <v>5731.73</v>
      </c>
      <c r="AG15" s="3195">
        <v>5733.64</v>
      </c>
      <c r="AH15" s="3195">
        <v>401.33</v>
      </c>
      <c r="AI15" s="3195">
        <v>401.47</v>
      </c>
      <c r="AJ15" s="3195">
        <v>3009.99</v>
      </c>
      <c r="AK15" s="3195">
        <v>3011</v>
      </c>
      <c r="AL15" s="3195" t="s">
        <v>2815</v>
      </c>
      <c r="AM15" s="3195" t="s">
        <v>2815</v>
      </c>
      <c r="AN15" s="3195">
        <v>0.03</v>
      </c>
      <c r="AO15" s="3195" t="s">
        <v>3184</v>
      </c>
      <c r="AP15" s="3195" t="s">
        <v>2815</v>
      </c>
      <c r="AQ15" s="3195" t="s">
        <v>2815</v>
      </c>
      <c r="AR15" s="3195" t="s">
        <v>2815</v>
      </c>
      <c r="AS15" s="3195" t="s">
        <v>3058</v>
      </c>
    </row>
    <row r="16" spans="1:45">
      <c r="A16" s="3195" t="s">
        <v>3205</v>
      </c>
      <c r="B16" s="3195" t="s">
        <v>3171</v>
      </c>
      <c r="C16" s="3195" t="s">
        <v>3172</v>
      </c>
      <c r="D16" s="3195" t="s">
        <v>3173</v>
      </c>
      <c r="E16" s="3195" t="s">
        <v>2815</v>
      </c>
      <c r="F16" s="3195" t="s">
        <v>3205</v>
      </c>
      <c r="G16" s="3195" t="s">
        <v>3054</v>
      </c>
      <c r="H16" s="3195" t="s">
        <v>3254</v>
      </c>
      <c r="I16" s="3195" t="s">
        <v>3243</v>
      </c>
      <c r="J16" s="3195">
        <v>25321</v>
      </c>
      <c r="K16" s="3195">
        <v>75963</v>
      </c>
      <c r="L16" s="3195" t="s">
        <v>3255</v>
      </c>
      <c r="M16" s="3195" t="s">
        <v>2815</v>
      </c>
      <c r="N16" s="3195" t="s">
        <v>3256</v>
      </c>
      <c r="O16" s="3195" t="s">
        <v>3257</v>
      </c>
      <c r="P16" s="3195" t="s">
        <v>2815</v>
      </c>
      <c r="Q16" s="3195" t="s">
        <v>2815</v>
      </c>
      <c r="R16" s="3195" t="s">
        <v>2815</v>
      </c>
      <c r="S16" s="3195" t="s">
        <v>2815</v>
      </c>
      <c r="T16" s="3195" t="s">
        <v>2815</v>
      </c>
      <c r="U16" s="3195" t="s">
        <v>2815</v>
      </c>
      <c r="V16" s="3195" t="s">
        <v>2815</v>
      </c>
      <c r="W16" s="3195" t="s">
        <v>3103</v>
      </c>
      <c r="X16" s="3195" t="s">
        <v>3258</v>
      </c>
      <c r="Y16" s="3195" t="s">
        <v>3259</v>
      </c>
      <c r="Z16" s="3195" t="s">
        <v>3100</v>
      </c>
      <c r="AA16" s="3195" t="s">
        <v>3100</v>
      </c>
      <c r="AB16" s="3195" t="s">
        <v>3260</v>
      </c>
      <c r="AC16" s="3195" t="s">
        <v>3095</v>
      </c>
      <c r="AD16" s="3195" t="s">
        <v>3261</v>
      </c>
      <c r="AE16" s="3195">
        <v>11352</v>
      </c>
      <c r="AF16" s="3195">
        <v>18290</v>
      </c>
      <c r="AG16" s="3195">
        <v>18295</v>
      </c>
      <c r="AH16" s="3195">
        <v>481.55</v>
      </c>
      <c r="AI16" s="3195">
        <v>481.68</v>
      </c>
      <c r="AJ16" s="3195">
        <v>2407.75</v>
      </c>
      <c r="AK16" s="3195">
        <v>2408.4</v>
      </c>
      <c r="AL16" s="3195" t="s">
        <v>2815</v>
      </c>
      <c r="AM16" s="3195" t="s">
        <v>2815</v>
      </c>
      <c r="AN16" s="3195">
        <v>0.03</v>
      </c>
      <c r="AO16" s="3195" t="s">
        <v>3184</v>
      </c>
      <c r="AP16" s="3195" t="s">
        <v>2815</v>
      </c>
      <c r="AQ16" s="3195" t="s">
        <v>2815</v>
      </c>
      <c r="AR16" s="3195" t="s">
        <v>2815</v>
      </c>
      <c r="AS16" s="3195" t="s">
        <v>3057</v>
      </c>
    </row>
    <row r="17" spans="1:45">
      <c r="A17" s="3195" t="s">
        <v>3205</v>
      </c>
      <c r="B17" s="3195" t="s">
        <v>3171</v>
      </c>
      <c r="C17" s="3195" t="s">
        <v>3172</v>
      </c>
      <c r="D17" s="3195" t="s">
        <v>3173</v>
      </c>
      <c r="E17" s="3195" t="s">
        <v>2815</v>
      </c>
      <c r="F17" s="3195" t="s">
        <v>3205</v>
      </c>
      <c r="G17" s="3195" t="s">
        <v>3054</v>
      </c>
      <c r="H17" s="3195" t="s">
        <v>3262</v>
      </c>
      <c r="I17" s="3195" t="s">
        <v>3243</v>
      </c>
      <c r="J17" s="3195">
        <v>19237</v>
      </c>
      <c r="K17" s="3195">
        <v>67329.5</v>
      </c>
      <c r="L17" s="3195" t="s">
        <v>3263</v>
      </c>
      <c r="M17" s="3195" t="s">
        <v>2815</v>
      </c>
      <c r="N17" s="3195" t="s">
        <v>3256</v>
      </c>
      <c r="O17" s="3195" t="s">
        <v>3257</v>
      </c>
      <c r="P17" s="3195" t="s">
        <v>2815</v>
      </c>
      <c r="Q17" s="3195" t="s">
        <v>2815</v>
      </c>
      <c r="R17" s="3195" t="s">
        <v>2815</v>
      </c>
      <c r="S17" s="3195" t="s">
        <v>2815</v>
      </c>
      <c r="T17" s="3195" t="s">
        <v>2815</v>
      </c>
      <c r="U17" s="3195" t="s">
        <v>2815</v>
      </c>
      <c r="V17" s="3195" t="s">
        <v>2815</v>
      </c>
      <c r="W17" s="3195" t="s">
        <v>3103</v>
      </c>
      <c r="X17" s="3195" t="s">
        <v>3258</v>
      </c>
      <c r="Y17" s="3195" t="s">
        <v>3259</v>
      </c>
      <c r="Z17" s="3195" t="s">
        <v>3100</v>
      </c>
      <c r="AA17" s="3195" t="s">
        <v>3100</v>
      </c>
      <c r="AB17" s="3195" t="s">
        <v>3264</v>
      </c>
      <c r="AC17" s="3195" t="s">
        <v>3095</v>
      </c>
      <c r="AD17" s="3195" t="s">
        <v>3261</v>
      </c>
      <c r="AE17" s="3195">
        <v>8338</v>
      </c>
      <c r="AF17" s="3195">
        <v>13896</v>
      </c>
      <c r="AG17" s="3195">
        <v>13901</v>
      </c>
      <c r="AH17" s="3195">
        <v>481.57</v>
      </c>
      <c r="AI17" s="3195">
        <v>481.75</v>
      </c>
      <c r="AJ17" s="3195">
        <v>2063.88</v>
      </c>
      <c r="AK17" s="3195">
        <v>2064.61</v>
      </c>
      <c r="AL17" s="3195" t="s">
        <v>2815</v>
      </c>
      <c r="AM17" s="3195" t="s">
        <v>2815</v>
      </c>
      <c r="AN17" s="3195">
        <v>0.04</v>
      </c>
      <c r="AO17" s="3195" t="s">
        <v>3184</v>
      </c>
      <c r="AP17" s="3195" t="s">
        <v>2815</v>
      </c>
      <c r="AQ17" s="3195" t="s">
        <v>2815</v>
      </c>
      <c r="AR17" s="3195" t="s">
        <v>2815</v>
      </c>
      <c r="AS17" s="3195" t="s">
        <v>3057</v>
      </c>
    </row>
    <row r="18" spans="1:45">
      <c r="A18" s="3195" t="s">
        <v>3205</v>
      </c>
      <c r="B18" s="3195" t="s">
        <v>3171</v>
      </c>
      <c r="C18" s="3195" t="s">
        <v>3053</v>
      </c>
      <c r="D18" s="3195" t="s">
        <v>3173</v>
      </c>
      <c r="E18" s="3195" t="s">
        <v>2815</v>
      </c>
      <c r="F18" s="3195" t="s">
        <v>3205</v>
      </c>
      <c r="G18" s="3195" t="s">
        <v>3054</v>
      </c>
      <c r="H18" s="3195" t="s">
        <v>3265</v>
      </c>
      <c r="I18" s="3195" t="s">
        <v>3266</v>
      </c>
      <c r="J18" s="3195">
        <v>24721</v>
      </c>
      <c r="K18" s="3195">
        <v>123605</v>
      </c>
      <c r="L18" s="3195" t="s">
        <v>3267</v>
      </c>
      <c r="M18" s="3195" t="s">
        <v>2815</v>
      </c>
      <c r="N18" s="3195" t="s">
        <v>3268</v>
      </c>
      <c r="O18" s="3195" t="s">
        <v>3269</v>
      </c>
      <c r="P18" s="3195" t="s">
        <v>2815</v>
      </c>
      <c r="Q18" s="3195" t="s">
        <v>2815</v>
      </c>
      <c r="R18" s="3195" t="s">
        <v>2815</v>
      </c>
      <c r="S18" s="3195" t="s">
        <v>2815</v>
      </c>
      <c r="T18" s="3195" t="s">
        <v>2815</v>
      </c>
      <c r="U18" s="3195" t="s">
        <v>2815</v>
      </c>
      <c r="V18" s="3195" t="s">
        <v>2815</v>
      </c>
      <c r="W18" s="3195" t="s">
        <v>3103</v>
      </c>
      <c r="X18" s="3195" t="s">
        <v>3258</v>
      </c>
      <c r="Y18" s="3195" t="s">
        <v>3259</v>
      </c>
      <c r="Z18" s="3195" t="s">
        <v>3100</v>
      </c>
      <c r="AA18" s="3195" t="s">
        <v>3100</v>
      </c>
      <c r="AB18" s="3195" t="s">
        <v>3270</v>
      </c>
      <c r="AC18" s="3195" t="s">
        <v>3095</v>
      </c>
      <c r="AD18" s="3195" t="s">
        <v>3261</v>
      </c>
      <c r="AE18" s="3195">
        <v>4005</v>
      </c>
      <c r="AF18" s="3195">
        <v>6675</v>
      </c>
      <c r="AG18" s="3195">
        <v>6675</v>
      </c>
      <c r="AH18" s="3195">
        <v>180.01</v>
      </c>
      <c r="AI18" s="3195">
        <v>180.01</v>
      </c>
      <c r="AJ18" s="3195">
        <v>540.02</v>
      </c>
      <c r="AK18" s="3195">
        <v>540.02</v>
      </c>
      <c r="AL18" s="3195" t="s">
        <v>2815</v>
      </c>
      <c r="AM18" s="3195" t="s">
        <v>2815</v>
      </c>
      <c r="AN18" s="3195">
        <v>0</v>
      </c>
      <c r="AO18" s="3195" t="s">
        <v>3096</v>
      </c>
      <c r="AP18" s="3195" t="s">
        <v>2815</v>
      </c>
      <c r="AQ18" s="3195" t="s">
        <v>2815</v>
      </c>
      <c r="AR18" s="3195" t="s">
        <v>2815</v>
      </c>
      <c r="AS18" s="3195" t="s">
        <v>3057</v>
      </c>
    </row>
    <row r="19" spans="1:45" s="3197" customFormat="1">
      <c r="A19" s="3196" t="s">
        <v>3205</v>
      </c>
      <c r="B19" s="3196" t="s">
        <v>3171</v>
      </c>
      <c r="C19" s="3196" t="s">
        <v>3053</v>
      </c>
      <c r="D19" s="3196" t="s">
        <v>3173</v>
      </c>
      <c r="E19" s="3196" t="s">
        <v>2815</v>
      </c>
      <c r="F19" s="3196" t="s">
        <v>3205</v>
      </c>
      <c r="G19" s="3196" t="s">
        <v>3054</v>
      </c>
      <c r="H19" s="3196" t="s">
        <v>3271</v>
      </c>
      <c r="I19" s="3196" t="s">
        <v>3266</v>
      </c>
      <c r="J19" s="3196">
        <v>38850</v>
      </c>
      <c r="K19" s="3196">
        <v>93240</v>
      </c>
      <c r="L19" s="3196" t="s">
        <v>3272</v>
      </c>
      <c r="M19" s="3196" t="s">
        <v>2815</v>
      </c>
      <c r="N19" s="3196" t="s">
        <v>3268</v>
      </c>
      <c r="O19" s="3196" t="s">
        <v>3273</v>
      </c>
      <c r="P19" s="3196" t="s">
        <v>2815</v>
      </c>
      <c r="Q19" s="3196" t="s">
        <v>2815</v>
      </c>
      <c r="R19" s="3196" t="s">
        <v>2815</v>
      </c>
      <c r="S19" s="3196" t="s">
        <v>2815</v>
      </c>
      <c r="T19" s="3196" t="s">
        <v>2815</v>
      </c>
      <c r="U19" s="3196" t="s">
        <v>2815</v>
      </c>
      <c r="V19" s="3196" t="s">
        <v>2815</v>
      </c>
      <c r="W19" s="3196" t="s">
        <v>3103</v>
      </c>
      <c r="X19" s="3196" t="s">
        <v>3258</v>
      </c>
      <c r="Y19" s="3196" t="s">
        <v>3259</v>
      </c>
      <c r="Z19" s="3196" t="s">
        <v>3100</v>
      </c>
      <c r="AA19" s="3196" t="s">
        <v>3100</v>
      </c>
      <c r="AB19" s="3196" t="s">
        <v>3274</v>
      </c>
      <c r="AC19" s="3196" t="s">
        <v>3095</v>
      </c>
      <c r="AD19" s="3196" t="s">
        <v>3261</v>
      </c>
      <c r="AE19" s="3196">
        <v>6294</v>
      </c>
      <c r="AF19" s="3196">
        <v>10489</v>
      </c>
      <c r="AG19" s="3196">
        <v>10489</v>
      </c>
      <c r="AH19" s="3196">
        <v>179.99</v>
      </c>
      <c r="AI19" s="3196">
        <v>179.99</v>
      </c>
      <c r="AJ19" s="3196">
        <v>1124.94</v>
      </c>
      <c r="AK19" s="3196">
        <v>1124.95</v>
      </c>
      <c r="AL19" s="3196" t="s">
        <v>2815</v>
      </c>
      <c r="AM19" s="3196" t="s">
        <v>2815</v>
      </c>
      <c r="AN19" s="3196">
        <v>0</v>
      </c>
      <c r="AO19" s="3196" t="s">
        <v>3096</v>
      </c>
      <c r="AP19" s="3196" t="s">
        <v>2815</v>
      </c>
      <c r="AQ19" s="3196" t="s">
        <v>2815</v>
      </c>
      <c r="AR19" s="3196" t="s">
        <v>2815</v>
      </c>
      <c r="AS19" s="3196" t="s">
        <v>3057</v>
      </c>
    </row>
    <row r="20" spans="1:45">
      <c r="A20" s="3195" t="s">
        <v>3205</v>
      </c>
      <c r="B20" s="3195" t="s">
        <v>3171</v>
      </c>
      <c r="C20" s="3195" t="s">
        <v>3053</v>
      </c>
      <c r="D20" s="3195" t="s">
        <v>3173</v>
      </c>
      <c r="E20" s="3195" t="s">
        <v>2815</v>
      </c>
      <c r="F20" s="3195" t="s">
        <v>3205</v>
      </c>
      <c r="G20" s="3195" t="s">
        <v>3054</v>
      </c>
      <c r="H20" s="3195" t="s">
        <v>3275</v>
      </c>
      <c r="I20" s="3195" t="s">
        <v>3266</v>
      </c>
      <c r="J20" s="3195">
        <v>25459</v>
      </c>
      <c r="K20" s="3195">
        <v>127295</v>
      </c>
      <c r="L20" s="3195" t="s">
        <v>3267</v>
      </c>
      <c r="M20" s="3195" t="s">
        <v>2815</v>
      </c>
      <c r="N20" s="3195" t="s">
        <v>3268</v>
      </c>
      <c r="O20" s="3195" t="s">
        <v>3269</v>
      </c>
      <c r="P20" s="3195" t="s">
        <v>2815</v>
      </c>
      <c r="Q20" s="3195" t="s">
        <v>2815</v>
      </c>
      <c r="R20" s="3195" t="s">
        <v>2815</v>
      </c>
      <c r="S20" s="3195" t="s">
        <v>2815</v>
      </c>
      <c r="T20" s="3195" t="s">
        <v>2815</v>
      </c>
      <c r="U20" s="3195" t="s">
        <v>2815</v>
      </c>
      <c r="V20" s="3195" t="s">
        <v>2815</v>
      </c>
      <c r="W20" s="3195" t="s">
        <v>3103</v>
      </c>
      <c r="X20" s="3195" t="s">
        <v>3258</v>
      </c>
      <c r="Y20" s="3195" t="s">
        <v>3259</v>
      </c>
      <c r="Z20" s="3195" t="s">
        <v>3100</v>
      </c>
      <c r="AA20" s="3195" t="s">
        <v>3100</v>
      </c>
      <c r="AB20" s="3195" t="s">
        <v>3276</v>
      </c>
      <c r="AC20" s="3195" t="s">
        <v>3095</v>
      </c>
      <c r="AD20" s="3195" t="s">
        <v>3261</v>
      </c>
      <c r="AE20" s="3195">
        <v>4125</v>
      </c>
      <c r="AF20" s="3195">
        <v>6875</v>
      </c>
      <c r="AG20" s="3195">
        <v>6875</v>
      </c>
      <c r="AH20" s="3195">
        <v>180.03</v>
      </c>
      <c r="AI20" s="3195">
        <v>180.03</v>
      </c>
      <c r="AJ20" s="3195">
        <v>540.08000000000004</v>
      </c>
      <c r="AK20" s="3195">
        <v>540.08000000000004</v>
      </c>
      <c r="AL20" s="3195" t="s">
        <v>2815</v>
      </c>
      <c r="AM20" s="3195" t="s">
        <v>2815</v>
      </c>
      <c r="AN20" s="3195">
        <v>0</v>
      </c>
      <c r="AO20" s="3195" t="s">
        <v>3096</v>
      </c>
      <c r="AP20" s="3195" t="s">
        <v>2815</v>
      </c>
      <c r="AQ20" s="3195" t="s">
        <v>2815</v>
      </c>
      <c r="AR20" s="3195" t="s">
        <v>2815</v>
      </c>
      <c r="AS20" s="3195" t="s">
        <v>3057</v>
      </c>
    </row>
    <row r="21" spans="1:45" s="3197" customFormat="1">
      <c r="A21" s="3196" t="s">
        <v>3205</v>
      </c>
      <c r="B21" s="3196" t="s">
        <v>3171</v>
      </c>
      <c r="C21" s="3196" t="s">
        <v>3053</v>
      </c>
      <c r="D21" s="3196" t="s">
        <v>3173</v>
      </c>
      <c r="E21" s="3196" t="s">
        <v>2815</v>
      </c>
      <c r="F21" s="3196" t="s">
        <v>3205</v>
      </c>
      <c r="G21" s="3196" t="s">
        <v>3054</v>
      </c>
      <c r="H21" s="3196" t="s">
        <v>3277</v>
      </c>
      <c r="I21" s="3196" t="s">
        <v>3266</v>
      </c>
      <c r="J21" s="3196">
        <v>26421</v>
      </c>
      <c r="K21" s="3196">
        <v>60768.3</v>
      </c>
      <c r="L21" s="3196" t="s">
        <v>3278</v>
      </c>
      <c r="M21" s="3196" t="s">
        <v>2815</v>
      </c>
      <c r="N21" s="3196" t="s">
        <v>3268</v>
      </c>
      <c r="O21" s="3196" t="s">
        <v>3273</v>
      </c>
      <c r="P21" s="3196" t="s">
        <v>2815</v>
      </c>
      <c r="Q21" s="3196" t="s">
        <v>2815</v>
      </c>
      <c r="R21" s="3196" t="s">
        <v>2815</v>
      </c>
      <c r="S21" s="3196" t="s">
        <v>2815</v>
      </c>
      <c r="T21" s="3196" t="s">
        <v>2815</v>
      </c>
      <c r="U21" s="3196" t="s">
        <v>2815</v>
      </c>
      <c r="V21" s="3196" t="s">
        <v>2815</v>
      </c>
      <c r="W21" s="3196" t="s">
        <v>3103</v>
      </c>
      <c r="X21" s="3196" t="s">
        <v>3258</v>
      </c>
      <c r="Y21" s="3196" t="s">
        <v>3259</v>
      </c>
      <c r="Z21" s="3196" t="s">
        <v>3100</v>
      </c>
      <c r="AA21" s="3196" t="s">
        <v>3100</v>
      </c>
      <c r="AB21" s="3196" t="s">
        <v>3279</v>
      </c>
      <c r="AC21" s="3196" t="s">
        <v>3095</v>
      </c>
      <c r="AD21" s="3196" t="s">
        <v>3261</v>
      </c>
      <c r="AE21" s="3196">
        <v>4281</v>
      </c>
      <c r="AF21" s="3196">
        <v>7134</v>
      </c>
      <c r="AG21" s="3196">
        <v>7134</v>
      </c>
      <c r="AH21" s="3196">
        <v>180.01</v>
      </c>
      <c r="AI21" s="3196">
        <v>180.01</v>
      </c>
      <c r="AJ21" s="3196">
        <v>1173.96</v>
      </c>
      <c r="AK21" s="3196">
        <v>1173.97</v>
      </c>
      <c r="AL21" s="3196" t="s">
        <v>2815</v>
      </c>
      <c r="AM21" s="3196" t="s">
        <v>2815</v>
      </c>
      <c r="AN21" s="3196">
        <v>0</v>
      </c>
      <c r="AO21" s="3196" t="s">
        <v>3096</v>
      </c>
      <c r="AP21" s="3196" t="s">
        <v>2815</v>
      </c>
      <c r="AQ21" s="3196" t="s">
        <v>2815</v>
      </c>
      <c r="AR21" s="3196" t="s">
        <v>2815</v>
      </c>
      <c r="AS21" s="3196" t="s">
        <v>3057</v>
      </c>
    </row>
    <row r="22" spans="1:45">
      <c r="A22" s="3195" t="s">
        <v>3280</v>
      </c>
      <c r="B22" s="3195" t="s">
        <v>3171</v>
      </c>
      <c r="C22" s="3195" t="s">
        <v>3053</v>
      </c>
      <c r="D22" s="3195" t="s">
        <v>3173</v>
      </c>
      <c r="E22" s="3195" t="s">
        <v>2815</v>
      </c>
      <c r="F22" s="3195" t="s">
        <v>3280</v>
      </c>
      <c r="G22" s="3195" t="s">
        <v>3054</v>
      </c>
      <c r="H22" s="3195" t="s">
        <v>3254</v>
      </c>
      <c r="I22" s="3195" t="s">
        <v>3281</v>
      </c>
      <c r="J22" s="3195">
        <v>31175.3</v>
      </c>
      <c r="K22" s="3195">
        <v>77938.25</v>
      </c>
      <c r="L22" s="3195" t="s">
        <v>3056</v>
      </c>
      <c r="M22" s="3195" t="s">
        <v>2815</v>
      </c>
      <c r="N22" s="3195" t="s">
        <v>3099</v>
      </c>
      <c r="O22" s="3195" t="s">
        <v>3104</v>
      </c>
      <c r="P22" s="3195" t="s">
        <v>2815</v>
      </c>
      <c r="Q22" s="3195" t="s">
        <v>2815</v>
      </c>
      <c r="R22" s="3195" t="s">
        <v>2815</v>
      </c>
      <c r="S22" s="3195" t="s">
        <v>2815</v>
      </c>
      <c r="T22" s="3195" t="s">
        <v>2815</v>
      </c>
      <c r="U22" s="3195" t="s">
        <v>2815</v>
      </c>
      <c r="V22" s="3195" t="s">
        <v>2815</v>
      </c>
      <c r="W22" s="3195" t="s">
        <v>3103</v>
      </c>
      <c r="X22" s="3195" t="s">
        <v>3282</v>
      </c>
      <c r="Y22" s="3195" t="s">
        <v>3283</v>
      </c>
      <c r="Z22" s="3195" t="s">
        <v>3284</v>
      </c>
      <c r="AA22" s="3195" t="s">
        <v>3284</v>
      </c>
      <c r="AB22" s="3195" t="s">
        <v>3285</v>
      </c>
      <c r="AC22" s="3195" t="s">
        <v>3095</v>
      </c>
      <c r="AD22" s="3195" t="s">
        <v>3286</v>
      </c>
      <c r="AE22" s="3195">
        <v>8868</v>
      </c>
      <c r="AF22" s="3195">
        <v>14779</v>
      </c>
      <c r="AG22" s="3195">
        <v>14784</v>
      </c>
      <c r="AH22" s="3195">
        <v>316.04000000000002</v>
      </c>
      <c r="AI22" s="3195">
        <v>316.14999999999998</v>
      </c>
      <c r="AJ22" s="3195">
        <v>1896.24</v>
      </c>
      <c r="AK22" s="3195">
        <v>1896.89</v>
      </c>
      <c r="AL22" s="3195" t="s">
        <v>2815</v>
      </c>
      <c r="AM22" s="3195" t="s">
        <v>2815</v>
      </c>
      <c r="AN22" s="3195">
        <v>0.03</v>
      </c>
      <c r="AO22" s="3195" t="s">
        <v>3096</v>
      </c>
      <c r="AP22" s="3195" t="s">
        <v>2815</v>
      </c>
      <c r="AQ22" s="3195" t="s">
        <v>2815</v>
      </c>
      <c r="AR22" s="3195" t="s">
        <v>2815</v>
      </c>
      <c r="AS22" s="3195" t="s">
        <v>3057</v>
      </c>
    </row>
    <row r="23" spans="1:45">
      <c r="A23" s="3195" t="s">
        <v>3280</v>
      </c>
      <c r="B23" s="3195" t="s">
        <v>3171</v>
      </c>
      <c r="C23" s="3195" t="s">
        <v>3053</v>
      </c>
      <c r="D23" s="3195" t="s">
        <v>3173</v>
      </c>
      <c r="E23" s="3195" t="s">
        <v>2815</v>
      </c>
      <c r="F23" s="3195" t="s">
        <v>3280</v>
      </c>
      <c r="G23" s="3195" t="s">
        <v>3054</v>
      </c>
      <c r="H23" s="3195" t="s">
        <v>3262</v>
      </c>
      <c r="I23" s="3195" t="s">
        <v>3266</v>
      </c>
      <c r="J23" s="3195">
        <v>28632</v>
      </c>
      <c r="K23" s="3195">
        <v>80169.600000000006</v>
      </c>
      <c r="L23" s="3195" t="s">
        <v>3287</v>
      </c>
      <c r="M23" s="3195" t="s">
        <v>2815</v>
      </c>
      <c r="N23" s="3195" t="s">
        <v>3102</v>
      </c>
      <c r="O23" s="3195" t="s">
        <v>3288</v>
      </c>
      <c r="P23" s="3195" t="s">
        <v>2815</v>
      </c>
      <c r="Q23" s="3195" t="s">
        <v>2815</v>
      </c>
      <c r="R23" s="3195" t="s">
        <v>2815</v>
      </c>
      <c r="S23" s="3195" t="s">
        <v>2815</v>
      </c>
      <c r="T23" s="3195" t="s">
        <v>2815</v>
      </c>
      <c r="U23" s="3195" t="s">
        <v>2815</v>
      </c>
      <c r="V23" s="3195" t="s">
        <v>2815</v>
      </c>
      <c r="W23" s="3195" t="s">
        <v>3103</v>
      </c>
      <c r="X23" s="3195" t="s">
        <v>3282</v>
      </c>
      <c r="Y23" s="3195" t="s">
        <v>3283</v>
      </c>
      <c r="Z23" s="3195" t="s">
        <v>3284</v>
      </c>
      <c r="AA23" s="3195" t="s">
        <v>3284</v>
      </c>
      <c r="AB23" s="3195" t="s">
        <v>3289</v>
      </c>
      <c r="AC23" s="3195" t="s">
        <v>3095</v>
      </c>
      <c r="AD23" s="3195" t="s">
        <v>3286</v>
      </c>
      <c r="AE23" s="3195">
        <v>8948</v>
      </c>
      <c r="AF23" s="3195">
        <v>14913</v>
      </c>
      <c r="AG23" s="3195">
        <v>19825</v>
      </c>
      <c r="AH23" s="3195">
        <v>347.23</v>
      </c>
      <c r="AI23" s="3195">
        <v>461.6</v>
      </c>
      <c r="AJ23" s="3195">
        <v>1860.18</v>
      </c>
      <c r="AK23" s="3195">
        <v>2472.88</v>
      </c>
      <c r="AL23" s="3195" t="s">
        <v>2815</v>
      </c>
      <c r="AM23" s="3195" t="s">
        <v>2815</v>
      </c>
      <c r="AN23" s="3195">
        <v>32.94</v>
      </c>
      <c r="AO23" s="3195" t="s">
        <v>3096</v>
      </c>
      <c r="AP23" s="3195" t="s">
        <v>2815</v>
      </c>
      <c r="AQ23" s="3195" t="s">
        <v>2815</v>
      </c>
      <c r="AR23" s="3195" t="s">
        <v>2815</v>
      </c>
      <c r="AS23" s="3195" t="s">
        <v>3057</v>
      </c>
    </row>
    <row r="24" spans="1:45">
      <c r="A24" s="3195" t="s">
        <v>3280</v>
      </c>
      <c r="B24" s="3195" t="s">
        <v>3171</v>
      </c>
      <c r="C24" s="3195" t="s">
        <v>3053</v>
      </c>
      <c r="D24" s="3195" t="s">
        <v>3173</v>
      </c>
      <c r="E24" s="3195" t="s">
        <v>2815</v>
      </c>
      <c r="F24" s="3195" t="s">
        <v>3280</v>
      </c>
      <c r="G24" s="3195" t="s">
        <v>3054</v>
      </c>
      <c r="H24" s="3195" t="s">
        <v>3265</v>
      </c>
      <c r="I24" s="3195" t="s">
        <v>3281</v>
      </c>
      <c r="J24" s="3195">
        <v>88566</v>
      </c>
      <c r="K24" s="3195">
        <v>200159.2</v>
      </c>
      <c r="L24" s="3195" t="s">
        <v>3290</v>
      </c>
      <c r="M24" s="3195" t="s">
        <v>2815</v>
      </c>
      <c r="N24" s="3195" t="s">
        <v>3291</v>
      </c>
      <c r="O24" s="3195" t="s">
        <v>3104</v>
      </c>
      <c r="P24" s="3195" t="s">
        <v>2815</v>
      </c>
      <c r="Q24" s="3195" t="s">
        <v>2815</v>
      </c>
      <c r="R24" s="3195" t="s">
        <v>2815</v>
      </c>
      <c r="S24" s="3195" t="s">
        <v>2815</v>
      </c>
      <c r="T24" s="3195" t="s">
        <v>2815</v>
      </c>
      <c r="U24" s="3195" t="s">
        <v>2815</v>
      </c>
      <c r="V24" s="3195" t="s">
        <v>2815</v>
      </c>
      <c r="W24" s="3195" t="s">
        <v>3103</v>
      </c>
      <c r="X24" s="3195" t="s">
        <v>3282</v>
      </c>
      <c r="Y24" s="3195" t="s">
        <v>3283</v>
      </c>
      <c r="Z24" s="3195" t="s">
        <v>3284</v>
      </c>
      <c r="AA24" s="3195" t="s">
        <v>3284</v>
      </c>
      <c r="AB24" s="3195" t="s">
        <v>3292</v>
      </c>
      <c r="AC24" s="3195" t="s">
        <v>3095</v>
      </c>
      <c r="AD24" s="3195" t="s">
        <v>3286</v>
      </c>
      <c r="AE24" s="3195">
        <v>24719</v>
      </c>
      <c r="AF24" s="3195">
        <v>41198</v>
      </c>
      <c r="AG24" s="3195">
        <v>41203</v>
      </c>
      <c r="AH24" s="3195">
        <v>310.11</v>
      </c>
      <c r="AI24" s="3195">
        <v>310.14999999999998</v>
      </c>
      <c r="AJ24" s="3195">
        <v>2058.2600000000002</v>
      </c>
      <c r="AK24" s="3195">
        <v>2058.5100000000002</v>
      </c>
      <c r="AL24" s="3195" t="s">
        <v>2815</v>
      </c>
      <c r="AM24" s="3195" t="s">
        <v>2815</v>
      </c>
      <c r="AN24" s="3195">
        <v>0.01</v>
      </c>
      <c r="AO24" s="3195" t="s">
        <v>3096</v>
      </c>
      <c r="AP24" s="3195" t="s">
        <v>2815</v>
      </c>
      <c r="AQ24" s="3195" t="s">
        <v>2815</v>
      </c>
      <c r="AR24" s="3195" t="s">
        <v>2815</v>
      </c>
      <c r="AS24" s="3195" t="s">
        <v>3057</v>
      </c>
    </row>
    <row r="25" spans="1:45">
      <c r="A25" s="3195" t="s">
        <v>3280</v>
      </c>
      <c r="B25" s="3195" t="s">
        <v>3171</v>
      </c>
      <c r="C25" s="3195" t="s">
        <v>3053</v>
      </c>
      <c r="D25" s="3195" t="s">
        <v>3173</v>
      </c>
      <c r="E25" s="3195" t="s">
        <v>2815</v>
      </c>
      <c r="F25" s="3195" t="s">
        <v>3280</v>
      </c>
      <c r="G25" s="3195" t="s">
        <v>3054</v>
      </c>
      <c r="H25" s="3195" t="s">
        <v>3271</v>
      </c>
      <c r="I25" s="3195" t="s">
        <v>3281</v>
      </c>
      <c r="J25" s="3195">
        <v>137323.5</v>
      </c>
      <c r="K25" s="3195">
        <v>233450</v>
      </c>
      <c r="L25" s="3195" t="s">
        <v>3060</v>
      </c>
      <c r="M25" s="3195" t="s">
        <v>2815</v>
      </c>
      <c r="N25" s="3195" t="s">
        <v>3291</v>
      </c>
      <c r="O25" s="3195" t="s">
        <v>3293</v>
      </c>
      <c r="P25" s="3195" t="s">
        <v>2815</v>
      </c>
      <c r="Q25" s="3195" t="s">
        <v>2815</v>
      </c>
      <c r="R25" s="3195" t="s">
        <v>2815</v>
      </c>
      <c r="S25" s="3195" t="s">
        <v>2815</v>
      </c>
      <c r="T25" s="3195" t="s">
        <v>2815</v>
      </c>
      <c r="U25" s="3195" t="s">
        <v>2815</v>
      </c>
      <c r="V25" s="3195" t="s">
        <v>2815</v>
      </c>
      <c r="W25" s="3195" t="s">
        <v>3103</v>
      </c>
      <c r="X25" s="3195" t="s">
        <v>3282</v>
      </c>
      <c r="Y25" s="3195" t="s">
        <v>3283</v>
      </c>
      <c r="Z25" s="3195" t="s">
        <v>3284</v>
      </c>
      <c r="AA25" s="3195" t="s">
        <v>3284</v>
      </c>
      <c r="AB25" s="3195" t="s">
        <v>3294</v>
      </c>
      <c r="AC25" s="3195" t="s">
        <v>3095</v>
      </c>
      <c r="AD25" s="3195" t="s">
        <v>3286</v>
      </c>
      <c r="AE25" s="3195">
        <v>36698</v>
      </c>
      <c r="AF25" s="3195">
        <v>61162</v>
      </c>
      <c r="AG25" s="3195">
        <v>61167</v>
      </c>
      <c r="AH25" s="3195">
        <v>296.92</v>
      </c>
      <c r="AI25" s="3195">
        <v>296.95</v>
      </c>
      <c r="AJ25" s="3195">
        <v>2619.91</v>
      </c>
      <c r="AK25" s="3195">
        <v>2620.13</v>
      </c>
      <c r="AL25" s="3195" t="s">
        <v>2815</v>
      </c>
      <c r="AM25" s="3195" t="s">
        <v>2815</v>
      </c>
      <c r="AN25" s="3195">
        <v>0.01</v>
      </c>
      <c r="AO25" s="3195" t="s">
        <v>3096</v>
      </c>
      <c r="AP25" s="3195" t="s">
        <v>2815</v>
      </c>
      <c r="AQ25" s="3195" t="s">
        <v>2815</v>
      </c>
      <c r="AR25" s="3195" t="s">
        <v>2815</v>
      </c>
      <c r="AS25" s="3195" t="s">
        <v>3057</v>
      </c>
    </row>
    <row r="26" spans="1:45">
      <c r="A26" s="3195" t="s">
        <v>3280</v>
      </c>
      <c r="B26" s="3195" t="s">
        <v>3171</v>
      </c>
      <c r="C26" s="3195" t="s">
        <v>3053</v>
      </c>
      <c r="D26" s="3195" t="s">
        <v>3173</v>
      </c>
      <c r="E26" s="3195" t="s">
        <v>2815</v>
      </c>
      <c r="F26" s="3195" t="s">
        <v>3280</v>
      </c>
      <c r="G26" s="3195" t="s">
        <v>3054</v>
      </c>
      <c r="H26" s="3195" t="s">
        <v>3277</v>
      </c>
      <c r="I26" s="3195" t="s">
        <v>3295</v>
      </c>
      <c r="J26" s="3195">
        <v>21255.599999999999</v>
      </c>
      <c r="K26" s="3195">
        <v>59515.68</v>
      </c>
      <c r="L26" s="3195" t="s">
        <v>3287</v>
      </c>
      <c r="M26" s="3195" t="s">
        <v>2815</v>
      </c>
      <c r="N26" s="3195" t="s">
        <v>3102</v>
      </c>
      <c r="O26" s="3195" t="s">
        <v>3288</v>
      </c>
      <c r="P26" s="3195" t="s">
        <v>2815</v>
      </c>
      <c r="Q26" s="3195" t="s">
        <v>2815</v>
      </c>
      <c r="R26" s="3195" t="s">
        <v>2815</v>
      </c>
      <c r="S26" s="3195" t="s">
        <v>2815</v>
      </c>
      <c r="T26" s="3195" t="s">
        <v>2815</v>
      </c>
      <c r="U26" s="3195" t="s">
        <v>2815</v>
      </c>
      <c r="V26" s="3195" t="s">
        <v>2815</v>
      </c>
      <c r="W26" s="3195" t="s">
        <v>3103</v>
      </c>
      <c r="X26" s="3195" t="s">
        <v>3282</v>
      </c>
      <c r="Y26" s="3195" t="s">
        <v>3283</v>
      </c>
      <c r="Z26" s="3195" t="s">
        <v>3284</v>
      </c>
      <c r="AA26" s="3195" t="s">
        <v>3284</v>
      </c>
      <c r="AB26" s="3195" t="s">
        <v>3296</v>
      </c>
      <c r="AC26" s="3195" t="s">
        <v>3095</v>
      </c>
      <c r="AD26" s="3195" t="s">
        <v>3286</v>
      </c>
      <c r="AE26" s="3195">
        <v>6642</v>
      </c>
      <c r="AF26" s="3195">
        <v>11069</v>
      </c>
      <c r="AG26" s="3195">
        <v>11074</v>
      </c>
      <c r="AH26" s="3195">
        <v>347.17</v>
      </c>
      <c r="AI26" s="3195">
        <v>347.33</v>
      </c>
      <c r="AJ26" s="3195">
        <v>1859.84</v>
      </c>
      <c r="AK26" s="3195">
        <v>1860.69</v>
      </c>
      <c r="AL26" s="3195" t="s">
        <v>2815</v>
      </c>
      <c r="AM26" s="3195" t="s">
        <v>2815</v>
      </c>
      <c r="AN26" s="3195">
        <v>0.05</v>
      </c>
      <c r="AO26" s="3195" t="s">
        <v>3096</v>
      </c>
      <c r="AP26" s="3195" t="s">
        <v>2815</v>
      </c>
      <c r="AQ26" s="3195" t="s">
        <v>2815</v>
      </c>
      <c r="AR26" s="3195" t="s">
        <v>2815</v>
      </c>
      <c r="AS26" s="3195" t="s">
        <v>3057</v>
      </c>
    </row>
    <row r="27" spans="1:45">
      <c r="A27" s="3195" t="s">
        <v>3280</v>
      </c>
      <c r="B27" s="3195" t="s">
        <v>3171</v>
      </c>
      <c r="C27" s="3195" t="s">
        <v>3053</v>
      </c>
      <c r="D27" s="3195" t="s">
        <v>3173</v>
      </c>
      <c r="E27" s="3195" t="s">
        <v>2815</v>
      </c>
      <c r="F27" s="3195" t="s">
        <v>3280</v>
      </c>
      <c r="G27" s="3195" t="s">
        <v>3054</v>
      </c>
      <c r="H27" s="3195" t="s">
        <v>3297</v>
      </c>
      <c r="I27" s="3195" t="s">
        <v>3281</v>
      </c>
      <c r="J27" s="3195">
        <v>16561</v>
      </c>
      <c r="K27" s="3195">
        <v>41402.5</v>
      </c>
      <c r="L27" s="3195" t="s">
        <v>3056</v>
      </c>
      <c r="M27" s="3195" t="s">
        <v>2815</v>
      </c>
      <c r="N27" s="3195" t="s">
        <v>3099</v>
      </c>
      <c r="O27" s="3195" t="s">
        <v>3104</v>
      </c>
      <c r="P27" s="3195" t="s">
        <v>2815</v>
      </c>
      <c r="Q27" s="3195" t="s">
        <v>2815</v>
      </c>
      <c r="R27" s="3195" t="s">
        <v>2815</v>
      </c>
      <c r="S27" s="3195" t="s">
        <v>2815</v>
      </c>
      <c r="T27" s="3195" t="s">
        <v>2815</v>
      </c>
      <c r="U27" s="3195" t="s">
        <v>2815</v>
      </c>
      <c r="V27" s="3195" t="s">
        <v>2815</v>
      </c>
      <c r="W27" s="3195" t="s">
        <v>3103</v>
      </c>
      <c r="X27" s="3195" t="s">
        <v>3282</v>
      </c>
      <c r="Y27" s="3195" t="s">
        <v>3283</v>
      </c>
      <c r="Z27" s="3195" t="s">
        <v>3284</v>
      </c>
      <c r="AA27" s="3195" t="s">
        <v>3284</v>
      </c>
      <c r="AB27" s="3195" t="s">
        <v>3298</v>
      </c>
      <c r="AC27" s="3195" t="s">
        <v>3095</v>
      </c>
      <c r="AD27" s="3195" t="s">
        <v>3286</v>
      </c>
      <c r="AE27" s="3195">
        <v>4721</v>
      </c>
      <c r="AF27" s="3195">
        <v>7867</v>
      </c>
      <c r="AG27" s="3195">
        <v>7872</v>
      </c>
      <c r="AH27" s="3195">
        <v>316.69</v>
      </c>
      <c r="AI27" s="3195">
        <v>316.89</v>
      </c>
      <c r="AJ27" s="3195">
        <v>1900.12</v>
      </c>
      <c r="AK27" s="3195">
        <v>1901.32</v>
      </c>
      <c r="AL27" s="3195" t="s">
        <v>2815</v>
      </c>
      <c r="AM27" s="3195" t="s">
        <v>2815</v>
      </c>
      <c r="AN27" s="3195">
        <v>0.06</v>
      </c>
      <c r="AO27" s="3195" t="s">
        <v>3096</v>
      </c>
      <c r="AP27" s="3195" t="s">
        <v>2815</v>
      </c>
      <c r="AQ27" s="3195" t="s">
        <v>2815</v>
      </c>
      <c r="AR27" s="3195" t="s">
        <v>2815</v>
      </c>
      <c r="AS27" s="3195" t="s">
        <v>3057</v>
      </c>
    </row>
    <row r="28" spans="1:45">
      <c r="A28" s="3195" t="s">
        <v>3299</v>
      </c>
      <c r="B28" s="3195" t="s">
        <v>3171</v>
      </c>
      <c r="C28" s="3195" t="s">
        <v>3172</v>
      </c>
      <c r="D28" s="3195" t="s">
        <v>3173</v>
      </c>
      <c r="E28" s="3195" t="s">
        <v>2815</v>
      </c>
      <c r="F28" s="3195" t="s">
        <v>3299</v>
      </c>
      <c r="G28" s="3195" t="s">
        <v>3054</v>
      </c>
      <c r="H28" s="3195">
        <v>4</v>
      </c>
      <c r="I28" s="3195" t="s">
        <v>3243</v>
      </c>
      <c r="J28" s="3195">
        <v>138656.70000000001</v>
      </c>
      <c r="K28" s="3195">
        <v>388238.8</v>
      </c>
      <c r="L28" s="3195" t="s">
        <v>3300</v>
      </c>
      <c r="M28" s="3195" t="s">
        <v>2815</v>
      </c>
      <c r="N28" s="3195" t="s">
        <v>3301</v>
      </c>
      <c r="O28" s="3195" t="s">
        <v>3288</v>
      </c>
      <c r="P28" s="3195" t="s">
        <v>2815</v>
      </c>
      <c r="Q28" s="3195" t="s">
        <v>2815</v>
      </c>
      <c r="R28" s="3195" t="s">
        <v>2815</v>
      </c>
      <c r="S28" s="3195" t="s">
        <v>2815</v>
      </c>
      <c r="T28" s="3195" t="s">
        <v>2815</v>
      </c>
      <c r="U28" s="3195" t="s">
        <v>2815</v>
      </c>
      <c r="V28" s="3195" t="s">
        <v>2815</v>
      </c>
      <c r="W28" s="3195" t="s">
        <v>3103</v>
      </c>
      <c r="X28" s="3195" t="s">
        <v>3302</v>
      </c>
      <c r="Y28" s="3195" t="s">
        <v>3303</v>
      </c>
      <c r="Z28" s="3195" t="s">
        <v>3304</v>
      </c>
      <c r="AA28" s="3195" t="s">
        <v>3304</v>
      </c>
      <c r="AB28" s="3195" t="s">
        <v>3305</v>
      </c>
      <c r="AC28" s="3195" t="s">
        <v>3095</v>
      </c>
      <c r="AD28" s="3195" t="s">
        <v>3306</v>
      </c>
      <c r="AE28" s="3195">
        <v>95123.520000000004</v>
      </c>
      <c r="AF28" s="3195">
        <v>158539.20000000001</v>
      </c>
      <c r="AG28" s="3195">
        <v>165539.20000000001</v>
      </c>
      <c r="AH28" s="3195">
        <v>762.26</v>
      </c>
      <c r="AI28" s="3195">
        <v>795.92</v>
      </c>
      <c r="AJ28" s="3195">
        <v>4083.54</v>
      </c>
      <c r="AK28" s="3195">
        <v>4263.8500000000004</v>
      </c>
      <c r="AL28" s="3195" t="s">
        <v>2815</v>
      </c>
      <c r="AM28" s="3195" t="s">
        <v>2815</v>
      </c>
      <c r="AN28" s="3195">
        <v>4.42</v>
      </c>
      <c r="AO28" s="3195" t="s">
        <v>3184</v>
      </c>
      <c r="AP28" s="3195" t="s">
        <v>2815</v>
      </c>
      <c r="AQ28" s="3195" t="s">
        <v>2815</v>
      </c>
      <c r="AR28" s="3195" t="s">
        <v>2815</v>
      </c>
      <c r="AS28" s="3195" t="s">
        <v>3057</v>
      </c>
    </row>
    <row r="29" spans="1:45">
      <c r="A29" s="3195" t="s">
        <v>3299</v>
      </c>
      <c r="B29" s="3195" t="s">
        <v>3171</v>
      </c>
      <c r="C29" s="3195" t="s">
        <v>3172</v>
      </c>
      <c r="D29" s="3195" t="s">
        <v>3173</v>
      </c>
      <c r="E29" s="3195" t="s">
        <v>2815</v>
      </c>
      <c r="F29" s="3195" t="s">
        <v>3299</v>
      </c>
      <c r="G29" s="3195" t="s">
        <v>3054</v>
      </c>
      <c r="H29" s="3195">
        <v>3</v>
      </c>
      <c r="I29" s="3195" t="s">
        <v>3243</v>
      </c>
      <c r="J29" s="3195">
        <v>49043</v>
      </c>
      <c r="K29" s="3195">
        <v>122607.5</v>
      </c>
      <c r="L29" s="3195" t="s">
        <v>3307</v>
      </c>
      <c r="M29" s="3195" t="s">
        <v>2815</v>
      </c>
      <c r="N29" s="3195" t="s">
        <v>3308</v>
      </c>
      <c r="O29" s="3195" t="s">
        <v>3288</v>
      </c>
      <c r="P29" s="3195" t="s">
        <v>2815</v>
      </c>
      <c r="Q29" s="3195" t="s">
        <v>2815</v>
      </c>
      <c r="R29" s="3195" t="s">
        <v>2815</v>
      </c>
      <c r="S29" s="3195" t="s">
        <v>2815</v>
      </c>
      <c r="T29" s="3195" t="s">
        <v>2815</v>
      </c>
      <c r="U29" s="3195" t="s">
        <v>2815</v>
      </c>
      <c r="V29" s="3195" t="s">
        <v>2815</v>
      </c>
      <c r="W29" s="3195" t="s">
        <v>3103</v>
      </c>
      <c r="X29" s="3195" t="s">
        <v>3302</v>
      </c>
      <c r="Y29" s="3195" t="s">
        <v>3303</v>
      </c>
      <c r="Z29" s="3195" t="s">
        <v>3304</v>
      </c>
      <c r="AA29" s="3195" t="s">
        <v>3304</v>
      </c>
      <c r="AB29" s="3195" t="s">
        <v>3309</v>
      </c>
      <c r="AC29" s="3195" t="s">
        <v>3095</v>
      </c>
      <c r="AD29" s="3195" t="s">
        <v>3306</v>
      </c>
      <c r="AE29" s="3195">
        <v>30039.01</v>
      </c>
      <c r="AF29" s="3195">
        <v>50065.01</v>
      </c>
      <c r="AG29" s="3195">
        <v>56065.01</v>
      </c>
      <c r="AH29" s="3195">
        <v>680.56</v>
      </c>
      <c r="AI29" s="3195">
        <v>762.12</v>
      </c>
      <c r="AJ29" s="3195">
        <v>4083.35</v>
      </c>
      <c r="AK29" s="3195">
        <v>4572.72</v>
      </c>
      <c r="AL29" s="3195" t="s">
        <v>2815</v>
      </c>
      <c r="AM29" s="3195" t="s">
        <v>2815</v>
      </c>
      <c r="AN29" s="3195">
        <v>11.98</v>
      </c>
      <c r="AO29" s="3195" t="s">
        <v>3184</v>
      </c>
      <c r="AP29" s="3195" t="s">
        <v>2815</v>
      </c>
      <c r="AQ29" s="3195" t="s">
        <v>2815</v>
      </c>
      <c r="AR29" s="3195" t="s">
        <v>2815</v>
      </c>
      <c r="AS29" s="3195" t="s">
        <v>3057</v>
      </c>
    </row>
    <row r="30" spans="1:45">
      <c r="A30" s="3195" t="s">
        <v>3310</v>
      </c>
      <c r="B30" s="3195" t="s">
        <v>3171</v>
      </c>
      <c r="C30" s="3195" t="s">
        <v>3172</v>
      </c>
      <c r="D30" s="3195" t="s">
        <v>3173</v>
      </c>
      <c r="E30" s="3195" t="s">
        <v>2815</v>
      </c>
      <c r="F30" s="3195" t="s">
        <v>3310</v>
      </c>
      <c r="G30" s="3195" t="s">
        <v>3054</v>
      </c>
      <c r="H30" s="3195">
        <v>10</v>
      </c>
      <c r="I30" s="3195" t="s">
        <v>3243</v>
      </c>
      <c r="J30" s="3195">
        <v>53929.16</v>
      </c>
      <c r="K30" s="3195">
        <v>102465.4</v>
      </c>
      <c r="L30" s="3195" t="s">
        <v>3311</v>
      </c>
      <c r="M30" s="3195" t="s">
        <v>2815</v>
      </c>
      <c r="N30" s="3195" t="s">
        <v>3268</v>
      </c>
      <c r="O30" s="3195" t="s">
        <v>3105</v>
      </c>
      <c r="P30" s="3195" t="s">
        <v>2815</v>
      </c>
      <c r="Q30" s="3195" t="s">
        <v>2815</v>
      </c>
      <c r="R30" s="3195" t="s">
        <v>2815</v>
      </c>
      <c r="S30" s="3195" t="s">
        <v>2815</v>
      </c>
      <c r="T30" s="3195" t="s">
        <v>2815</v>
      </c>
      <c r="U30" s="3195" t="s">
        <v>2815</v>
      </c>
      <c r="V30" s="3195" t="s">
        <v>2815</v>
      </c>
      <c r="W30" s="3195" t="s">
        <v>3103</v>
      </c>
      <c r="X30" s="3195" t="s">
        <v>3302</v>
      </c>
      <c r="Y30" s="3195" t="s">
        <v>3303</v>
      </c>
      <c r="Z30" s="3195" t="s">
        <v>3304</v>
      </c>
      <c r="AA30" s="3195" t="s">
        <v>3304</v>
      </c>
      <c r="AB30" s="3195" t="s">
        <v>3312</v>
      </c>
      <c r="AC30" s="3195" t="s">
        <v>3095</v>
      </c>
      <c r="AD30" s="3195" t="s">
        <v>3313</v>
      </c>
      <c r="AE30" s="3195">
        <v>14018</v>
      </c>
      <c r="AF30" s="3195">
        <v>12295.85</v>
      </c>
      <c r="AG30" s="3195">
        <v>30842.09</v>
      </c>
      <c r="AH30" s="3195">
        <v>152</v>
      </c>
      <c r="AI30" s="3195">
        <v>381.27</v>
      </c>
      <c r="AJ30" s="3195">
        <v>1200</v>
      </c>
      <c r="AK30" s="3195">
        <v>3010</v>
      </c>
      <c r="AL30" s="3195" t="s">
        <v>2815</v>
      </c>
      <c r="AM30" s="3195" t="s">
        <v>2815</v>
      </c>
      <c r="AN30" s="3195">
        <v>150.83000000000001</v>
      </c>
      <c r="AO30" s="3195" t="s">
        <v>3184</v>
      </c>
      <c r="AP30" s="3195" t="s">
        <v>2815</v>
      </c>
      <c r="AQ30" s="3195" t="s">
        <v>2815</v>
      </c>
      <c r="AR30" s="3195" t="s">
        <v>2815</v>
      </c>
      <c r="AS30" s="3195" t="s">
        <v>3059</v>
      </c>
    </row>
    <row r="31" spans="1:45">
      <c r="A31" s="3195" t="s">
        <v>3314</v>
      </c>
      <c r="B31" s="3195" t="s">
        <v>3171</v>
      </c>
      <c r="C31" s="3195" t="s">
        <v>3225</v>
      </c>
      <c r="D31" s="3195" t="s">
        <v>3173</v>
      </c>
      <c r="E31" s="3195" t="s">
        <v>2815</v>
      </c>
      <c r="F31" s="3195" t="s">
        <v>3314</v>
      </c>
      <c r="G31" s="3195" t="s">
        <v>3315</v>
      </c>
      <c r="H31" s="3195" t="s">
        <v>3316</v>
      </c>
      <c r="I31" s="3195" t="s">
        <v>3225</v>
      </c>
      <c r="J31" s="3195">
        <v>106759.1</v>
      </c>
      <c r="K31" s="3195">
        <v>206016.7</v>
      </c>
      <c r="L31" s="3195" t="s">
        <v>3317</v>
      </c>
      <c r="M31" s="3195" t="s">
        <v>2815</v>
      </c>
      <c r="N31" s="3195" t="s">
        <v>3318</v>
      </c>
      <c r="O31" s="3195" t="s">
        <v>3319</v>
      </c>
      <c r="P31" s="3195" t="s">
        <v>2815</v>
      </c>
      <c r="Q31" s="3195" t="s">
        <v>2815</v>
      </c>
      <c r="R31" s="3195" t="s">
        <v>2815</v>
      </c>
      <c r="S31" s="3195" t="s">
        <v>2815</v>
      </c>
      <c r="T31" s="3195" t="s">
        <v>2815</v>
      </c>
      <c r="U31" s="3195" t="s">
        <v>2815</v>
      </c>
      <c r="V31" s="3195" t="s">
        <v>2815</v>
      </c>
      <c r="W31" s="3195" t="s">
        <v>3103</v>
      </c>
      <c r="X31" s="3195" t="s">
        <v>3320</v>
      </c>
      <c r="Y31" s="3195" t="s">
        <v>3321</v>
      </c>
      <c r="Z31" s="3195" t="s">
        <v>3321</v>
      </c>
      <c r="AA31" s="3195" t="s">
        <v>3321</v>
      </c>
      <c r="AB31" s="3195" t="s">
        <v>3322</v>
      </c>
      <c r="AC31" s="3195" t="s">
        <v>3095</v>
      </c>
      <c r="AD31" s="3195" t="s">
        <v>3323</v>
      </c>
      <c r="AE31" s="3195">
        <v>95000</v>
      </c>
      <c r="AF31" s="3195">
        <v>95000</v>
      </c>
      <c r="AG31" s="3195">
        <v>230000</v>
      </c>
      <c r="AH31" s="3195">
        <v>593.24</v>
      </c>
      <c r="AI31" s="3195">
        <v>1436.26</v>
      </c>
      <c r="AJ31" s="3195">
        <v>4611.2700000000004</v>
      </c>
      <c r="AK31" s="3195">
        <v>11164.13</v>
      </c>
      <c r="AL31" s="3195" t="s">
        <v>2815</v>
      </c>
      <c r="AM31" s="3195" t="s">
        <v>2815</v>
      </c>
      <c r="AN31" s="3195">
        <v>142.11000000000001</v>
      </c>
      <c r="AO31" s="3195" t="s">
        <v>3324</v>
      </c>
      <c r="AP31" s="3195" t="s">
        <v>2815</v>
      </c>
      <c r="AQ31" s="3195" t="s">
        <v>2815</v>
      </c>
      <c r="AR31" s="3195" t="s">
        <v>2815</v>
      </c>
      <c r="AS31" s="3195" t="s">
        <v>3057</v>
      </c>
    </row>
    <row r="32" spans="1:45">
      <c r="A32" s="3195" t="s">
        <v>3314</v>
      </c>
      <c r="B32" s="3195" t="s">
        <v>3171</v>
      </c>
      <c r="C32" s="3195" t="s">
        <v>3225</v>
      </c>
      <c r="D32" s="3195" t="s">
        <v>3173</v>
      </c>
      <c r="E32" s="3195" t="s">
        <v>2815</v>
      </c>
      <c r="F32" s="3195" t="s">
        <v>3314</v>
      </c>
      <c r="G32" s="3195" t="s">
        <v>3315</v>
      </c>
      <c r="H32" s="3195" t="s">
        <v>3325</v>
      </c>
      <c r="I32" s="3195" t="s">
        <v>3326</v>
      </c>
      <c r="J32" s="3195">
        <v>166810.9</v>
      </c>
      <c r="K32" s="3195">
        <v>425087.1</v>
      </c>
      <c r="L32" s="3195" t="s">
        <v>3327</v>
      </c>
      <c r="M32" s="3195" t="s">
        <v>2815</v>
      </c>
      <c r="N32" s="3195" t="s">
        <v>3328</v>
      </c>
      <c r="O32" s="3195" t="s">
        <v>3329</v>
      </c>
      <c r="P32" s="3195" t="s">
        <v>2815</v>
      </c>
      <c r="Q32" s="3195" t="s">
        <v>2815</v>
      </c>
      <c r="R32" s="3195" t="s">
        <v>2815</v>
      </c>
      <c r="S32" s="3195" t="s">
        <v>2815</v>
      </c>
      <c r="T32" s="3195" t="s">
        <v>2815</v>
      </c>
      <c r="U32" s="3195" t="s">
        <v>2815</v>
      </c>
      <c r="V32" s="3195" t="s">
        <v>2815</v>
      </c>
      <c r="W32" s="3195" t="s">
        <v>3330</v>
      </c>
      <c r="X32" s="3195" t="s">
        <v>3331</v>
      </c>
      <c r="Y32" s="3195" t="s">
        <v>3332</v>
      </c>
      <c r="Z32" s="3195" t="s">
        <v>3332</v>
      </c>
      <c r="AA32" s="3195" t="s">
        <v>3332</v>
      </c>
      <c r="AB32" s="3195" t="s">
        <v>3333</v>
      </c>
      <c r="AC32" s="3195" t="s">
        <v>3095</v>
      </c>
      <c r="AD32" s="3195" t="s">
        <v>3334</v>
      </c>
      <c r="AE32" s="3195">
        <v>122000</v>
      </c>
      <c r="AF32" s="3195">
        <v>122000</v>
      </c>
      <c r="AG32" s="3195">
        <v>123000</v>
      </c>
      <c r="AH32" s="3195">
        <v>487.58</v>
      </c>
      <c r="AI32" s="3195">
        <v>491.57</v>
      </c>
      <c r="AJ32" s="3195">
        <v>2870</v>
      </c>
      <c r="AK32" s="3195">
        <v>2893.51</v>
      </c>
      <c r="AL32" s="3195" t="s">
        <v>2815</v>
      </c>
      <c r="AM32" s="3195" t="s">
        <v>2815</v>
      </c>
      <c r="AN32" s="3195">
        <v>0.82</v>
      </c>
      <c r="AO32" s="3195" t="s">
        <v>3335</v>
      </c>
      <c r="AP32" s="3195" t="s">
        <v>2815</v>
      </c>
      <c r="AQ32" s="3195" t="s">
        <v>2815</v>
      </c>
      <c r="AR32" s="3195" t="s">
        <v>2815</v>
      </c>
      <c r="AS32" s="3195" t="s">
        <v>3057</v>
      </c>
    </row>
    <row r="33" spans="1:45">
      <c r="A33" s="3195" t="s">
        <v>3336</v>
      </c>
      <c r="B33" s="3195" t="s">
        <v>3171</v>
      </c>
      <c r="C33" s="3195" t="s">
        <v>3225</v>
      </c>
      <c r="D33" s="3195" t="s">
        <v>3173</v>
      </c>
      <c r="E33" s="3195" t="s">
        <v>2815</v>
      </c>
      <c r="F33" s="3195" t="s">
        <v>3336</v>
      </c>
      <c r="G33" s="3195" t="s">
        <v>3315</v>
      </c>
      <c r="H33" s="3195" t="s">
        <v>3337</v>
      </c>
      <c r="I33" s="3195" t="s">
        <v>3338</v>
      </c>
      <c r="J33" s="3195">
        <v>376502.3</v>
      </c>
      <c r="K33" s="3195">
        <v>704450.8</v>
      </c>
      <c r="L33" s="3195" t="s">
        <v>3339</v>
      </c>
      <c r="M33" s="3195" t="s">
        <v>2815</v>
      </c>
      <c r="N33" s="3195" t="s">
        <v>3340</v>
      </c>
      <c r="O33" s="3195" t="s">
        <v>3341</v>
      </c>
      <c r="P33" s="3195" t="s">
        <v>2815</v>
      </c>
      <c r="Q33" s="3195" t="s">
        <v>2815</v>
      </c>
      <c r="R33" s="3195" t="s">
        <v>2815</v>
      </c>
      <c r="S33" s="3195" t="s">
        <v>2815</v>
      </c>
      <c r="T33" s="3195" t="s">
        <v>2815</v>
      </c>
      <c r="U33" s="3195" t="s">
        <v>2815</v>
      </c>
      <c r="V33" s="3195" t="s">
        <v>2815</v>
      </c>
      <c r="W33" s="3195" t="s">
        <v>3103</v>
      </c>
      <c r="X33" s="3195" t="s">
        <v>3342</v>
      </c>
      <c r="Y33" s="3195" t="s">
        <v>3343</v>
      </c>
      <c r="Z33" s="3195" t="s">
        <v>3343</v>
      </c>
      <c r="AA33" s="3195" t="s">
        <v>3343</v>
      </c>
      <c r="AB33" s="3195" t="s">
        <v>3344</v>
      </c>
      <c r="AC33" s="3195" t="s">
        <v>3095</v>
      </c>
      <c r="AD33" s="3195" t="s">
        <v>3345</v>
      </c>
      <c r="AE33" s="3195">
        <v>178658.22</v>
      </c>
      <c r="AF33" s="3195">
        <v>178658.2</v>
      </c>
      <c r="AG33" s="3195">
        <v>180658.2</v>
      </c>
      <c r="AH33" s="3195">
        <v>316.35000000000002</v>
      </c>
      <c r="AI33" s="3195">
        <v>319.89</v>
      </c>
      <c r="AJ33" s="3195">
        <v>2536.13</v>
      </c>
      <c r="AK33" s="3195">
        <v>2564.5300000000002</v>
      </c>
      <c r="AL33" s="3195" t="s">
        <v>2815</v>
      </c>
      <c r="AM33" s="3195" t="s">
        <v>2815</v>
      </c>
      <c r="AN33" s="3195">
        <v>1.1200000000000001</v>
      </c>
      <c r="AO33" s="3195" t="s">
        <v>3346</v>
      </c>
      <c r="AP33" s="3195" t="s">
        <v>2815</v>
      </c>
      <c r="AQ33" s="3195" t="s">
        <v>2815</v>
      </c>
      <c r="AR33" s="3195" t="s">
        <v>2815</v>
      </c>
      <c r="AS33" s="3195" t="s">
        <v>3059</v>
      </c>
    </row>
  </sheetData>
  <phoneticPr fontId="228"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428"/>
    </row>
    <row r="2" spans="1:29" s="1332" customFormat="1" ht="28.5" customHeight="1">
      <c r="A2" s="423" t="s">
        <v>467</v>
      </c>
      <c r="B2" s="850" t="e">
        <f>ROUND(B3*D3/10000,0)</f>
        <v>#DIV/0!</v>
      </c>
      <c r="C2" s="2112"/>
      <c r="D2" s="2112"/>
      <c r="E2" s="2113"/>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428"/>
    </row>
    <row r="3" spans="1:29" s="1332" customFormat="1" ht="28.5" customHeight="1" thickBot="1">
      <c r="A3" s="509" t="s">
        <v>519</v>
      </c>
      <c r="B3" s="510" t="e">
        <f>C43</f>
        <v>#DIV/0!</v>
      </c>
      <c r="C3" s="852" t="s">
        <v>722</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521</v>
      </c>
      <c r="B4" s="513"/>
      <c r="C4" s="3430" t="s">
        <v>522</v>
      </c>
      <c r="D4" s="3431"/>
      <c r="E4" s="3466" t="s">
        <v>523</v>
      </c>
      <c r="F4" s="3467"/>
      <c r="G4" s="3430" t="s">
        <v>524</v>
      </c>
      <c r="H4" s="3431"/>
      <c r="I4" s="3430" t="s">
        <v>525</v>
      </c>
      <c r="J4" s="3431"/>
      <c r="K4" s="514" t="s">
        <v>526</v>
      </c>
      <c r="L4" s="2118"/>
      <c r="M4" s="2119"/>
      <c r="N4" s="2119"/>
      <c r="O4" s="2119"/>
      <c r="P4" s="3432" t="s">
        <v>527</v>
      </c>
      <c r="Q4" s="3433"/>
      <c r="R4" s="3438" t="s">
        <v>523</v>
      </c>
      <c r="S4" s="3439"/>
      <c r="T4" s="3438" t="s">
        <v>524</v>
      </c>
      <c r="U4" s="3439"/>
      <c r="V4" s="3425" t="s">
        <v>525</v>
      </c>
      <c r="W4" s="3425"/>
      <c r="X4" s="1553"/>
      <c r="Y4" s="3438" t="s">
        <v>527</v>
      </c>
      <c r="Z4" s="3439"/>
      <c r="AA4" s="3427" t="s">
        <v>523</v>
      </c>
      <c r="AB4" s="3428" t="s">
        <v>524</v>
      </c>
      <c r="AC4" s="3427" t="s">
        <v>525</v>
      </c>
    </row>
    <row r="5" spans="1:29" ht="15">
      <c r="A5" s="515"/>
      <c r="B5" s="516"/>
      <c r="C5" s="3446" t="s">
        <v>2922</v>
      </c>
      <c r="D5" s="3447"/>
      <c r="E5" s="3468" t="s">
        <v>2923</v>
      </c>
      <c r="F5" s="3469"/>
      <c r="G5" s="3446" t="s">
        <v>2924</v>
      </c>
      <c r="H5" s="3447"/>
      <c r="I5" s="3446" t="s">
        <v>2925</v>
      </c>
      <c r="J5" s="3447"/>
      <c r="K5" s="514"/>
      <c r="L5" s="2118"/>
      <c r="M5" s="2119"/>
      <c r="N5" s="2119"/>
      <c r="O5" s="2119"/>
      <c r="P5" s="3434"/>
      <c r="Q5" s="3435"/>
      <c r="R5" s="3440"/>
      <c r="S5" s="3441"/>
      <c r="T5" s="3440"/>
      <c r="U5" s="3441"/>
      <c r="V5" s="3425"/>
      <c r="W5" s="3425"/>
      <c r="X5" s="1553"/>
      <c r="Y5" s="3440"/>
      <c r="Z5" s="3441"/>
      <c r="AA5" s="3428"/>
      <c r="AB5" s="3428"/>
      <c r="AC5" s="3428"/>
    </row>
    <row r="6" spans="1:29" ht="15.75" thickBot="1">
      <c r="A6" s="517"/>
      <c r="B6" s="518"/>
      <c r="C6" s="3444" t="s">
        <v>2926</v>
      </c>
      <c r="D6" s="3445"/>
      <c r="E6" s="3464" t="s">
        <v>2926</v>
      </c>
      <c r="F6" s="3465"/>
      <c r="G6" s="3444" t="s">
        <v>2926</v>
      </c>
      <c r="H6" s="3445"/>
      <c r="I6" s="3444" t="s">
        <v>2926</v>
      </c>
      <c r="J6" s="3445"/>
      <c r="K6" s="514" t="s">
        <v>528</v>
      </c>
      <c r="L6" s="2118"/>
      <c r="M6" s="2119"/>
      <c r="N6" s="2119"/>
      <c r="O6" s="2119"/>
      <c r="P6" s="3436"/>
      <c r="Q6" s="3437"/>
      <c r="R6" s="3440"/>
      <c r="S6" s="3441"/>
      <c r="T6" s="3442"/>
      <c r="U6" s="3443"/>
      <c r="V6" s="3425"/>
      <c r="W6" s="3425"/>
      <c r="X6" s="1553"/>
      <c r="Y6" s="3442"/>
      <c r="Z6" s="3443"/>
      <c r="AA6" s="3429"/>
      <c r="AB6" s="3429"/>
      <c r="AC6" s="3429"/>
    </row>
    <row r="7" spans="1:29" s="1216" customFormat="1" ht="15.75" thickBot="1">
      <c r="A7" s="2867"/>
      <c r="B7" s="2874" t="s">
        <v>529</v>
      </c>
      <c r="C7" s="519">
        <f>'数据-取费表'!B2</f>
        <v>43868</v>
      </c>
      <c r="D7" s="520">
        <v>100</v>
      </c>
      <c r="E7" s="521"/>
      <c r="F7" s="522">
        <f>SUMIF(52:52,YEAR(E7)&amp;"-"&amp;MONTH(E7),53:53)</f>
        <v>0</v>
      </c>
      <c r="G7" s="521"/>
      <c r="H7" s="520">
        <f>SUMIF(52:52,YEAR(G7)&amp;"-"&amp;MONTH(G7),53:53)</f>
        <v>0</v>
      </c>
      <c r="I7" s="521"/>
      <c r="J7" s="520">
        <f>SUMIF(52:52,YEAR(I7)&amp;"-"&amp;MONTH(I7),53:53)</f>
        <v>0</v>
      </c>
      <c r="K7" s="524"/>
      <c r="L7" s="2120"/>
      <c r="M7" s="2121"/>
      <c r="N7" s="2121"/>
      <c r="O7" s="2121"/>
      <c r="P7" s="3457" t="s">
        <v>530</v>
      </c>
      <c r="Q7" s="3459"/>
      <c r="R7" s="1554" t="s">
        <v>8</v>
      </c>
      <c r="S7" s="1555">
        <f t="shared" ref="S7:S15" si="0">F7</f>
        <v>0</v>
      </c>
      <c r="T7" s="1554" t="s">
        <v>8</v>
      </c>
      <c r="U7" s="1555">
        <f t="shared" ref="U7:U15" si="1">H7</f>
        <v>0</v>
      </c>
      <c r="V7" s="1554" t="s">
        <v>8</v>
      </c>
      <c r="W7" s="1555">
        <f t="shared" ref="W7:W15" si="2">J7</f>
        <v>0</v>
      </c>
      <c r="X7" s="1556"/>
      <c r="Y7" s="3457" t="s">
        <v>530</v>
      </c>
      <c r="Z7" s="3458"/>
      <c r="AA7" s="1557" t="e">
        <f>D7/F7</f>
        <v>#DIV/0!</v>
      </c>
      <c r="AB7" s="1557" t="e">
        <f>D7/H7</f>
        <v>#DIV/0!</v>
      </c>
      <c r="AC7" s="1557" t="e">
        <f>D7/J7</f>
        <v>#DIV/0!</v>
      </c>
    </row>
    <row r="8" spans="1:29" s="1216" customFormat="1" ht="15.75" thickBot="1">
      <c r="A8" s="2868"/>
      <c r="B8" s="2875" t="s">
        <v>531</v>
      </c>
      <c r="C8" s="525" t="s">
        <v>576</v>
      </c>
      <c r="D8" s="520">
        <v>100</v>
      </c>
      <c r="E8" s="525"/>
      <c r="F8" s="522">
        <f>SUMIF(55:55,E8,56:56)-SUMIF(55:55,C8,56:56)+100</f>
        <v>0</v>
      </c>
      <c r="G8" s="525"/>
      <c r="H8" s="520">
        <f>SUMIF(55:55,G8,56:56)-SUMIF(55:55,C8,56:56)+100</f>
        <v>0</v>
      </c>
      <c r="I8" s="525"/>
      <c r="J8" s="520">
        <f>SUMIF(55:55,I8,56:56)-SUMIF(55:55,C8,56:56)+100</f>
        <v>0</v>
      </c>
      <c r="K8" s="524"/>
      <c r="L8" s="2120"/>
      <c r="M8" s="2121"/>
      <c r="N8" s="2121"/>
      <c r="O8" s="2121"/>
      <c r="P8" s="3457" t="s">
        <v>533</v>
      </c>
      <c r="Q8" s="3458"/>
      <c r="R8" s="1554" t="s">
        <v>8</v>
      </c>
      <c r="S8" s="1555">
        <f t="shared" si="0"/>
        <v>0</v>
      </c>
      <c r="T8" s="1554" t="s">
        <v>8</v>
      </c>
      <c r="U8" s="1555">
        <f t="shared" si="1"/>
        <v>0</v>
      </c>
      <c r="V8" s="1554" t="s">
        <v>8</v>
      </c>
      <c r="W8" s="1555">
        <f t="shared" si="2"/>
        <v>0</v>
      </c>
      <c r="X8" s="1556"/>
      <c r="Y8" s="3457" t="s">
        <v>533</v>
      </c>
      <c r="Z8" s="3458"/>
      <c r="AA8" s="1557" t="e">
        <f t="shared" ref="AA8:AA40" si="3">D8/F8</f>
        <v>#DIV/0!</v>
      </c>
      <c r="AB8" s="1557" t="e">
        <f t="shared" ref="AB8:AB40" si="4">D8/H8</f>
        <v>#DIV/0!</v>
      </c>
      <c r="AC8" s="1557" t="e">
        <f t="shared" ref="AC8:AC40" si="5">D8/J8</f>
        <v>#DIV/0!</v>
      </c>
    </row>
    <row r="9" spans="1:29" s="1216" customFormat="1" ht="15">
      <c r="A9" s="2869"/>
      <c r="B9" s="2876" t="s">
        <v>2753</v>
      </c>
      <c r="C9" s="857"/>
      <c r="D9" s="254">
        <v>100</v>
      </c>
      <c r="E9" s="860"/>
      <c r="F9" s="254">
        <f>SUMIF(57:57,E9,58:58)-SUMIF(57:57,C9,58:58)+100</f>
        <v>100</v>
      </c>
      <c r="G9" s="858"/>
      <c r="H9" s="254">
        <f>SUMIF(57:57,G9,58:58)-SUMIF(57:57,C9,58:58)+100</f>
        <v>100</v>
      </c>
      <c r="I9" s="858"/>
      <c r="J9" s="254">
        <f>SUMIF(57:57,I9,58:58)-SUMIF(57:57,C9,58:58)+100</f>
        <v>100</v>
      </c>
      <c r="K9" s="524"/>
      <c r="L9" s="2120"/>
      <c r="M9" s="2121"/>
      <c r="N9" s="2121"/>
      <c r="O9" s="2122"/>
      <c r="P9" s="3424" t="s">
        <v>535</v>
      </c>
      <c r="Q9" s="1147" t="str">
        <f t="shared" ref="Q9:Q15" si="6">B9</f>
        <v>用途</v>
      </c>
      <c r="R9" s="1554" t="s">
        <v>8</v>
      </c>
      <c r="S9" s="1555">
        <f t="shared" si="0"/>
        <v>100</v>
      </c>
      <c r="T9" s="1554" t="s">
        <v>8</v>
      </c>
      <c r="U9" s="1555">
        <f t="shared" si="1"/>
        <v>100</v>
      </c>
      <c r="V9" s="1554" t="s">
        <v>8</v>
      </c>
      <c r="W9" s="1555">
        <f t="shared" si="2"/>
        <v>100</v>
      </c>
      <c r="X9" s="1556"/>
      <c r="Y9" s="3370" t="s">
        <v>536</v>
      </c>
      <c r="Z9" s="1146" t="str">
        <f t="shared" ref="Z9:Z15" si="7">Q9</f>
        <v>用途</v>
      </c>
      <c r="AA9" s="1557">
        <f t="shared" si="3"/>
        <v>1</v>
      </c>
      <c r="AB9" s="1557">
        <f t="shared" si="4"/>
        <v>1</v>
      </c>
      <c r="AC9" s="1557">
        <f t="shared" si="5"/>
        <v>1</v>
      </c>
    </row>
    <row r="10" spans="1:29" s="1334" customFormat="1" ht="27">
      <c r="A10" s="2870"/>
      <c r="B10" s="2875" t="s">
        <v>2754</v>
      </c>
      <c r="C10" s="861"/>
      <c r="D10" s="255">
        <v>100</v>
      </c>
      <c r="E10" s="861"/>
      <c r="F10" s="255">
        <f>SUMIF(59:59,E10,60:60)-SUMIF(59:59,C10,60:60)+100</f>
        <v>100</v>
      </c>
      <c r="G10" s="862"/>
      <c r="H10" s="255">
        <f>SUMIF(59:59,G10,60:60)-SUMIF(59:59,C10,60:60)+100</f>
        <v>100</v>
      </c>
      <c r="I10" s="861"/>
      <c r="J10" s="255">
        <f>SUMIF(59:59,I10,60:60)-SUMIF(59:59,C10,60:60)+100</f>
        <v>100</v>
      </c>
      <c r="K10" s="584"/>
      <c r="L10" s="2123"/>
      <c r="M10" s="2163"/>
      <c r="N10" s="2163"/>
      <c r="O10" s="2124"/>
      <c r="P10" s="3424"/>
      <c r="Q10" s="1147" t="str">
        <f t="shared" si="6"/>
        <v>土地使用年限（年）</v>
      </c>
      <c r="R10" s="1554" t="s">
        <v>8</v>
      </c>
      <c r="S10" s="1555">
        <f t="shared" si="0"/>
        <v>100</v>
      </c>
      <c r="T10" s="1554" t="s">
        <v>8</v>
      </c>
      <c r="U10" s="1555">
        <f t="shared" si="1"/>
        <v>100</v>
      </c>
      <c r="V10" s="1554" t="s">
        <v>8</v>
      </c>
      <c r="W10" s="1555">
        <f t="shared" si="2"/>
        <v>100</v>
      </c>
      <c r="X10" s="1556"/>
      <c r="Y10" s="3370"/>
      <c r="Z10" s="1146" t="str">
        <f t="shared" si="7"/>
        <v>土地使用年限（年）</v>
      </c>
      <c r="AA10" s="1557">
        <f t="shared" si="3"/>
        <v>1</v>
      </c>
      <c r="AB10" s="1557">
        <f t="shared" si="4"/>
        <v>1</v>
      </c>
      <c r="AC10" s="1557">
        <f t="shared" si="5"/>
        <v>1</v>
      </c>
    </row>
    <row r="11" spans="1:29" ht="15">
      <c r="A11" s="2871"/>
      <c r="B11" s="2875" t="s">
        <v>2755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5"/>
      <c r="M11" s="2119"/>
      <c r="N11" s="2119"/>
      <c r="O11" s="2126"/>
      <c r="P11" s="3424"/>
      <c r="Q11" s="1147" t="str">
        <f t="shared" si="6"/>
        <v>容积率</v>
      </c>
      <c r="R11" s="1554" t="s">
        <v>8</v>
      </c>
      <c r="S11" s="1555" t="e">
        <f t="shared" si="0"/>
        <v>#N/A</v>
      </c>
      <c r="T11" s="1554" t="s">
        <v>8</v>
      </c>
      <c r="U11" s="1555" t="e">
        <f t="shared" si="1"/>
        <v>#N/A</v>
      </c>
      <c r="V11" s="1554" t="s">
        <v>8</v>
      </c>
      <c r="W11" s="1555" t="e">
        <f t="shared" si="2"/>
        <v>#N/A</v>
      </c>
      <c r="X11" s="1556"/>
      <c r="Y11" s="3370"/>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39"/>
      <c r="F12" s="255">
        <f>SUMIF(64:64,E12,65:65)-SUMIF(64:64,C12,65:65)+100</f>
        <v>100</v>
      </c>
      <c r="G12" s="920"/>
      <c r="H12" s="255">
        <f>SUMIF(64:64,G12,65:65)-SUMIF(64:64,C12,65:65)+100</f>
        <v>100</v>
      </c>
      <c r="I12" s="880"/>
      <c r="J12" s="255">
        <f>SUMIF(64:64,I12,65:65)-SUMIF(64:64,C12,65:65)+100</f>
        <v>100</v>
      </c>
      <c r="K12" s="581"/>
      <c r="L12" s="2120"/>
      <c r="M12" s="2121"/>
      <c r="N12" s="2121"/>
      <c r="O12" s="2122"/>
      <c r="P12" s="3424"/>
      <c r="Q12" s="1147">
        <f t="shared" si="6"/>
        <v>111</v>
      </c>
      <c r="R12" s="1554" t="s">
        <v>8</v>
      </c>
      <c r="S12" s="1555">
        <f t="shared" si="0"/>
        <v>100</v>
      </c>
      <c r="T12" s="1554" t="s">
        <v>8</v>
      </c>
      <c r="U12" s="1555">
        <f t="shared" si="1"/>
        <v>100</v>
      </c>
      <c r="V12" s="1554" t="s">
        <v>8</v>
      </c>
      <c r="W12" s="1555">
        <f t="shared" si="2"/>
        <v>100</v>
      </c>
      <c r="X12" s="1556"/>
      <c r="Y12" s="3370"/>
      <c r="Z12" s="1146">
        <f t="shared" si="7"/>
        <v>111</v>
      </c>
      <c r="AA12" s="1557">
        <f>D12/F12</f>
        <v>1</v>
      </c>
      <c r="AB12" s="1557">
        <f>D12/H12</f>
        <v>1</v>
      </c>
      <c r="AC12" s="1557">
        <f>D12/J12</f>
        <v>1</v>
      </c>
    </row>
    <row r="13" spans="1:29" ht="15">
      <c r="A13" s="2872"/>
      <c r="B13" s="2878">
        <v>111</v>
      </c>
      <c r="C13" s="539"/>
      <c r="D13" s="540">
        <v>100</v>
      </c>
      <c r="E13" s="539"/>
      <c r="F13" s="255">
        <f>SUMIF(66:66,E13,67:67)-SUMIF(66:66,C13,67:67)+100</f>
        <v>100</v>
      </c>
      <c r="G13" s="920"/>
      <c r="H13" s="540">
        <f>SUMIF(66:66,G13,67:67)-SUMIF(66:66,C13,67:67)+100</f>
        <v>100</v>
      </c>
      <c r="I13" s="880"/>
      <c r="J13" s="540">
        <f>SUMIF(66:66,I13,67:67)-SUMIF(66:66,C13,67:67)+100</f>
        <v>100</v>
      </c>
      <c r="K13" s="581"/>
      <c r="L13" s="2127"/>
      <c r="M13" s="2119"/>
      <c r="N13" s="2119"/>
      <c r="O13" s="2126"/>
      <c r="P13" s="3424"/>
      <c r="Q13" s="1147">
        <f t="shared" si="6"/>
        <v>111</v>
      </c>
      <c r="R13" s="1554" t="s">
        <v>8</v>
      </c>
      <c r="S13" s="1555">
        <f t="shared" si="0"/>
        <v>100</v>
      </c>
      <c r="T13" s="1554" t="s">
        <v>8</v>
      </c>
      <c r="U13" s="1555">
        <f t="shared" si="1"/>
        <v>100</v>
      </c>
      <c r="V13" s="1554" t="s">
        <v>8</v>
      </c>
      <c r="W13" s="1555">
        <f t="shared" si="2"/>
        <v>100</v>
      </c>
      <c r="X13" s="1556"/>
      <c r="Y13" s="3370"/>
      <c r="Z13" s="1146">
        <f t="shared" si="7"/>
        <v>111</v>
      </c>
      <c r="AA13" s="1557">
        <f t="shared" si="3"/>
        <v>1</v>
      </c>
      <c r="AB13" s="1557">
        <f t="shared" si="4"/>
        <v>1</v>
      </c>
      <c r="AC13" s="1557">
        <f t="shared" si="5"/>
        <v>1</v>
      </c>
    </row>
    <row r="14" spans="1:29" ht="15.75" thickBot="1">
      <c r="A14" s="2873"/>
      <c r="B14" s="2879">
        <v>111</v>
      </c>
      <c r="C14" s="545"/>
      <c r="D14" s="546">
        <v>100</v>
      </c>
      <c r="E14" s="545"/>
      <c r="F14" s="546">
        <f>SUMIF(68:68,E14,69:69)-SUMIF(68:68,C14,69:69)+100</f>
        <v>100</v>
      </c>
      <c r="G14" s="920"/>
      <c r="H14" s="546">
        <f>SUMIF(68:68,G14,69:69)-SUMIF(68:68,C14,69:69)+100</f>
        <v>100</v>
      </c>
      <c r="I14" s="880"/>
      <c r="J14" s="546">
        <f>SUMIF(68:68,I14,69:69)-SUMIF(68:68,C14,69:69)+100</f>
        <v>100</v>
      </c>
      <c r="K14" s="581"/>
      <c r="L14" s="2127"/>
      <c r="M14" s="2119"/>
      <c r="N14" s="2119"/>
      <c r="O14" s="2126"/>
      <c r="P14" s="3424"/>
      <c r="Q14" s="1147">
        <f t="shared" si="6"/>
        <v>111</v>
      </c>
      <c r="R14" s="1554" t="s">
        <v>8</v>
      </c>
      <c r="S14" s="1555">
        <f t="shared" si="0"/>
        <v>100</v>
      </c>
      <c r="T14" s="1554" t="s">
        <v>8</v>
      </c>
      <c r="U14" s="1555">
        <f t="shared" si="1"/>
        <v>100</v>
      </c>
      <c r="V14" s="1554" t="s">
        <v>8</v>
      </c>
      <c r="W14" s="1555">
        <f t="shared" si="2"/>
        <v>100</v>
      </c>
      <c r="X14" s="1556"/>
      <c r="Y14" s="3370"/>
      <c r="Z14" s="1146">
        <f t="shared" si="7"/>
        <v>111</v>
      </c>
      <c r="AA14" s="1557">
        <f t="shared" si="3"/>
        <v>1</v>
      </c>
      <c r="AB14" s="1557">
        <f t="shared" si="4"/>
        <v>1</v>
      </c>
      <c r="AC14" s="1557">
        <f t="shared" si="5"/>
        <v>1</v>
      </c>
    </row>
    <row r="15" spans="1:29" ht="57">
      <c r="A15" s="2865" t="s">
        <v>2751</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7"/>
      <c r="M15" s="2119"/>
      <c r="N15" s="2119"/>
      <c r="O15" s="2126"/>
      <c r="P15" s="3460" t="s">
        <v>540</v>
      </c>
      <c r="Q15" s="1558" t="str">
        <f t="shared" si="6"/>
        <v>产业集聚程度</v>
      </c>
      <c r="R15" s="1559" t="s">
        <v>8</v>
      </c>
      <c r="S15" s="1560">
        <f t="shared" si="0"/>
        <v>100</v>
      </c>
      <c r="T15" s="1559" t="s">
        <v>8</v>
      </c>
      <c r="U15" s="1560">
        <f t="shared" si="1"/>
        <v>100</v>
      </c>
      <c r="V15" s="1559" t="s">
        <v>8</v>
      </c>
      <c r="W15" s="1560">
        <f t="shared" si="2"/>
        <v>100</v>
      </c>
      <c r="X15" s="1553"/>
      <c r="Y15" s="3460" t="s">
        <v>540</v>
      </c>
      <c r="Z15" s="1561" t="str">
        <f t="shared" si="7"/>
        <v>产业集聚程度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461"/>
      <c r="Q16" s="1558"/>
      <c r="R16" s="1559"/>
      <c r="S16" s="1560"/>
      <c r="T16" s="1559"/>
      <c r="U16" s="1560"/>
      <c r="V16" s="1559"/>
      <c r="W16" s="1560"/>
      <c r="X16" s="1553"/>
      <c r="Y16" s="3461"/>
      <c r="Z16" s="1561"/>
      <c r="AA16" s="1562">
        <v>1</v>
      </c>
      <c r="AB16" s="1562">
        <v>1</v>
      </c>
      <c r="AC16" s="1562">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7"/>
      <c r="M17" s="2119"/>
      <c r="N17" s="2119"/>
      <c r="O17" s="2126"/>
      <c r="P17" s="3461"/>
      <c r="Q17" s="1558" t="str">
        <f>B17</f>
        <v>交通便捷度</v>
      </c>
      <c r="R17" s="1559" t="s">
        <v>8</v>
      </c>
      <c r="S17" s="1560">
        <f>F17</f>
        <v>100</v>
      </c>
      <c r="T17" s="1559" t="s">
        <v>8</v>
      </c>
      <c r="U17" s="1560">
        <f>H17</f>
        <v>100</v>
      </c>
      <c r="V17" s="1559" t="s">
        <v>8</v>
      </c>
      <c r="W17" s="1560">
        <f>J17</f>
        <v>100</v>
      </c>
      <c r="X17" s="1553"/>
      <c r="Y17" s="3461"/>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461"/>
      <c r="Q18" s="1558"/>
      <c r="R18" s="1559"/>
      <c r="S18" s="1560"/>
      <c r="T18" s="1559"/>
      <c r="U18" s="1560"/>
      <c r="V18" s="1559"/>
      <c r="W18" s="1560"/>
      <c r="X18" s="1553"/>
      <c r="Y18" s="3461"/>
      <c r="Z18" s="1561"/>
      <c r="AA18" s="1562">
        <v>1</v>
      </c>
      <c r="AB18" s="1562">
        <v>1</v>
      </c>
      <c r="AC18" s="1562">
        <v>1</v>
      </c>
    </row>
    <row r="19" spans="1:29" ht="42.75">
      <c r="A19" s="532"/>
      <c r="B19" s="2567" t="s">
        <v>2543</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7"/>
      <c r="M19" s="2119"/>
      <c r="N19" s="2119"/>
      <c r="O19" s="2126"/>
      <c r="P19" s="3461"/>
      <c r="Q19" s="1558" t="str">
        <f>B19</f>
        <v>公共配套设施</v>
      </c>
      <c r="R19" s="1559" t="s">
        <v>8</v>
      </c>
      <c r="S19" s="1560">
        <f>F19</f>
        <v>100</v>
      </c>
      <c r="T19" s="1559" t="s">
        <v>8</v>
      </c>
      <c r="U19" s="1560">
        <f>H19</f>
        <v>100</v>
      </c>
      <c r="V19" s="1559" t="s">
        <v>8</v>
      </c>
      <c r="W19" s="1560">
        <f>J19</f>
        <v>100</v>
      </c>
      <c r="X19" s="1553"/>
      <c r="Y19" s="3461"/>
      <c r="Z19" s="1561" t="str">
        <f>Q19</f>
        <v>公共配套设施</v>
      </c>
      <c r="AA19" s="1562">
        <f t="shared" si="3"/>
        <v>1</v>
      </c>
      <c r="AB19" s="1562">
        <f t="shared" si="4"/>
        <v>1</v>
      </c>
      <c r="AC19" s="1562">
        <f t="shared" si="5"/>
        <v>1</v>
      </c>
    </row>
    <row r="20" spans="1:29" ht="15">
      <c r="A20" s="532"/>
      <c r="B20" s="566"/>
      <c r="C20" s="576"/>
      <c r="D20" s="555"/>
      <c r="E20" s="556"/>
      <c r="F20" s="557"/>
      <c r="G20" s="558"/>
      <c r="H20" s="555"/>
      <c r="I20" s="556"/>
      <c r="J20" s="555"/>
      <c r="K20" s="899"/>
      <c r="L20" s="2127"/>
      <c r="M20" s="2119"/>
      <c r="N20" s="2119"/>
      <c r="O20" s="2126"/>
      <c r="P20" s="3461"/>
      <c r="Q20" s="1558"/>
      <c r="R20" s="1559"/>
      <c r="S20" s="1560"/>
      <c r="T20" s="1559"/>
      <c r="U20" s="1560"/>
      <c r="V20" s="1559"/>
      <c r="W20" s="1560"/>
      <c r="X20" s="1553"/>
      <c r="Y20" s="3461"/>
      <c r="Z20" s="1561"/>
      <c r="AA20" s="1562">
        <v>1</v>
      </c>
      <c r="AB20" s="1562">
        <v>1</v>
      </c>
      <c r="AC20" s="1562">
        <v>1</v>
      </c>
    </row>
    <row r="21" spans="1:29" ht="28.5">
      <c r="A21" s="532"/>
      <c r="B21" s="2555" t="s">
        <v>2555</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7"/>
      <c r="M21" s="2119"/>
      <c r="N21" s="2119"/>
      <c r="O21" s="2126"/>
      <c r="P21" s="3461"/>
      <c r="Q21" s="2543" t="str">
        <f>B21</f>
        <v>基础设施水平</v>
      </c>
      <c r="R21" s="1559" t="s">
        <v>8</v>
      </c>
      <c r="S21" s="1560">
        <f>F21</f>
        <v>100</v>
      </c>
      <c r="T21" s="1559" t="s">
        <v>8</v>
      </c>
      <c r="U21" s="1560">
        <f>H21</f>
        <v>100</v>
      </c>
      <c r="V21" s="1559" t="s">
        <v>8</v>
      </c>
      <c r="W21" s="1560">
        <f>J21</f>
        <v>100</v>
      </c>
      <c r="X21" s="2545"/>
      <c r="Y21" s="3461"/>
      <c r="Z21" s="2544" t="str">
        <f>Q21</f>
        <v>基础设施水平</v>
      </c>
      <c r="AA21" s="1562">
        <f t="shared" ref="AA21" si="8">D21/F21</f>
        <v>1</v>
      </c>
      <c r="AB21" s="1562">
        <f t="shared" ref="AB21" si="9">D21/H21</f>
        <v>1</v>
      </c>
      <c r="AC21" s="1562">
        <f t="shared" ref="AC21" si="10">D21/J21</f>
        <v>1</v>
      </c>
    </row>
    <row r="22" spans="1:29" ht="15">
      <c r="A22" s="532"/>
      <c r="B22" s="578"/>
      <c r="C22" s="873"/>
      <c r="D22" s="555"/>
      <c r="E22" s="576"/>
      <c r="F22" s="557"/>
      <c r="G22" s="576"/>
      <c r="H22" s="555"/>
      <c r="I22" s="576"/>
      <c r="J22" s="555"/>
      <c r="K22" s="2566"/>
      <c r="L22" s="2127"/>
      <c r="M22" s="2119"/>
      <c r="N22" s="2119"/>
      <c r="O22" s="2126"/>
      <c r="P22" s="3461"/>
      <c r="Q22" s="2543"/>
      <c r="R22" s="1559"/>
      <c r="S22" s="1560"/>
      <c r="T22" s="1559"/>
      <c r="U22" s="1560"/>
      <c r="V22" s="1559"/>
      <c r="W22" s="1560"/>
      <c r="X22" s="2545"/>
      <c r="Y22" s="3461"/>
      <c r="Z22" s="2544"/>
      <c r="AA22" s="1562">
        <v>1</v>
      </c>
      <c r="AB22" s="1562">
        <v>1</v>
      </c>
      <c r="AC22" s="1562">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7"/>
      <c r="M23" s="2119"/>
      <c r="N23" s="2119"/>
      <c r="O23" s="2126"/>
      <c r="P23" s="3461"/>
      <c r="Q23" s="1558" t="str">
        <f>B23</f>
        <v>环境质量</v>
      </c>
      <c r="R23" s="1559" t="s">
        <v>8</v>
      </c>
      <c r="S23" s="1560">
        <f>F23</f>
        <v>100</v>
      </c>
      <c r="T23" s="1559" t="s">
        <v>8</v>
      </c>
      <c r="U23" s="1560">
        <f>H23</f>
        <v>100</v>
      </c>
      <c r="V23" s="1559" t="s">
        <v>8</v>
      </c>
      <c r="W23" s="1560">
        <f>J23</f>
        <v>100</v>
      </c>
      <c r="X23" s="1553"/>
      <c r="Y23" s="3461"/>
      <c r="Z23" s="1561" t="str">
        <f>Q23</f>
        <v>环境质量</v>
      </c>
      <c r="AA23" s="1562">
        <f t="shared" si="3"/>
        <v>1</v>
      </c>
      <c r="AB23" s="1562">
        <f t="shared" si="4"/>
        <v>1</v>
      </c>
      <c r="AC23" s="1562">
        <f t="shared" si="5"/>
        <v>1</v>
      </c>
    </row>
    <row r="24" spans="1:29" ht="15">
      <c r="A24" s="532"/>
      <c r="B24" s="922"/>
      <c r="C24" s="576"/>
      <c r="D24" s="555"/>
      <c r="E24" s="556"/>
      <c r="F24" s="557"/>
      <c r="G24" s="558"/>
      <c r="H24" s="555"/>
      <c r="I24" s="556"/>
      <c r="J24" s="555"/>
      <c r="K24" s="899"/>
      <c r="L24" s="2127"/>
      <c r="M24" s="2119"/>
      <c r="N24" s="2119"/>
      <c r="O24" s="2126"/>
      <c r="P24" s="3461"/>
      <c r="Q24" s="1558"/>
      <c r="R24" s="1559"/>
      <c r="S24" s="1560"/>
      <c r="T24" s="1559"/>
      <c r="U24" s="1560"/>
      <c r="V24" s="1559"/>
      <c r="W24" s="1560"/>
      <c r="X24" s="1553"/>
      <c r="Y24" s="3461"/>
      <c r="Z24" s="1561"/>
      <c r="AA24" s="1562">
        <v>1</v>
      </c>
      <c r="AB24" s="1562">
        <v>1</v>
      </c>
      <c r="AC24" s="156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7"/>
      <c r="M25" s="2119"/>
      <c r="N25" s="2119"/>
      <c r="O25" s="2126"/>
      <c r="P25" s="3461"/>
      <c r="Q25" s="1558">
        <f>B25</f>
        <v>111</v>
      </c>
      <c r="R25" s="1559" t="s">
        <v>8</v>
      </c>
      <c r="S25" s="1560">
        <f>F25</f>
        <v>100</v>
      </c>
      <c r="T25" s="1559" t="s">
        <v>8</v>
      </c>
      <c r="U25" s="1560">
        <f>H25</f>
        <v>100</v>
      </c>
      <c r="V25" s="1559" t="s">
        <v>8</v>
      </c>
      <c r="W25" s="1560">
        <f>J25</f>
        <v>100</v>
      </c>
      <c r="X25" s="1553"/>
      <c r="Y25" s="3461"/>
      <c r="Z25" s="1561">
        <f>Q25</f>
        <v>111</v>
      </c>
      <c r="AA25" s="1562">
        <f t="shared" si="3"/>
        <v>1</v>
      </c>
      <c r="AB25" s="1562">
        <f t="shared" si="4"/>
        <v>1</v>
      </c>
      <c r="AC25" s="156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7"/>
      <c r="M26" s="2119"/>
      <c r="N26" s="2119"/>
      <c r="O26" s="2126"/>
      <c r="P26" s="3461"/>
      <c r="Q26" s="1558">
        <f t="shared" ref="Q26:Q40" si="11">B26</f>
        <v>111</v>
      </c>
      <c r="R26" s="1559" t="s">
        <v>8</v>
      </c>
      <c r="S26" s="1560">
        <f>F26</f>
        <v>100</v>
      </c>
      <c r="T26" s="1559" t="s">
        <v>8</v>
      </c>
      <c r="U26" s="1560">
        <f>H26</f>
        <v>100</v>
      </c>
      <c r="V26" s="1559" t="s">
        <v>8</v>
      </c>
      <c r="W26" s="1560">
        <f>J26</f>
        <v>100</v>
      </c>
      <c r="X26" s="1553"/>
      <c r="Y26" s="3461"/>
      <c r="Z26" s="1561">
        <f>Q26</f>
        <v>111</v>
      </c>
      <c r="AA26" s="1562">
        <f t="shared" si="3"/>
        <v>1</v>
      </c>
      <c r="AB26" s="1562">
        <f t="shared" si="4"/>
        <v>1</v>
      </c>
      <c r="AC26" s="1562">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0"/>
      <c r="M27" s="2121"/>
      <c r="N27" s="2121"/>
      <c r="O27" s="2122"/>
      <c r="P27" s="3461"/>
      <c r="Q27" s="1147">
        <f t="shared" si="11"/>
        <v>111</v>
      </c>
      <c r="R27" s="1554" t="s">
        <v>8</v>
      </c>
      <c r="S27" s="1555">
        <f>F27</f>
        <v>100</v>
      </c>
      <c r="T27" s="1554" t="s">
        <v>8</v>
      </c>
      <c r="U27" s="1555">
        <f>H27</f>
        <v>100</v>
      </c>
      <c r="V27" s="1554" t="s">
        <v>8</v>
      </c>
      <c r="W27" s="1555">
        <f>J27</f>
        <v>100</v>
      </c>
      <c r="X27" s="1556"/>
      <c r="Y27" s="3461"/>
      <c r="Z27" s="1146">
        <f>Q27</f>
        <v>111</v>
      </c>
      <c r="AA27" s="1562">
        <f>D27/F27</f>
        <v>1</v>
      </c>
      <c r="AB27" s="1562">
        <f>D27/H27</f>
        <v>1</v>
      </c>
      <c r="AC27" s="1562">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7"/>
      <c r="M28" s="2119"/>
      <c r="N28" s="2119"/>
      <c r="O28" s="2126"/>
      <c r="P28" s="3461"/>
      <c r="Q28" s="1558">
        <f t="shared" si="11"/>
        <v>111</v>
      </c>
      <c r="R28" s="1559" t="s">
        <v>8</v>
      </c>
      <c r="S28" s="1560">
        <f t="shared" ref="S28:S40" si="12">F28</f>
        <v>100</v>
      </c>
      <c r="T28" s="1559" t="s">
        <v>8</v>
      </c>
      <c r="U28" s="1560">
        <f t="shared" ref="U28:U40" si="13">H28</f>
        <v>100</v>
      </c>
      <c r="V28" s="1559" t="s">
        <v>8</v>
      </c>
      <c r="W28" s="1560">
        <f t="shared" ref="W28:W40" si="14">J28</f>
        <v>100</v>
      </c>
      <c r="X28" s="1553"/>
      <c r="Y28" s="3461"/>
      <c r="Z28" s="1561">
        <f t="shared" ref="Z28:Z40" si="15">Q28</f>
        <v>111</v>
      </c>
      <c r="AA28" s="1562">
        <f t="shared" si="3"/>
        <v>1</v>
      </c>
      <c r="AB28" s="1562">
        <f t="shared" si="4"/>
        <v>1</v>
      </c>
      <c r="AC28" s="1562">
        <f t="shared" si="5"/>
        <v>1</v>
      </c>
    </row>
    <row r="29" spans="1:29" ht="15">
      <c r="A29" s="2862" t="s">
        <v>2752</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7"/>
      <c r="M29" s="2119"/>
      <c r="N29" s="2119"/>
      <c r="O29" s="2126"/>
      <c r="P29" s="3462" t="s">
        <v>550</v>
      </c>
      <c r="Q29" s="1558" t="str">
        <f t="shared" si="11"/>
        <v>建筑类型</v>
      </c>
      <c r="R29" s="1559" t="s">
        <v>8</v>
      </c>
      <c r="S29" s="1560">
        <f t="shared" si="12"/>
        <v>100</v>
      </c>
      <c r="T29" s="1559" t="s">
        <v>8</v>
      </c>
      <c r="U29" s="1560">
        <f t="shared" si="13"/>
        <v>100</v>
      </c>
      <c r="V29" s="1559" t="s">
        <v>8</v>
      </c>
      <c r="W29" s="1560">
        <f t="shared" si="14"/>
        <v>100</v>
      </c>
      <c r="X29" s="1553"/>
      <c r="Y29" s="3463" t="s">
        <v>550</v>
      </c>
      <c r="Z29" s="1561" t="str">
        <f t="shared" si="15"/>
        <v>建筑类型</v>
      </c>
      <c r="AA29" s="1562">
        <f t="shared" si="3"/>
        <v>1</v>
      </c>
      <c r="AB29" s="1562">
        <f t="shared" si="4"/>
        <v>1</v>
      </c>
      <c r="AC29" s="1562">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5"/>
      <c r="M30" s="2156"/>
      <c r="N30" s="2156"/>
      <c r="O30" s="2128"/>
      <c r="P30" s="3463"/>
      <c r="Q30" s="1590" t="str">
        <f t="shared" si="11"/>
        <v>项目建筑规模</v>
      </c>
      <c r="R30" s="1563" t="s">
        <v>8</v>
      </c>
      <c r="S30" s="1564" t="e">
        <f t="shared" si="12"/>
        <v>#N/A</v>
      </c>
      <c r="T30" s="1563" t="s">
        <v>8</v>
      </c>
      <c r="U30" s="1564" t="e">
        <f t="shared" si="13"/>
        <v>#N/A</v>
      </c>
      <c r="V30" s="1563" t="s">
        <v>8</v>
      </c>
      <c r="W30" s="1564" t="e">
        <f t="shared" si="14"/>
        <v>#N/A</v>
      </c>
      <c r="X30" s="1565"/>
      <c r="Y30" s="3463"/>
      <c r="Z30" s="1566" t="str">
        <f t="shared" si="15"/>
        <v>项目建筑规模</v>
      </c>
      <c r="AA30" s="1562" t="e">
        <f t="shared" si="3"/>
        <v>#N/A</v>
      </c>
      <c r="AB30" s="1562" t="e">
        <f t="shared" si="4"/>
        <v>#N/A</v>
      </c>
      <c r="AC30" s="1562"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7"/>
      <c r="M31" s="2119"/>
      <c r="N31" s="2119"/>
      <c r="O31" s="2126"/>
      <c r="P31" s="3463"/>
      <c r="Q31" s="1558" t="str">
        <f t="shared" si="11"/>
        <v>建筑结构</v>
      </c>
      <c r="R31" s="1559" t="s">
        <v>8</v>
      </c>
      <c r="S31" s="1560">
        <f t="shared" si="12"/>
        <v>100</v>
      </c>
      <c r="T31" s="1559" t="s">
        <v>8</v>
      </c>
      <c r="U31" s="1560">
        <f t="shared" si="13"/>
        <v>100</v>
      </c>
      <c r="V31" s="1559" t="s">
        <v>8</v>
      </c>
      <c r="W31" s="1560">
        <f t="shared" si="14"/>
        <v>100</v>
      </c>
      <c r="X31" s="1553"/>
      <c r="Y31" s="3463"/>
      <c r="Z31" s="1561" t="str">
        <f t="shared" si="15"/>
        <v>建筑结构</v>
      </c>
      <c r="AA31" s="1562">
        <f t="shared" si="3"/>
        <v>1</v>
      </c>
      <c r="AB31" s="1562">
        <f t="shared" si="4"/>
        <v>1</v>
      </c>
      <c r="AC31" s="1562">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7"/>
      <c r="M32" s="2119"/>
      <c r="N32" s="2119"/>
      <c r="O32" s="2126"/>
      <c r="P32" s="3463"/>
      <c r="Q32" s="1558" t="str">
        <f t="shared" si="11"/>
        <v>公共部分装修</v>
      </c>
      <c r="R32" s="1559" t="s">
        <v>8</v>
      </c>
      <c r="S32" s="1560">
        <f t="shared" si="12"/>
        <v>100</v>
      </c>
      <c r="T32" s="1559" t="s">
        <v>8</v>
      </c>
      <c r="U32" s="1560">
        <f t="shared" si="13"/>
        <v>100</v>
      </c>
      <c r="V32" s="1559" t="s">
        <v>8</v>
      </c>
      <c r="W32" s="1560">
        <f t="shared" si="14"/>
        <v>100</v>
      </c>
      <c r="X32" s="1553"/>
      <c r="Y32" s="3463"/>
      <c r="Z32" s="1561" t="str">
        <f t="shared" si="15"/>
        <v>公共部分装修</v>
      </c>
      <c r="AA32" s="1562">
        <f t="shared" si="3"/>
        <v>1</v>
      </c>
      <c r="AB32" s="1562">
        <f t="shared" si="4"/>
        <v>1</v>
      </c>
      <c r="AC32" s="1562">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7"/>
      <c r="M33" s="2119"/>
      <c r="N33" s="2119"/>
      <c r="O33" s="2126"/>
      <c r="P33" s="3463"/>
      <c r="Q33" s="1558" t="str">
        <f t="shared" si="11"/>
        <v>成新度</v>
      </c>
      <c r="R33" s="1559" t="s">
        <v>8</v>
      </c>
      <c r="S33" s="1560" t="e">
        <f t="shared" si="12"/>
        <v>#N/A</v>
      </c>
      <c r="T33" s="1559" t="s">
        <v>8</v>
      </c>
      <c r="U33" s="1560" t="e">
        <f t="shared" si="13"/>
        <v>#N/A</v>
      </c>
      <c r="V33" s="1559" t="s">
        <v>8</v>
      </c>
      <c r="W33" s="1560" t="e">
        <f t="shared" si="14"/>
        <v>#N/A</v>
      </c>
      <c r="X33" s="1553"/>
      <c r="Y33" s="3463"/>
      <c r="Z33" s="1561" t="str">
        <f t="shared" si="15"/>
        <v>成新度</v>
      </c>
      <c r="AA33" s="1562" t="e">
        <f t="shared" si="3"/>
        <v>#N/A</v>
      </c>
      <c r="AB33" s="1562" t="e">
        <f t="shared" si="4"/>
        <v>#N/A</v>
      </c>
      <c r="AC33" s="1562"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0"/>
      <c r="M34" s="2121"/>
      <c r="N34" s="2121"/>
      <c r="O34" s="2122"/>
      <c r="P34" s="3463"/>
      <c r="Q34" s="1147" t="str">
        <f t="shared" si="11"/>
        <v>物业管理</v>
      </c>
      <c r="R34" s="1554" t="s">
        <v>8</v>
      </c>
      <c r="S34" s="1555">
        <f t="shared" si="12"/>
        <v>100</v>
      </c>
      <c r="T34" s="1554" t="s">
        <v>8</v>
      </c>
      <c r="U34" s="1555">
        <f t="shared" si="13"/>
        <v>100</v>
      </c>
      <c r="V34" s="1554" t="s">
        <v>8</v>
      </c>
      <c r="W34" s="1555">
        <f t="shared" si="14"/>
        <v>100</v>
      </c>
      <c r="X34" s="1556"/>
      <c r="Y34" s="3463"/>
      <c r="Z34" s="1146" t="str">
        <f t="shared" si="15"/>
        <v>物业管理</v>
      </c>
      <c r="AA34" s="1557">
        <f t="shared" si="3"/>
        <v>1</v>
      </c>
      <c r="AB34" s="1557">
        <f t="shared" si="4"/>
        <v>1</v>
      </c>
      <c r="AC34" s="1557">
        <f t="shared" si="5"/>
        <v>1</v>
      </c>
    </row>
    <row r="35" spans="1:29" ht="15">
      <c r="A35" s="594"/>
      <c r="B35" s="1880" t="s">
        <v>2562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7"/>
      <c r="M35" s="2119"/>
      <c r="N35" s="2119"/>
      <c r="O35" s="2126"/>
      <c r="P35" s="3463" t="s">
        <v>550</v>
      </c>
      <c r="Q35" s="1558" t="str">
        <f t="shared" si="11"/>
        <v>市政基础设施</v>
      </c>
      <c r="R35" s="1559" t="s">
        <v>8</v>
      </c>
      <c r="S35" s="1560">
        <f t="shared" si="12"/>
        <v>100</v>
      </c>
      <c r="T35" s="1559" t="s">
        <v>8</v>
      </c>
      <c r="U35" s="1560">
        <f t="shared" si="13"/>
        <v>100</v>
      </c>
      <c r="V35" s="1559" t="s">
        <v>8</v>
      </c>
      <c r="W35" s="1560">
        <f t="shared" si="14"/>
        <v>100</v>
      </c>
      <c r="X35" s="1553"/>
      <c r="Y35" s="3463" t="s">
        <v>550</v>
      </c>
      <c r="Z35" s="1561" t="str">
        <f t="shared" si="15"/>
        <v>市政基础设施</v>
      </c>
      <c r="AA35" s="1562">
        <f t="shared" si="3"/>
        <v>1</v>
      </c>
      <c r="AB35" s="1562">
        <f t="shared" si="4"/>
        <v>1</v>
      </c>
      <c r="AC35" s="1562">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7"/>
      <c r="M36" s="2119"/>
      <c r="N36" s="2119"/>
      <c r="O36" s="2126"/>
      <c r="P36" s="3463"/>
      <c r="Q36" s="1558" t="str">
        <f t="shared" si="11"/>
        <v>内部装修</v>
      </c>
      <c r="R36" s="1559" t="s">
        <v>8</v>
      </c>
      <c r="S36" s="1560">
        <f t="shared" si="12"/>
        <v>100</v>
      </c>
      <c r="T36" s="1559" t="s">
        <v>8</v>
      </c>
      <c r="U36" s="1560">
        <f t="shared" si="13"/>
        <v>100</v>
      </c>
      <c r="V36" s="1559" t="s">
        <v>8</v>
      </c>
      <c r="W36" s="1560">
        <f t="shared" si="14"/>
        <v>100</v>
      </c>
      <c r="X36" s="1553"/>
      <c r="Y36" s="3463"/>
      <c r="Z36" s="1561" t="str">
        <f t="shared" si="15"/>
        <v>内部装修</v>
      </c>
      <c r="AA36" s="1562">
        <f t="shared" si="3"/>
        <v>1</v>
      </c>
      <c r="AB36" s="1562">
        <f t="shared" si="4"/>
        <v>1</v>
      </c>
      <c r="AC36" s="1562">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7"/>
      <c r="M37" s="2119"/>
      <c r="N37" s="2119"/>
      <c r="O37" s="2126"/>
      <c r="P37" s="3463"/>
      <c r="Q37" s="1558" t="str">
        <f t="shared" si="11"/>
        <v>内部装修状况</v>
      </c>
      <c r="R37" s="1559" t="s">
        <v>8</v>
      </c>
      <c r="S37" s="1560">
        <f t="shared" si="12"/>
        <v>100</v>
      </c>
      <c r="T37" s="1559" t="s">
        <v>8</v>
      </c>
      <c r="U37" s="1560">
        <f t="shared" si="13"/>
        <v>100</v>
      </c>
      <c r="V37" s="1559" t="s">
        <v>8</v>
      </c>
      <c r="W37" s="1560">
        <f t="shared" si="14"/>
        <v>100</v>
      </c>
      <c r="X37" s="1553"/>
      <c r="Y37" s="3463"/>
      <c r="Z37" s="1561" t="str">
        <f t="shared" si="15"/>
        <v>内部装修状况</v>
      </c>
      <c r="AA37" s="1562">
        <f t="shared" si="3"/>
        <v>1</v>
      </c>
      <c r="AB37" s="1562">
        <f t="shared" si="4"/>
        <v>1</v>
      </c>
      <c r="AC37" s="1562">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5"/>
      <c r="M38" s="2156"/>
      <c r="N38" s="2156"/>
      <c r="O38" s="2128"/>
      <c r="P38" s="3463"/>
      <c r="Q38" s="1590">
        <f t="shared" si="11"/>
        <v>111</v>
      </c>
      <c r="R38" s="1563" t="s">
        <v>8</v>
      </c>
      <c r="S38" s="1564">
        <f t="shared" si="12"/>
        <v>100</v>
      </c>
      <c r="T38" s="1563" t="s">
        <v>8</v>
      </c>
      <c r="U38" s="1564">
        <f t="shared" si="13"/>
        <v>100</v>
      </c>
      <c r="V38" s="1563" t="s">
        <v>8</v>
      </c>
      <c r="W38" s="1564">
        <f t="shared" si="14"/>
        <v>100</v>
      </c>
      <c r="X38" s="1565"/>
      <c r="Y38" s="3463"/>
      <c r="Z38" s="1566">
        <f t="shared" si="15"/>
        <v>111</v>
      </c>
      <c r="AA38" s="1562">
        <f t="shared" si="3"/>
        <v>1</v>
      </c>
      <c r="AB38" s="1562">
        <f t="shared" si="4"/>
        <v>1</v>
      </c>
      <c r="AC38" s="1562">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7"/>
      <c r="M39" s="2119"/>
      <c r="N39" s="2119"/>
      <c r="O39" s="2126"/>
      <c r="P39" s="3463"/>
      <c r="Q39" s="1558">
        <f t="shared" si="11"/>
        <v>111</v>
      </c>
      <c r="R39" s="1559" t="s">
        <v>8</v>
      </c>
      <c r="S39" s="1560">
        <f t="shared" si="12"/>
        <v>100</v>
      </c>
      <c r="T39" s="1559" t="s">
        <v>8</v>
      </c>
      <c r="U39" s="1560">
        <f t="shared" si="13"/>
        <v>100</v>
      </c>
      <c r="V39" s="1559" t="s">
        <v>8</v>
      </c>
      <c r="W39" s="1560">
        <f t="shared" si="14"/>
        <v>100</v>
      </c>
      <c r="X39" s="1553"/>
      <c r="Y39" s="3463"/>
      <c r="Z39" s="1561">
        <f t="shared" si="15"/>
        <v>111</v>
      </c>
      <c r="AA39" s="1562">
        <f t="shared" si="3"/>
        <v>1</v>
      </c>
      <c r="AB39" s="1562">
        <f t="shared" si="4"/>
        <v>1</v>
      </c>
      <c r="AC39" s="1562">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7"/>
      <c r="M40" s="2119"/>
      <c r="N40" s="2119"/>
      <c r="O40" s="2126"/>
      <c r="P40" s="3544"/>
      <c r="Q40" s="1558">
        <f t="shared" si="11"/>
        <v>111</v>
      </c>
      <c r="R40" s="1559" t="s">
        <v>8</v>
      </c>
      <c r="S40" s="1560">
        <f t="shared" si="12"/>
        <v>100</v>
      </c>
      <c r="T40" s="1559" t="s">
        <v>8</v>
      </c>
      <c r="U40" s="1560">
        <f t="shared" si="13"/>
        <v>100</v>
      </c>
      <c r="V40" s="1559" t="s">
        <v>8</v>
      </c>
      <c r="W40" s="1560">
        <f t="shared" si="14"/>
        <v>100</v>
      </c>
      <c r="X40" s="1553"/>
      <c r="Y40" s="3544"/>
      <c r="Z40" s="1561">
        <f t="shared" si="15"/>
        <v>111</v>
      </c>
      <c r="AA40" s="1562">
        <f t="shared" si="3"/>
        <v>1</v>
      </c>
      <c r="AB40" s="1562">
        <f t="shared" si="4"/>
        <v>1</v>
      </c>
      <c r="AC40" s="1562">
        <f t="shared" si="5"/>
        <v>1</v>
      </c>
    </row>
    <row r="41" spans="1:29" ht="15">
      <c r="A41" s="607" t="s">
        <v>736</v>
      </c>
      <c r="B41" s="887"/>
      <c r="C41" s="2591" t="s">
        <v>1</v>
      </c>
      <c r="D41" s="2592"/>
      <c r="E41" s="2593"/>
      <c r="F41" s="2594"/>
      <c r="G41" s="2595"/>
      <c r="H41" s="2596"/>
      <c r="I41" s="2593"/>
      <c r="J41" s="2596"/>
      <c r="K41" s="1596"/>
      <c r="L41" s="2129"/>
      <c r="M41" s="2130"/>
      <c r="N41" s="2119"/>
      <c r="O41" s="2130"/>
      <c r="P41" s="3424" t="str">
        <f>A41</f>
        <v>成交单价（元/平方米）</v>
      </c>
      <c r="Q41" s="3424"/>
      <c r="R41" s="3542">
        <f>E41</f>
        <v>0</v>
      </c>
      <c r="S41" s="3542"/>
      <c r="T41" s="3542">
        <f>G41</f>
        <v>0</v>
      </c>
      <c r="U41" s="3542"/>
      <c r="V41" s="3542">
        <f>I41</f>
        <v>0</v>
      </c>
      <c r="W41" s="3542"/>
      <c r="X41" s="1545"/>
      <c r="Y41" s="1567"/>
      <c r="Z41" s="1545"/>
      <c r="AA41" s="1545"/>
      <c r="AB41" s="1545"/>
      <c r="AC41" s="1545"/>
    </row>
    <row r="42" spans="1:29" ht="15.75" thickBot="1">
      <c r="A42" s="615" t="s">
        <v>2757</v>
      </c>
      <c r="B42" s="888"/>
      <c r="C42" s="2597" t="e">
        <f>R43</f>
        <v>#DIV/0!</v>
      </c>
      <c r="D42" s="2598"/>
      <c r="E42" s="2599" t="e">
        <f>R42</f>
        <v>#DIV/0!</v>
      </c>
      <c r="F42" s="2599"/>
      <c r="G42" s="2597" t="e">
        <f>T42</f>
        <v>#DIV/0!</v>
      </c>
      <c r="H42" s="2598"/>
      <c r="I42" s="2599" t="e">
        <f>V42</f>
        <v>#DIV/0!</v>
      </c>
      <c r="J42" s="2598"/>
      <c r="K42" s="1597"/>
      <c r="L42" s="2129"/>
      <c r="M42" s="2130"/>
      <c r="N42" s="2119"/>
      <c r="O42" s="2130"/>
      <c r="P42" s="3424" t="str">
        <f>A42</f>
        <v>比较价格（元/平方米）</v>
      </c>
      <c r="Q42" s="3424"/>
      <c r="R42" s="3542" t="e">
        <f>IF(F1="售价",ROUND(PRODUCT(R41,AA7:AA40),0),ROUND(PRODUCT(R41,AA7:AA40),1))</f>
        <v>#DIV/0!</v>
      </c>
      <c r="S42" s="3542"/>
      <c r="T42" s="3542" t="e">
        <f>IF(F1="售价",ROUND(PRODUCT(T41,AB7:AB40),0),ROUND(PRODUCT(T41,AB7:AB40),1))</f>
        <v>#DIV/0!</v>
      </c>
      <c r="U42" s="3542"/>
      <c r="V42" s="3542" t="e">
        <f>IF(F1="售价",ROUND(PRODUCT(V41,AC7:AC40),0),ROUND(PRODUCT(V41,AC7:AC40),1))</f>
        <v>#DIV/0!</v>
      </c>
      <c r="W42" s="3542"/>
      <c r="X42" s="1545"/>
      <c r="Y42" s="1545"/>
      <c r="Z42" s="1545"/>
      <c r="AA42" s="1545"/>
      <c r="AB42" s="1545"/>
      <c r="AC42" s="1545"/>
    </row>
    <row r="43" spans="1:29" ht="15.75" thickBot="1">
      <c r="A43" s="621" t="s">
        <v>2928</v>
      </c>
      <c r="B43" s="622"/>
      <c r="C43" s="2600" t="e">
        <f>R43</f>
        <v>#DIV/0!</v>
      </c>
      <c r="D43" s="2600"/>
      <c r="E43" s="2600"/>
      <c r="F43" s="2600"/>
      <c r="G43" s="2600"/>
      <c r="H43" s="2600"/>
      <c r="I43" s="2600"/>
      <c r="J43" s="2600"/>
      <c r="K43" s="1598"/>
      <c r="L43" s="2129"/>
      <c r="M43" s="2130"/>
      <c r="N43" s="2130"/>
      <c r="O43" s="2130"/>
      <c r="P43" s="3421" t="str">
        <f>A43</f>
        <v>估价对象XX用房的比较价格（楼面单价，元/平方米）</v>
      </c>
      <c r="Q43" s="3422"/>
      <c r="R43" s="3543" t="e">
        <f>IF(F1="售价",ROUND(AVERAGE(R42:V42),0),ROUND(AVERAGE(R42:V42),1))</f>
        <v>#DIV/0!</v>
      </c>
      <c r="S43" s="3543"/>
      <c r="T43" s="3543"/>
      <c r="U43" s="3543"/>
      <c r="V43" s="3543"/>
      <c r="W43" s="3543"/>
      <c r="X43" s="1545"/>
      <c r="Y43" s="1545"/>
      <c r="Z43" s="1545"/>
      <c r="AA43" s="1545"/>
      <c r="AB43" s="1545"/>
      <c r="AC43" s="1545"/>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1" customFormat="1" ht="13.5" customHeight="1">
      <c r="A48" s="2131"/>
      <c r="B48" s="2131"/>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1"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0" t="s">
        <v>574</v>
      </c>
      <c r="B51" s="1545"/>
      <c r="C51" s="1569"/>
      <c r="D51" s="1569"/>
      <c r="E51" s="1569"/>
      <c r="F51" s="1571"/>
      <c r="G51" s="1571"/>
      <c r="H51" s="1569"/>
      <c r="I51" s="1569"/>
      <c r="J51" s="1569"/>
      <c r="K51" s="1572"/>
      <c r="L51" s="1568"/>
      <c r="M51" s="1569"/>
      <c r="N51" s="1569"/>
      <c r="O51" s="1569"/>
      <c r="P51" s="2142"/>
      <c r="Q51" s="2143"/>
      <c r="R51" s="2130"/>
      <c r="S51" s="2130"/>
      <c r="T51" s="2130"/>
      <c r="U51" s="2130"/>
      <c r="V51" s="2130"/>
      <c r="W51" s="2130"/>
      <c r="X51" s="2130"/>
      <c r="Y51" s="2130"/>
      <c r="Z51" s="2130"/>
      <c r="AA51" s="2130"/>
      <c r="AB51" s="2130"/>
      <c r="AC51" s="2130"/>
    </row>
    <row r="52" spans="1:29" s="1343" customFormat="1" ht="15">
      <c r="A52" s="645" t="s">
        <v>529</v>
      </c>
      <c r="B52" s="646"/>
      <c r="C52" s="2757" t="str">
        <f>YEAR(C7)&amp;"-"&amp;MONTH(C7)</f>
        <v>2020-2</v>
      </c>
      <c r="D52" s="2759">
        <f>EDATE(C52,-1)</f>
        <v>43831</v>
      </c>
      <c r="E52" s="2759">
        <f t="shared" ref="E52:O52" si="16">EDATE(D52,-1)</f>
        <v>43800</v>
      </c>
      <c r="F52" s="2759">
        <f t="shared" si="16"/>
        <v>43770</v>
      </c>
      <c r="G52" s="2759">
        <f t="shared" si="16"/>
        <v>43739</v>
      </c>
      <c r="H52" s="2759">
        <f t="shared" si="16"/>
        <v>43709</v>
      </c>
      <c r="I52" s="2759">
        <f t="shared" si="16"/>
        <v>43678</v>
      </c>
      <c r="J52" s="2759">
        <f t="shared" si="16"/>
        <v>43647</v>
      </c>
      <c r="K52" s="2759">
        <f t="shared" si="16"/>
        <v>43617</v>
      </c>
      <c r="L52" s="2759">
        <f t="shared" si="16"/>
        <v>43586</v>
      </c>
      <c r="M52" s="2759">
        <f t="shared" si="16"/>
        <v>43556</v>
      </c>
      <c r="N52" s="2759">
        <f t="shared" si="16"/>
        <v>43525</v>
      </c>
      <c r="O52" s="2759">
        <f t="shared" si="16"/>
        <v>43497</v>
      </c>
      <c r="P52" s="2145"/>
      <c r="Q52" s="2146"/>
      <c r="R52" s="2146"/>
      <c r="S52" s="2146"/>
      <c r="T52" s="2146"/>
      <c r="U52" s="2146"/>
      <c r="V52" s="2146"/>
      <c r="W52" s="2146"/>
      <c r="X52" s="2146"/>
      <c r="Y52" s="2146"/>
      <c r="Z52" s="2146"/>
      <c r="AA52" s="2146"/>
      <c r="AB52" s="2146"/>
      <c r="AC52" s="2146"/>
    </row>
    <row r="53" spans="1:29" s="1216" customFormat="1" ht="15">
      <c r="A53" s="647"/>
      <c r="B53" s="648"/>
      <c r="C53" s="649">
        <v>100</v>
      </c>
      <c r="D53" s="650"/>
      <c r="E53" s="650"/>
      <c r="F53" s="650"/>
      <c r="G53" s="650"/>
      <c r="H53" s="650"/>
      <c r="I53" s="650"/>
      <c r="J53" s="650"/>
      <c r="K53" s="650"/>
      <c r="L53" s="650"/>
      <c r="M53" s="651"/>
      <c r="N53" s="650"/>
      <c r="O53" s="652"/>
      <c r="P53" s="2143"/>
      <c r="Q53" s="1978"/>
      <c r="R53" s="1978"/>
      <c r="S53" s="1978"/>
      <c r="T53" s="1978"/>
      <c r="U53" s="1978"/>
      <c r="V53" s="1978"/>
      <c r="W53" s="1978"/>
      <c r="X53" s="1978"/>
      <c r="Y53" s="1978"/>
      <c r="Z53" s="1978"/>
      <c r="AA53" s="1978"/>
      <c r="AB53" s="1978"/>
      <c r="AC53" s="1978"/>
    </row>
    <row r="54" spans="1:29" s="1216" customFormat="1" ht="15.75" thickBot="1">
      <c r="A54" s="653" t="s">
        <v>575</v>
      </c>
      <c r="B54" s="654"/>
      <c r="C54" s="655"/>
      <c r="D54" s="656"/>
      <c r="E54" s="656"/>
      <c r="F54" s="656"/>
      <c r="G54" s="656"/>
      <c r="H54" s="656"/>
      <c r="I54" s="656"/>
      <c r="J54" s="656"/>
      <c r="K54" s="656"/>
      <c r="L54" s="656"/>
      <c r="M54" s="657"/>
      <c r="N54" s="656"/>
      <c r="O54" s="658"/>
      <c r="P54" s="2143"/>
      <c r="Q54" s="2143"/>
      <c r="R54" s="1978"/>
      <c r="S54" s="1978"/>
      <c r="T54" s="1978"/>
      <c r="U54" s="1978"/>
      <c r="V54" s="1978"/>
      <c r="W54" s="1978"/>
      <c r="X54" s="1978"/>
      <c r="Y54" s="1978"/>
      <c r="Z54" s="1978"/>
      <c r="AA54" s="1978"/>
      <c r="AB54" s="1978"/>
      <c r="AC54" s="1978"/>
    </row>
    <row r="55" spans="1:29" s="1216" customFormat="1" ht="15">
      <c r="A55" s="659" t="s">
        <v>531</v>
      </c>
      <c r="B55" s="648"/>
      <c r="C55" s="660" t="s">
        <v>576</v>
      </c>
      <c r="D55" s="661"/>
      <c r="E55" s="661"/>
      <c r="F55" s="661"/>
      <c r="G55" s="661"/>
      <c r="H55" s="661"/>
      <c r="I55" s="661"/>
      <c r="J55" s="661"/>
      <c r="K55" s="661"/>
      <c r="L55" s="662"/>
      <c r="M55" s="663"/>
      <c r="N55" s="2147"/>
      <c r="O55" s="2147"/>
      <c r="P55" s="2148"/>
      <c r="Q55" s="2143"/>
      <c r="R55" s="1978"/>
      <c r="S55" s="1978"/>
      <c r="T55" s="1978"/>
      <c r="U55" s="1978"/>
      <c r="V55" s="1978"/>
      <c r="W55" s="1978"/>
      <c r="X55" s="1978"/>
      <c r="Y55" s="1978"/>
      <c r="Z55" s="1978"/>
      <c r="AA55" s="1978"/>
      <c r="AB55" s="1978"/>
      <c r="AC55" s="1978"/>
    </row>
    <row r="56" spans="1:29" s="1216" customFormat="1" ht="15.75" thickBot="1">
      <c r="A56" s="659"/>
      <c r="B56" s="648"/>
      <c r="C56" s="649">
        <v>100</v>
      </c>
      <c r="D56" s="650"/>
      <c r="E56" s="650"/>
      <c r="F56" s="650"/>
      <c r="G56" s="650"/>
      <c r="H56" s="650"/>
      <c r="I56" s="650"/>
      <c r="J56" s="650"/>
      <c r="K56" s="650"/>
      <c r="L56" s="650"/>
      <c r="M56" s="652"/>
      <c r="N56" s="2147"/>
      <c r="O56" s="2147"/>
      <c r="P56" s="2143"/>
      <c r="Q56" s="2143"/>
      <c r="R56" s="1978"/>
      <c r="S56" s="1978"/>
      <c r="T56" s="1978"/>
      <c r="U56" s="1978"/>
      <c r="V56" s="1978"/>
      <c r="W56" s="1978"/>
      <c r="X56" s="1978"/>
      <c r="Y56" s="1978"/>
      <c r="Z56" s="1978"/>
      <c r="AA56" s="1978"/>
      <c r="AB56" s="1978"/>
      <c r="AC56" s="1978"/>
    </row>
    <row r="57" spans="1:29">
      <c r="A57" s="664" t="s">
        <v>577</v>
      </c>
      <c r="B57" s="665" t="s">
        <v>534</v>
      </c>
      <c r="C57" s="704">
        <f>C9</f>
        <v>0</v>
      </c>
      <c r="D57" s="598"/>
      <c r="E57" s="598"/>
      <c r="F57" s="598"/>
      <c r="G57" s="598"/>
      <c r="H57" s="598"/>
      <c r="I57" s="598"/>
      <c r="J57" s="598"/>
      <c r="K57" s="666"/>
      <c r="L57" s="667"/>
      <c r="M57" s="668"/>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71"/>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49"/>
      <c r="O59" s="2149"/>
      <c r="P59" s="2150"/>
      <c r="Q59" s="2143"/>
      <c r="R59" s="2130"/>
      <c r="S59" s="2130"/>
      <c r="T59" s="2130"/>
      <c r="U59" s="2130"/>
      <c r="V59" s="2130"/>
      <c r="W59" s="2130"/>
      <c r="X59" s="2130"/>
      <c r="Y59" s="2130"/>
      <c r="Z59" s="2130"/>
      <c r="AA59" s="2130"/>
      <c r="AB59" s="2130"/>
      <c r="AC59" s="2130"/>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1"/>
      <c r="O60" s="2151"/>
      <c r="P60" s="2150"/>
      <c r="Q60" s="2143"/>
      <c r="R60" s="2130"/>
      <c r="S60" s="2130"/>
      <c r="T60" s="2130"/>
      <c r="U60" s="2130"/>
      <c r="V60" s="2130"/>
      <c r="W60" s="2130"/>
      <c r="X60" s="2130"/>
      <c r="Y60" s="2130"/>
      <c r="Z60" s="2130"/>
      <c r="AA60" s="2130"/>
      <c r="AB60" s="2130"/>
      <c r="AC60" s="2130"/>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9"/>
      <c r="B62" s="683"/>
      <c r="C62" s="541"/>
      <c r="D62" s="541"/>
      <c r="E62" s="541"/>
      <c r="F62" s="541"/>
      <c r="G62" s="541"/>
      <c r="H62" s="541"/>
      <c r="I62" s="541"/>
      <c r="J62" s="541"/>
      <c r="K62" s="684"/>
      <c r="L62" s="685"/>
      <c r="M62" s="686"/>
      <c r="N62" s="2149"/>
      <c r="O62" s="2149"/>
      <c r="P62" s="2150"/>
      <c r="Q62" s="2143"/>
      <c r="R62" s="2130"/>
      <c r="S62" s="2130"/>
      <c r="T62" s="2130"/>
      <c r="U62" s="2130"/>
      <c r="V62" s="2130"/>
      <c r="W62" s="2130"/>
      <c r="X62" s="2130"/>
      <c r="Y62" s="2130"/>
      <c r="Z62" s="2130"/>
      <c r="AA62" s="2130"/>
      <c r="AB62" s="2130"/>
      <c r="AC62" s="2130"/>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1"/>
      <c r="O63" s="2151"/>
      <c r="P63" s="2150"/>
      <c r="Q63" s="2143"/>
      <c r="R63" s="2130"/>
      <c r="S63" s="2130"/>
      <c r="T63" s="2130"/>
      <c r="U63" s="2130"/>
      <c r="V63" s="2130"/>
      <c r="W63" s="2130"/>
      <c r="X63" s="2130"/>
      <c r="Y63" s="2130"/>
      <c r="Z63" s="2130"/>
      <c r="AA63" s="2130"/>
      <c r="AB63" s="2130"/>
      <c r="AC63" s="2130"/>
    </row>
    <row r="64" spans="1:29" s="1335" customFormat="1" ht="15.75" thickTop="1">
      <c r="A64" s="687"/>
      <c r="B64" s="673">
        <f>B12</f>
        <v>111</v>
      </c>
      <c r="C64" s="688"/>
      <c r="D64" s="688"/>
      <c r="E64" s="688"/>
      <c r="F64" s="688"/>
      <c r="G64" s="688"/>
      <c r="H64" s="689"/>
      <c r="I64" s="689"/>
      <c r="J64" s="689"/>
      <c r="K64" s="689"/>
      <c r="L64" s="690"/>
      <c r="M64" s="691"/>
      <c r="N64" s="2152"/>
      <c r="O64" s="2152"/>
      <c r="P64" s="2153"/>
      <c r="Q64" s="2154"/>
      <c r="R64" s="2155"/>
      <c r="S64" s="2155"/>
      <c r="T64" s="2155"/>
      <c r="U64" s="2155"/>
      <c r="V64" s="2155"/>
      <c r="W64" s="2155"/>
      <c r="X64" s="2155"/>
      <c r="Y64" s="2155"/>
      <c r="Z64" s="2155"/>
      <c r="AA64" s="2155"/>
      <c r="AB64" s="2155"/>
      <c r="AC64" s="2155"/>
    </row>
    <row r="65" spans="1:29" s="1335" customFormat="1" ht="15.75" thickBot="1">
      <c r="A65" s="687"/>
      <c r="B65" s="678"/>
      <c r="C65" s="692"/>
      <c r="D65" s="671"/>
      <c r="E65" s="671"/>
      <c r="F65" s="671"/>
      <c r="G65" s="671"/>
      <c r="H65" s="671"/>
      <c r="I65" s="671"/>
      <c r="J65" s="671"/>
      <c r="K65" s="671"/>
      <c r="L65" s="671"/>
      <c r="M65" s="672"/>
      <c r="N65" s="2151"/>
      <c r="O65" s="2151"/>
      <c r="P65" s="2153"/>
      <c r="Q65" s="2154"/>
      <c r="R65" s="2155"/>
      <c r="S65" s="2155"/>
      <c r="T65" s="2155"/>
      <c r="U65" s="2155"/>
      <c r="V65" s="2155"/>
      <c r="W65" s="2155"/>
      <c r="X65" s="2155"/>
      <c r="Y65" s="2155"/>
      <c r="Z65" s="2155"/>
      <c r="AA65" s="2155"/>
      <c r="AB65" s="2155"/>
      <c r="AC65" s="2155"/>
    </row>
    <row r="66" spans="1:29" s="1335" customFormat="1" ht="15.75" thickTop="1">
      <c r="A66" s="687"/>
      <c r="B66" s="673">
        <f>B13</f>
        <v>111</v>
      </c>
      <c r="C66" s="688"/>
      <c r="D66" s="688"/>
      <c r="E66" s="688"/>
      <c r="F66" s="688"/>
      <c r="G66" s="688"/>
      <c r="H66" s="689"/>
      <c r="I66" s="689"/>
      <c r="J66" s="689"/>
      <c r="K66" s="689"/>
      <c r="L66" s="690"/>
      <c r="M66" s="691"/>
      <c r="N66" s="2152"/>
      <c r="O66" s="2152"/>
      <c r="P66" s="2156"/>
      <c r="Q66" s="2157"/>
      <c r="R66" s="2155"/>
      <c r="S66" s="2155"/>
      <c r="T66" s="2155"/>
      <c r="U66" s="2155"/>
      <c r="V66" s="2155"/>
      <c r="W66" s="2155"/>
      <c r="X66" s="2155"/>
      <c r="Y66" s="2155"/>
      <c r="Z66" s="2155"/>
      <c r="AA66" s="2155"/>
      <c r="AB66" s="2155"/>
      <c r="AC66" s="2155"/>
    </row>
    <row r="67" spans="1:29" s="1335" customFormat="1" ht="15.75" thickBot="1">
      <c r="A67" s="687"/>
      <c r="B67" s="678"/>
      <c r="C67" s="692"/>
      <c r="D67" s="671"/>
      <c r="E67" s="671"/>
      <c r="F67" s="671"/>
      <c r="G67" s="692"/>
      <c r="H67" s="693"/>
      <c r="I67" s="693"/>
      <c r="J67" s="693"/>
      <c r="K67" s="693"/>
      <c r="L67" s="693"/>
      <c r="M67" s="694"/>
      <c r="N67" s="2152"/>
      <c r="O67" s="2152"/>
      <c r="P67" s="2153"/>
      <c r="Q67" s="2154"/>
      <c r="R67" s="2155"/>
      <c r="S67" s="2155"/>
      <c r="T67" s="2155"/>
      <c r="U67" s="2155"/>
      <c r="V67" s="2155"/>
      <c r="W67" s="2155"/>
      <c r="X67" s="2155"/>
      <c r="Y67" s="2155"/>
      <c r="Z67" s="2155"/>
      <c r="AA67" s="2155"/>
      <c r="AB67" s="2155"/>
      <c r="AC67" s="2155"/>
    </row>
    <row r="68" spans="1:29" s="1335" customFormat="1" ht="15.75" thickTop="1">
      <c r="A68" s="687"/>
      <c r="B68" s="681">
        <f>B14</f>
        <v>111</v>
      </c>
      <c r="C68" s="661"/>
      <c r="D68" s="661"/>
      <c r="E68" s="661"/>
      <c r="F68" s="661"/>
      <c r="G68" s="661"/>
      <c r="H68" s="695"/>
      <c r="I68" s="695"/>
      <c r="J68" s="695"/>
      <c r="K68" s="695"/>
      <c r="L68" s="696"/>
      <c r="M68" s="697"/>
      <c r="N68" s="2152"/>
      <c r="O68" s="2152"/>
      <c r="P68" s="2158"/>
      <c r="Q68" s="2154"/>
      <c r="R68" s="2155"/>
      <c r="S68" s="2155"/>
      <c r="T68" s="2155"/>
      <c r="U68" s="2155"/>
      <c r="V68" s="2155"/>
      <c r="W68" s="2155"/>
      <c r="X68" s="2155"/>
      <c r="Y68" s="2155"/>
      <c r="Z68" s="2155"/>
      <c r="AA68" s="2155"/>
      <c r="AB68" s="2155"/>
      <c r="AC68" s="2155"/>
    </row>
    <row r="69" spans="1:29" s="1335" customFormat="1" ht="15.75" thickBot="1">
      <c r="A69" s="698"/>
      <c r="B69" s="699"/>
      <c r="C69" s="700"/>
      <c r="D69" s="700"/>
      <c r="E69" s="700"/>
      <c r="F69" s="700"/>
      <c r="G69" s="700"/>
      <c r="H69" s="701"/>
      <c r="I69" s="701"/>
      <c r="J69" s="701"/>
      <c r="K69" s="701"/>
      <c r="L69" s="701"/>
      <c r="M69" s="702"/>
      <c r="N69" s="2152"/>
      <c r="O69" s="2152"/>
      <c r="P69" s="2153"/>
      <c r="Q69" s="2154"/>
      <c r="R69" s="2155"/>
      <c r="S69" s="2155"/>
      <c r="T69" s="2155"/>
      <c r="U69" s="2155"/>
      <c r="V69" s="2155"/>
      <c r="W69" s="2155"/>
      <c r="X69" s="2155"/>
      <c r="Y69" s="2155"/>
      <c r="Z69" s="2155"/>
      <c r="AA69" s="2155"/>
      <c r="AB69" s="2155"/>
      <c r="AC69" s="2155"/>
    </row>
    <row r="70" spans="1:29">
      <c r="A70" s="664" t="s">
        <v>539</v>
      </c>
      <c r="B70" s="665" t="s">
        <v>585</v>
      </c>
      <c r="C70" s="703" t="s">
        <v>579</v>
      </c>
      <c r="D70" s="703" t="s">
        <v>580</v>
      </c>
      <c r="E70" s="703" t="s">
        <v>581</v>
      </c>
      <c r="F70" s="703" t="s">
        <v>582</v>
      </c>
      <c r="G70" s="703" t="s">
        <v>583</v>
      </c>
      <c r="H70" s="704"/>
      <c r="I70" s="704"/>
      <c r="J70" s="704"/>
      <c r="K70" s="705"/>
      <c r="L70" s="706"/>
      <c r="M70" s="707"/>
      <c r="N70" s="2149"/>
      <c r="O70" s="2149"/>
      <c r="P70" s="2159"/>
      <c r="Q70" s="2143"/>
      <c r="R70" s="2130"/>
      <c r="S70" s="2130"/>
      <c r="T70" s="2130"/>
      <c r="U70" s="2130"/>
      <c r="V70" s="2130"/>
      <c r="W70" s="2130"/>
      <c r="X70" s="2130"/>
      <c r="Y70" s="2130"/>
      <c r="Z70" s="2130"/>
      <c r="AA70" s="2130"/>
      <c r="AB70" s="2130"/>
      <c r="AC70" s="2130"/>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1"/>
      <c r="O71" s="2151"/>
      <c r="P71" s="2150"/>
      <c r="Q71" s="2143"/>
      <c r="R71" s="2130"/>
      <c r="S71" s="2130"/>
      <c r="T71" s="2130"/>
      <c r="U71" s="2130"/>
      <c r="V71" s="2130"/>
      <c r="W71" s="2130"/>
      <c r="X71" s="2130"/>
      <c r="Y71" s="2130"/>
      <c r="Z71" s="2130"/>
      <c r="AA71" s="2130"/>
      <c r="AB71" s="2130"/>
      <c r="AC71" s="2130"/>
    </row>
    <row r="72" spans="1:29" ht="15.75" thickTop="1">
      <c r="A72" s="669"/>
      <c r="B72" s="673" t="s">
        <v>586</v>
      </c>
      <c r="C72" s="708" t="s">
        <v>579</v>
      </c>
      <c r="D72" s="708" t="s">
        <v>580</v>
      </c>
      <c r="E72" s="708" t="s">
        <v>581</v>
      </c>
      <c r="F72" s="708" t="s">
        <v>582</v>
      </c>
      <c r="G72" s="708" t="s">
        <v>583</v>
      </c>
      <c r="H72" s="674"/>
      <c r="I72" s="674"/>
      <c r="J72" s="674"/>
      <c r="K72" s="675"/>
      <c r="L72" s="676"/>
      <c r="M72" s="677"/>
      <c r="N72" s="2149"/>
      <c r="O72" s="2149"/>
      <c r="P72" s="2150"/>
      <c r="Q72" s="2143"/>
      <c r="R72" s="2130"/>
      <c r="S72" s="2130"/>
      <c r="T72" s="2130"/>
      <c r="U72" s="2130"/>
      <c r="V72" s="2130"/>
      <c r="W72" s="2130"/>
      <c r="X72" s="2130"/>
      <c r="Y72" s="2130"/>
      <c r="Z72" s="2130"/>
      <c r="AA72" s="2130"/>
      <c r="AB72" s="2130"/>
      <c r="AC72" s="2130"/>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1"/>
      <c r="O73" s="2151"/>
      <c r="P73" s="2150"/>
      <c r="Q73" s="2143"/>
      <c r="R73" s="2130"/>
      <c r="S73" s="2130"/>
      <c r="T73" s="2130"/>
      <c r="U73" s="2130"/>
      <c r="V73" s="2130"/>
      <c r="W73" s="2130"/>
      <c r="X73" s="2130"/>
      <c r="Y73" s="2130"/>
      <c r="Z73" s="2130"/>
      <c r="AA73" s="2130"/>
      <c r="AB73" s="2130"/>
      <c r="AC73" s="2130"/>
    </row>
    <row r="74" spans="1:29" ht="15.75" thickTop="1">
      <c r="A74" s="669"/>
      <c r="B74" s="1881" t="s">
        <v>2554</v>
      </c>
      <c r="C74" s="708" t="s">
        <v>579</v>
      </c>
      <c r="D74" s="708" t="s">
        <v>580</v>
      </c>
      <c r="E74" s="708" t="s">
        <v>581</v>
      </c>
      <c r="F74" s="708" t="s">
        <v>582</v>
      </c>
      <c r="G74" s="708" t="s">
        <v>583</v>
      </c>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2561" t="s">
        <v>2555</v>
      </c>
      <c r="C76" s="2562" t="s">
        <v>2556</v>
      </c>
      <c r="D76" s="2562" t="s">
        <v>2557</v>
      </c>
      <c r="E76" s="2562" t="s">
        <v>2558</v>
      </c>
      <c r="F76" s="2562" t="s">
        <v>2559</v>
      </c>
      <c r="G76" s="2562" t="s">
        <v>2560</v>
      </c>
      <c r="H76" s="935"/>
      <c r="I76" s="935"/>
      <c r="J76" s="935"/>
      <c r="K76" s="935"/>
      <c r="L76" s="935"/>
      <c r="M76" s="559"/>
      <c r="N76" s="2151"/>
      <c r="O76" s="2151"/>
      <c r="P76" s="2150"/>
      <c r="Q76" s="2143"/>
      <c r="R76" s="2130"/>
      <c r="S76" s="2130"/>
      <c r="T76" s="2130"/>
      <c r="U76" s="2130"/>
      <c r="V76" s="2130"/>
      <c r="W76" s="2130"/>
      <c r="X76" s="2130"/>
      <c r="Y76" s="2130"/>
      <c r="Z76" s="2130"/>
      <c r="AA76" s="2130"/>
      <c r="AB76" s="2130"/>
      <c r="AC76" s="2130"/>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784</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s="1216" customFormat="1" ht="15.75" thickTop="1">
      <c r="A80" s="709"/>
      <c r="B80" s="673">
        <f>B25</f>
        <v>111</v>
      </c>
      <c r="C80" s="688"/>
      <c r="D80" s="688"/>
      <c r="E80" s="688"/>
      <c r="F80" s="688"/>
      <c r="G80" s="688"/>
      <c r="H80" s="688"/>
      <c r="I80" s="688"/>
      <c r="J80" s="688"/>
      <c r="K80" s="688"/>
      <c r="L80" s="890"/>
      <c r="M80" s="891"/>
      <c r="N80" s="2147"/>
      <c r="O80" s="2147"/>
      <c r="P80" s="2150"/>
      <c r="Q80" s="2143"/>
      <c r="R80" s="1978"/>
      <c r="S80" s="1978"/>
      <c r="T80" s="1978"/>
      <c r="U80" s="1978"/>
      <c r="V80" s="1978"/>
      <c r="W80" s="1978"/>
      <c r="X80" s="1978"/>
      <c r="Y80" s="1978"/>
      <c r="Z80" s="1978"/>
      <c r="AA80" s="1978"/>
      <c r="AB80" s="1978"/>
      <c r="AC80" s="1978"/>
    </row>
    <row r="81" spans="1:29" s="1216" customFormat="1" ht="15.75" thickBot="1">
      <c r="A81" s="709"/>
      <c r="B81" s="678"/>
      <c r="C81" s="692"/>
      <c r="D81" s="671"/>
      <c r="E81" s="671"/>
      <c r="F81" s="671"/>
      <c r="G81" s="671"/>
      <c r="H81" s="671"/>
      <c r="I81" s="671"/>
      <c r="J81" s="671"/>
      <c r="K81" s="671"/>
      <c r="L81" s="671"/>
      <c r="M81" s="672"/>
      <c r="N81" s="2151"/>
      <c r="O81" s="2151"/>
      <c r="P81" s="2150"/>
      <c r="Q81" s="2143"/>
      <c r="R81" s="1978"/>
      <c r="S81" s="1978"/>
      <c r="T81" s="1978"/>
      <c r="U81" s="1978"/>
      <c r="V81" s="1978"/>
      <c r="W81" s="1978"/>
      <c r="X81" s="1978"/>
      <c r="Y81" s="1978"/>
      <c r="Z81" s="1978"/>
      <c r="AA81" s="1978"/>
      <c r="AB81" s="1978"/>
      <c r="AC81" s="1978"/>
    </row>
    <row r="82" spans="1:29" s="1216" customFormat="1" ht="15.75" thickTop="1">
      <c r="A82" s="709"/>
      <c r="B82" s="673">
        <f>B26</f>
        <v>111</v>
      </c>
      <c r="C82" s="688"/>
      <c r="D82" s="688"/>
      <c r="E82" s="688"/>
      <c r="F82" s="688"/>
      <c r="G82" s="688"/>
      <c r="H82" s="688"/>
      <c r="I82" s="688"/>
      <c r="J82" s="688"/>
      <c r="K82" s="688"/>
      <c r="L82" s="890"/>
      <c r="M82" s="891"/>
      <c r="N82" s="2147"/>
      <c r="O82" s="2147"/>
      <c r="P82" s="2150"/>
      <c r="Q82" s="2143"/>
      <c r="R82" s="1978"/>
      <c r="S82" s="1978"/>
      <c r="T82" s="1978"/>
      <c r="U82" s="1978"/>
      <c r="V82" s="1978"/>
      <c r="W82" s="1978"/>
      <c r="X82" s="1978"/>
      <c r="Y82" s="1978"/>
      <c r="Z82" s="1978"/>
      <c r="AA82" s="1978"/>
      <c r="AB82" s="1978"/>
      <c r="AC82" s="1978"/>
    </row>
    <row r="83" spans="1:29" s="1216" customFormat="1" ht="15.75" thickBot="1">
      <c r="A83" s="709"/>
      <c r="B83" s="678"/>
      <c r="C83" s="692"/>
      <c r="D83" s="671"/>
      <c r="E83" s="671"/>
      <c r="F83" s="671"/>
      <c r="G83" s="671"/>
      <c r="H83" s="671"/>
      <c r="I83" s="671"/>
      <c r="J83" s="671"/>
      <c r="K83" s="671"/>
      <c r="L83" s="671"/>
      <c r="M83" s="672"/>
      <c r="N83" s="2151"/>
      <c r="O83" s="2151"/>
      <c r="P83" s="2150"/>
      <c r="Q83" s="2143"/>
      <c r="R83" s="1978"/>
      <c r="S83" s="1978"/>
      <c r="T83" s="1978"/>
      <c r="U83" s="1978"/>
      <c r="V83" s="1978"/>
      <c r="W83" s="1978"/>
      <c r="X83" s="1978"/>
      <c r="Y83" s="1978"/>
      <c r="Z83" s="1978"/>
      <c r="AA83" s="1978"/>
      <c r="AB83" s="1978"/>
      <c r="AC83" s="1978"/>
    </row>
    <row r="84" spans="1:29" s="1335" customFormat="1" ht="15.75" thickTop="1">
      <c r="A84" s="687"/>
      <c r="B84" s="673">
        <f>B27</f>
        <v>111</v>
      </c>
      <c r="C84" s="688"/>
      <c r="D84" s="688"/>
      <c r="E84" s="688"/>
      <c r="F84" s="688"/>
      <c r="G84" s="688"/>
      <c r="H84" s="688"/>
      <c r="I84" s="688"/>
      <c r="J84" s="688"/>
      <c r="K84" s="688"/>
      <c r="L84" s="890"/>
      <c r="M84" s="8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2"/>
      <c r="O85" s="2152"/>
      <c r="P85" s="2153"/>
      <c r="Q85" s="2154"/>
      <c r="R85" s="2155"/>
      <c r="S85" s="2155"/>
      <c r="T85" s="2155"/>
      <c r="U85" s="2155"/>
      <c r="V85" s="2155"/>
      <c r="W85" s="2155"/>
      <c r="X85" s="2155"/>
      <c r="Y85" s="2155"/>
      <c r="Z85" s="2155"/>
      <c r="AA85" s="2155"/>
      <c r="AB85" s="2155"/>
      <c r="AC85" s="2155"/>
    </row>
    <row r="86" spans="1:29" ht="15.75" thickTop="1">
      <c r="A86" s="669"/>
      <c r="B86" s="681">
        <f>B28</f>
        <v>111</v>
      </c>
      <c r="C86" s="661"/>
      <c r="D86" s="661"/>
      <c r="E86" s="661"/>
      <c r="F86" s="661"/>
      <c r="G86" s="722"/>
      <c r="H86" s="722"/>
      <c r="I86" s="722"/>
      <c r="J86" s="722"/>
      <c r="K86" s="723"/>
      <c r="L86" s="724"/>
      <c r="M86" s="725"/>
      <c r="N86" s="2149"/>
      <c r="O86" s="2149"/>
      <c r="P86" s="2150"/>
      <c r="Q86" s="2143"/>
      <c r="R86" s="2130"/>
      <c r="S86" s="2130"/>
      <c r="T86" s="2130"/>
      <c r="U86" s="2130"/>
      <c r="V86" s="2130"/>
      <c r="W86" s="2130"/>
      <c r="X86" s="2130"/>
      <c r="Y86" s="2130"/>
      <c r="Z86" s="2130"/>
      <c r="AA86" s="2130"/>
      <c r="AB86" s="2130"/>
      <c r="AC86" s="2130"/>
    </row>
    <row r="87" spans="1:29" ht="15.75" thickBot="1">
      <c r="A87" s="893"/>
      <c r="B87" s="699"/>
      <c r="C87" s="700"/>
      <c r="D87" s="700"/>
      <c r="E87" s="700"/>
      <c r="F87" s="700"/>
      <c r="G87" s="726"/>
      <c r="H87" s="726"/>
      <c r="I87" s="726"/>
      <c r="J87" s="726"/>
      <c r="K87" s="726"/>
      <c r="L87" s="726"/>
      <c r="M87" s="727"/>
      <c r="N87" s="2151"/>
      <c r="O87" s="2151"/>
      <c r="P87" s="2150"/>
      <c r="Q87" s="2143"/>
      <c r="R87" s="2130"/>
      <c r="S87" s="2130"/>
      <c r="T87" s="2130"/>
      <c r="U87" s="2130"/>
      <c r="V87" s="2130"/>
      <c r="W87" s="2130"/>
      <c r="X87" s="2130"/>
      <c r="Y87" s="2130"/>
      <c r="Z87" s="2130"/>
      <c r="AA87" s="2130"/>
      <c r="AB87" s="2130"/>
      <c r="AC87" s="2130"/>
    </row>
    <row r="88" spans="1:29">
      <c r="A88" s="664" t="s">
        <v>551</v>
      </c>
      <c r="B88" s="665" t="s">
        <v>747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1"/>
      <c r="O89" s="2151"/>
      <c r="P89" s="2150"/>
      <c r="Q89" s="2143"/>
      <c r="R89" s="2130"/>
      <c r="S89" s="2130"/>
      <c r="T89" s="2130"/>
      <c r="U89" s="2130"/>
      <c r="V89" s="2130"/>
      <c r="W89" s="2130"/>
      <c r="X89" s="2130"/>
      <c r="Y89" s="2130"/>
      <c r="Z89" s="2130"/>
      <c r="AA89" s="2130"/>
      <c r="AB89" s="2130"/>
      <c r="AC89" s="2130"/>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7"/>
      <c r="O90" s="2147"/>
      <c r="P90" s="2150"/>
      <c r="Q90" s="2143"/>
      <c r="R90" s="2130"/>
      <c r="S90" s="2130"/>
      <c r="T90" s="2130"/>
      <c r="U90" s="2130"/>
      <c r="V90" s="2130"/>
      <c r="W90" s="2130"/>
      <c r="X90" s="2130"/>
      <c r="Y90" s="2130"/>
      <c r="Z90" s="2130"/>
      <c r="AA90" s="2130"/>
      <c r="AB90" s="2130"/>
      <c r="AC90" s="2130"/>
    </row>
    <row r="91" spans="1:29" s="1335" customFormat="1">
      <c r="A91" s="728"/>
      <c r="B91" s="729"/>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1"/>
      <c r="O92" s="2151"/>
      <c r="P92" s="2153"/>
      <c r="Q92" s="2154"/>
      <c r="R92" s="2155"/>
      <c r="S92" s="2155"/>
      <c r="T92" s="2155"/>
      <c r="U92" s="2155"/>
      <c r="V92" s="2155"/>
      <c r="W92" s="2155"/>
      <c r="X92" s="2155"/>
      <c r="Y92" s="2155"/>
      <c r="Z92" s="2155"/>
      <c r="AA92" s="2155"/>
      <c r="AB92" s="2155"/>
      <c r="AC92" s="2155"/>
    </row>
    <row r="93" spans="1:29" ht="15" thickTop="1">
      <c r="A93" s="735"/>
      <c r="B93" s="673" t="s">
        <v>749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751</v>
      </c>
      <c r="C95" s="688"/>
      <c r="D95" s="688"/>
      <c r="E95" s="688"/>
      <c r="F95" s="718"/>
      <c r="G95" s="718"/>
      <c r="H95" s="718"/>
      <c r="I95" s="718"/>
      <c r="J95" s="718"/>
      <c r="K95" s="719"/>
      <c r="L95" s="720"/>
      <c r="M95" s="721"/>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9"/>
      <c r="O97" s="2149"/>
      <c r="P97" s="2150"/>
      <c r="Q97" s="2143"/>
      <c r="R97" s="2130"/>
      <c r="S97" s="2130"/>
      <c r="T97" s="2130"/>
      <c r="U97" s="2130"/>
      <c r="V97" s="2130"/>
      <c r="W97" s="2130"/>
      <c r="X97" s="2130"/>
      <c r="Y97" s="2130"/>
      <c r="Z97" s="2130"/>
      <c r="AA97" s="2130"/>
      <c r="AB97" s="2130"/>
      <c r="AC97" s="2130"/>
    </row>
    <row r="98" spans="1:29">
      <c r="A98" s="735"/>
      <c r="B98" s="681"/>
      <c r="C98" s="894">
        <v>0.5</v>
      </c>
      <c r="D98" s="894">
        <v>0.6</v>
      </c>
      <c r="E98" s="894">
        <v>0.7</v>
      </c>
      <c r="F98" s="894">
        <v>0.8</v>
      </c>
      <c r="G98" s="894">
        <v>0.9</v>
      </c>
      <c r="H98" s="894">
        <v>1.0001</v>
      </c>
      <c r="I98" s="905"/>
      <c r="J98" s="905"/>
      <c r="K98" s="906"/>
      <c r="L98" s="907"/>
      <c r="M98" s="908"/>
      <c r="N98" s="2149"/>
      <c r="O98" s="2149"/>
      <c r="P98" s="2150"/>
      <c r="Q98" s="2143"/>
      <c r="R98" s="2130"/>
      <c r="S98" s="2130"/>
      <c r="T98" s="2130"/>
      <c r="U98" s="2130"/>
      <c r="V98" s="2130"/>
      <c r="W98" s="2130"/>
      <c r="X98" s="2130"/>
      <c r="Y98" s="2130"/>
      <c r="Z98" s="2130"/>
      <c r="AA98" s="2130"/>
      <c r="AB98" s="2130"/>
      <c r="AC98" s="2130"/>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1"/>
      <c r="O99" s="2151"/>
      <c r="P99" s="2150"/>
      <c r="Q99" s="2143"/>
      <c r="R99" s="2130"/>
      <c r="S99" s="2130"/>
      <c r="T99" s="2130"/>
      <c r="U99" s="2130"/>
      <c r="V99" s="2130"/>
      <c r="W99" s="2130"/>
      <c r="X99" s="2130"/>
      <c r="Y99" s="2130"/>
      <c r="Z99" s="2130"/>
      <c r="AA99" s="2130"/>
      <c r="AB99" s="2130"/>
      <c r="AC99" s="2130"/>
    </row>
    <row r="100" spans="1:29" s="1335" customFormat="1" ht="15" thickTop="1">
      <c r="A100" s="728"/>
      <c r="B100" s="673" t="s">
        <v>753</v>
      </c>
      <c r="C100" s="688"/>
      <c r="D100" s="688"/>
      <c r="E100" s="688"/>
      <c r="F100" s="688"/>
      <c r="G100" s="688"/>
      <c r="H100" s="718"/>
      <c r="I100" s="718"/>
      <c r="J100" s="718"/>
      <c r="K100" s="719"/>
      <c r="L100" s="720"/>
      <c r="M100" s="721"/>
      <c r="N100" s="2152"/>
      <c r="O100" s="2152"/>
      <c r="P100" s="2153"/>
      <c r="Q100" s="2154"/>
      <c r="R100" s="2155"/>
      <c r="S100" s="2155"/>
      <c r="T100" s="2155"/>
      <c r="U100" s="2155"/>
      <c r="V100" s="2155"/>
      <c r="W100" s="2155"/>
      <c r="X100" s="2155"/>
      <c r="Y100" s="2155"/>
      <c r="Z100" s="2155"/>
      <c r="AA100" s="2155"/>
      <c r="AB100" s="2155"/>
      <c r="AC100" s="2155"/>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5"/>
      <c r="B102" s="1881" t="s">
        <v>2553</v>
      </c>
      <c r="C102" s="688"/>
      <c r="D102" s="688"/>
      <c r="E102" s="688"/>
      <c r="F102" s="688"/>
      <c r="G102" s="688"/>
      <c r="H102" s="718"/>
      <c r="I102" s="718"/>
      <c r="J102" s="718"/>
      <c r="K102" s="719"/>
      <c r="L102" s="720"/>
      <c r="M102" s="721"/>
      <c r="N102" s="2149"/>
      <c r="O102" s="2149"/>
      <c r="P102" s="2150"/>
      <c r="Q102" s="2143"/>
      <c r="R102" s="2130"/>
      <c r="S102" s="2130"/>
      <c r="T102" s="2130"/>
      <c r="U102" s="2130"/>
      <c r="V102" s="2130"/>
      <c r="W102" s="2130"/>
      <c r="X102" s="2130"/>
      <c r="Y102" s="2130"/>
      <c r="Z102" s="2130"/>
      <c r="AA102" s="2130"/>
      <c r="AB102" s="2130"/>
      <c r="AC102" s="2130"/>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5"/>
      <c r="B104" s="673" t="s">
        <v>755</v>
      </c>
      <c r="C104" s="688"/>
      <c r="D104" s="688"/>
      <c r="E104" s="688"/>
      <c r="F104" s="688"/>
      <c r="G104" s="688"/>
      <c r="H104" s="718"/>
      <c r="I104" s="718"/>
      <c r="J104" s="718"/>
      <c r="K104" s="719"/>
      <c r="L104" s="720"/>
      <c r="M104" s="721"/>
      <c r="N104" s="2149"/>
      <c r="O104" s="2149"/>
      <c r="P104" s="2150"/>
      <c r="Q104" s="2143"/>
      <c r="R104" s="2130"/>
      <c r="S104" s="2130"/>
      <c r="T104" s="2130"/>
      <c r="U104" s="2130"/>
      <c r="V104" s="2130"/>
      <c r="W104" s="2130"/>
      <c r="X104" s="2130"/>
      <c r="Y104" s="2130"/>
      <c r="Z104" s="2130"/>
      <c r="AA104" s="2130"/>
      <c r="AB104" s="2130"/>
      <c r="AC104" s="2130"/>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1"/>
      <c r="O105" s="2151"/>
      <c r="P105" s="2150"/>
      <c r="Q105" s="2143"/>
      <c r="R105" s="2130"/>
      <c r="S105" s="2130"/>
      <c r="T105" s="2130"/>
      <c r="U105" s="2130"/>
      <c r="V105" s="2130"/>
      <c r="W105" s="2130"/>
      <c r="X105" s="2130"/>
      <c r="Y105" s="2130"/>
      <c r="Z105" s="2130"/>
      <c r="AA105" s="2130"/>
      <c r="AB105" s="2130"/>
      <c r="AC105" s="2130"/>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1"/>
      <c r="O106" s="2151"/>
      <c r="P106" s="2190"/>
      <c r="Q106" s="2191"/>
      <c r="R106" s="2130"/>
      <c r="S106" s="2130"/>
      <c r="T106" s="2130"/>
      <c r="U106" s="2130"/>
      <c r="V106" s="2130"/>
      <c r="W106" s="2130"/>
      <c r="X106" s="2130"/>
      <c r="Y106" s="2130"/>
      <c r="Z106" s="2130"/>
      <c r="AA106" s="2130"/>
      <c r="AB106" s="2130"/>
      <c r="AC106" s="2130"/>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1"/>
      <c r="O107" s="2151"/>
      <c r="P107" s="2150"/>
      <c r="Q107" s="2143"/>
      <c r="R107" s="2130"/>
      <c r="S107" s="2130"/>
      <c r="T107" s="2130"/>
      <c r="U107" s="2130"/>
      <c r="V107" s="2130"/>
      <c r="W107" s="2130"/>
      <c r="X107" s="2130"/>
      <c r="Y107" s="2130"/>
      <c r="Z107" s="2130"/>
      <c r="AA107" s="2130"/>
      <c r="AB107" s="2130"/>
      <c r="AC107" s="2130"/>
    </row>
    <row r="108" spans="1:29" s="1335" customFormat="1" ht="15" thickTop="1">
      <c r="A108" s="728"/>
      <c r="B108" s="673">
        <f>B38</f>
        <v>111</v>
      </c>
      <c r="C108" s="688"/>
      <c r="D108" s="688"/>
      <c r="E108" s="688"/>
      <c r="F108" s="688"/>
      <c r="G108" s="688"/>
      <c r="H108" s="689"/>
      <c r="I108" s="689"/>
      <c r="J108" s="689"/>
      <c r="K108" s="689"/>
      <c r="L108" s="690"/>
      <c r="M108" s="691"/>
      <c r="N108" s="2152"/>
      <c r="O108" s="2152"/>
      <c r="P108" s="2153"/>
      <c r="Q108" s="2154"/>
      <c r="R108" s="2155"/>
      <c r="S108" s="2155"/>
      <c r="T108" s="2155"/>
      <c r="U108" s="2155"/>
      <c r="V108" s="2155"/>
      <c r="W108" s="2155"/>
      <c r="X108" s="2155"/>
      <c r="Y108" s="2155"/>
      <c r="Z108" s="2155"/>
      <c r="AA108" s="2155"/>
      <c r="AB108" s="2155"/>
      <c r="AC108" s="2155"/>
    </row>
    <row r="109" spans="1:29" s="1335" customFormat="1" ht="15.75" thickBot="1">
      <c r="A109" s="687"/>
      <c r="B109" s="670"/>
      <c r="C109" s="692"/>
      <c r="D109" s="671"/>
      <c r="E109" s="671"/>
      <c r="F109" s="671"/>
      <c r="G109" s="692"/>
      <c r="H109" s="693"/>
      <c r="I109" s="693"/>
      <c r="J109" s="693"/>
      <c r="K109" s="693"/>
      <c r="L109" s="693"/>
      <c r="M109" s="694"/>
      <c r="N109" s="2152"/>
      <c r="O109" s="2152"/>
      <c r="P109" s="2153"/>
      <c r="Q109" s="2154"/>
      <c r="R109" s="2155"/>
      <c r="S109" s="2155"/>
      <c r="T109" s="2155"/>
      <c r="U109" s="2155"/>
      <c r="V109" s="2155"/>
      <c r="W109" s="2155"/>
      <c r="X109" s="2155"/>
      <c r="Y109" s="2155"/>
      <c r="Z109" s="2155"/>
      <c r="AA109" s="2155"/>
      <c r="AB109" s="2155"/>
      <c r="AC109" s="2155"/>
    </row>
    <row r="110" spans="1:29" ht="15" thickTop="1">
      <c r="A110" s="735"/>
      <c r="B110" s="673">
        <f>B39</f>
        <v>111</v>
      </c>
      <c r="C110" s="688"/>
      <c r="D110" s="688"/>
      <c r="E110" s="688"/>
      <c r="F110" s="688"/>
      <c r="G110" s="688"/>
      <c r="H110" s="689"/>
      <c r="I110" s="689"/>
      <c r="J110" s="689"/>
      <c r="K110" s="689"/>
      <c r="L110" s="690"/>
      <c r="M110" s="69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92"/>
      <c r="D111" s="671"/>
      <c r="E111" s="671"/>
      <c r="F111" s="671"/>
      <c r="G111" s="692"/>
      <c r="H111" s="693"/>
      <c r="I111" s="693"/>
      <c r="J111" s="693"/>
      <c r="K111" s="693"/>
      <c r="L111" s="693"/>
      <c r="M111" s="694"/>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81">
        <f>B40</f>
        <v>111</v>
      </c>
      <c r="C112" s="661"/>
      <c r="D112" s="661"/>
      <c r="E112" s="661"/>
      <c r="F112" s="661"/>
      <c r="G112" s="722"/>
      <c r="H112" s="722"/>
      <c r="I112" s="722"/>
      <c r="J112" s="722"/>
      <c r="K112" s="661"/>
      <c r="L112" s="662"/>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893"/>
      <c r="B113" s="699"/>
      <c r="C113" s="700"/>
      <c r="D113" s="700"/>
      <c r="E113" s="700"/>
      <c r="F113" s="700"/>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2"/>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794</v>
      </c>
      <c r="B2" s="850" t="e">
        <f>IF(B37="元/平方米",ROUND(B3*D3/10000,0),ROUND(F3*C39/10000,0))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795</v>
      </c>
      <c r="B3" s="510" t="e">
        <f>IF(B37="元/平方米",C39,ROUND(B2*10000/D3,0))</f>
        <v>#DIV/0!</v>
      </c>
      <c r="C3" s="852" t="s">
        <v>796</v>
      </c>
      <c r="D3" s="851">
        <f>SUMIF('数据-汇总表'!$C19:$C33,D1,'数据-汇总表'!$E19:$E33)</f>
        <v>0</v>
      </c>
      <c r="E3" s="1833" t="s">
        <v>2076</v>
      </c>
      <c r="F3" s="851">
        <f>SUMIF('数据-取费表'!A5:A15,D1,'数据-取费表'!AH5:AH15)</f>
        <v>0</v>
      </c>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797</v>
      </c>
      <c r="B4" s="513"/>
      <c r="C4" s="3430" t="s">
        <v>798</v>
      </c>
      <c r="D4" s="3431"/>
      <c r="E4" s="3430" t="s">
        <v>799</v>
      </c>
      <c r="F4" s="3431"/>
      <c r="G4" s="3430" t="s">
        <v>800</v>
      </c>
      <c r="H4" s="3431"/>
      <c r="I4" s="3430" t="s">
        <v>801</v>
      </c>
      <c r="J4" s="3431"/>
      <c r="K4" s="514" t="s">
        <v>802</v>
      </c>
      <c r="L4" s="2118"/>
      <c r="M4" s="2119"/>
      <c r="N4" s="2119"/>
      <c r="O4" s="2119"/>
      <c r="P4" s="3432" t="s">
        <v>803</v>
      </c>
      <c r="Q4" s="3433"/>
      <c r="R4" s="3438" t="s">
        <v>799</v>
      </c>
      <c r="S4" s="3439"/>
      <c r="T4" s="3438" t="s">
        <v>800</v>
      </c>
      <c r="U4" s="3439"/>
      <c r="V4" s="3425" t="s">
        <v>801</v>
      </c>
      <c r="W4" s="3425"/>
      <c r="X4" s="1553"/>
      <c r="Y4" s="3438" t="s">
        <v>803</v>
      </c>
      <c r="Z4" s="3439"/>
      <c r="AA4" s="3427" t="s">
        <v>799</v>
      </c>
      <c r="AB4" s="3428" t="s">
        <v>800</v>
      </c>
      <c r="AC4" s="3427" t="s">
        <v>801</v>
      </c>
    </row>
    <row r="5" spans="1:29" ht="15">
      <c r="A5" s="515"/>
      <c r="B5" s="516"/>
      <c r="C5" s="3446" t="s">
        <v>2922</v>
      </c>
      <c r="D5" s="3447"/>
      <c r="E5" s="3446" t="s">
        <v>2923</v>
      </c>
      <c r="F5" s="3447"/>
      <c r="G5" s="3446" t="s">
        <v>2924</v>
      </c>
      <c r="H5" s="3447"/>
      <c r="I5" s="3446" t="s">
        <v>2925</v>
      </c>
      <c r="J5" s="3447"/>
      <c r="K5" s="514"/>
      <c r="L5" s="2118"/>
      <c r="M5" s="2119"/>
      <c r="N5" s="2119"/>
      <c r="O5" s="2119"/>
      <c r="P5" s="3434"/>
      <c r="Q5" s="3435"/>
      <c r="R5" s="3440"/>
      <c r="S5" s="3441"/>
      <c r="T5" s="3440"/>
      <c r="U5" s="3441"/>
      <c r="V5" s="3425"/>
      <c r="W5" s="3425"/>
      <c r="X5" s="1553"/>
      <c r="Y5" s="3440"/>
      <c r="Z5" s="3441"/>
      <c r="AA5" s="3428"/>
      <c r="AB5" s="3428"/>
      <c r="AC5" s="3428"/>
    </row>
    <row r="6" spans="1:29" ht="15.75" thickBot="1">
      <c r="A6" s="517"/>
      <c r="B6" s="518"/>
      <c r="C6" s="3444" t="s">
        <v>2926</v>
      </c>
      <c r="D6" s="3445"/>
      <c r="E6" s="3450" t="s">
        <v>2926</v>
      </c>
      <c r="F6" s="3451"/>
      <c r="G6" s="3444" t="s">
        <v>2926</v>
      </c>
      <c r="H6" s="3445"/>
      <c r="I6" s="3444" t="s">
        <v>2926</v>
      </c>
      <c r="J6" s="3445"/>
      <c r="K6" s="514" t="s">
        <v>528</v>
      </c>
      <c r="L6" s="2118"/>
      <c r="M6" s="2119"/>
      <c r="N6" s="2119"/>
      <c r="O6" s="2119"/>
      <c r="P6" s="3436"/>
      <c r="Q6" s="3437"/>
      <c r="R6" s="3440"/>
      <c r="S6" s="3441"/>
      <c r="T6" s="3442"/>
      <c r="U6" s="3443"/>
      <c r="V6" s="3425"/>
      <c r="W6" s="3425"/>
      <c r="X6" s="1553"/>
      <c r="Y6" s="3442"/>
      <c r="Z6" s="3443"/>
      <c r="AA6" s="3429"/>
      <c r="AB6" s="3429"/>
      <c r="AC6" s="3429"/>
    </row>
    <row r="7" spans="1:29" s="1216" customFormat="1" ht="15.75" thickBot="1">
      <c r="A7" s="2867"/>
      <c r="B7" s="2874" t="s">
        <v>529</v>
      </c>
      <c r="C7" s="519">
        <f>'数据-取费表'!B2</f>
        <v>43868</v>
      </c>
      <c r="D7" s="520">
        <v>100</v>
      </c>
      <c r="E7" s="521"/>
      <c r="F7" s="522">
        <f>SUMIF(48:48,YEAR(E7)&amp;"-"&amp;MONTH(E7),49:49)</f>
        <v>0</v>
      </c>
      <c r="G7" s="523"/>
      <c r="H7" s="520">
        <f>SUMIF(48:48,YEAR(G7)&amp;"-"&amp;MONTH(G7),49:49)</f>
        <v>0</v>
      </c>
      <c r="I7" s="523"/>
      <c r="J7" s="520">
        <f>SUMIF(48:48,YEAR(I7)&amp;"-"&amp;MONTH(I7),49:49)</f>
        <v>0</v>
      </c>
      <c r="K7" s="524"/>
      <c r="L7" s="2120"/>
      <c r="M7" s="2121"/>
      <c r="N7" s="2121"/>
      <c r="O7" s="2121"/>
      <c r="P7" s="3457" t="s">
        <v>530</v>
      </c>
      <c r="Q7" s="3459"/>
      <c r="R7" s="1554" t="s">
        <v>8</v>
      </c>
      <c r="S7" s="1555">
        <f t="shared" ref="S7:S14" si="0">F7</f>
        <v>0</v>
      </c>
      <c r="T7" s="1554" t="s">
        <v>8</v>
      </c>
      <c r="U7" s="1555">
        <f t="shared" ref="U7:U14" si="1">H7</f>
        <v>0</v>
      </c>
      <c r="V7" s="1554" t="s">
        <v>8</v>
      </c>
      <c r="W7" s="1555">
        <f t="shared" ref="W7:W14" si="2">J7</f>
        <v>0</v>
      </c>
      <c r="X7" s="1556"/>
      <c r="Y7" s="3457" t="s">
        <v>530</v>
      </c>
      <c r="Z7" s="3458"/>
      <c r="AA7" s="1557" t="e">
        <f>D7/F7</f>
        <v>#DIV/0!</v>
      </c>
      <c r="AB7" s="1557" t="e">
        <f>D7/H7</f>
        <v>#DIV/0!</v>
      </c>
      <c r="AC7" s="1557" t="e">
        <f>D7/J7</f>
        <v>#DIV/0!</v>
      </c>
    </row>
    <row r="8" spans="1:29" s="1216" customFormat="1" ht="15.75" thickBot="1">
      <c r="A8" s="2868"/>
      <c r="B8" s="2875" t="s">
        <v>531</v>
      </c>
      <c r="C8" s="525" t="s">
        <v>576</v>
      </c>
      <c r="D8" s="520">
        <v>100</v>
      </c>
      <c r="E8" s="525"/>
      <c r="F8" s="522">
        <f>SUMIF(51:51,E8,52:52)-SUMIF(51:51,C8,52:52)+100</f>
        <v>0</v>
      </c>
      <c r="G8" s="525"/>
      <c r="H8" s="520">
        <f>SUMIF(51:51,G8,52:52)-SUMIF(51:51,C8,52:52)+100</f>
        <v>0</v>
      </c>
      <c r="I8" s="525"/>
      <c r="J8" s="520">
        <f>SUMIF(51:51,I8,52:52)-SUMIF(51:51,C8,52:52)+100</f>
        <v>0</v>
      </c>
      <c r="K8" s="524"/>
      <c r="L8" s="2120"/>
      <c r="M8" s="2121"/>
      <c r="N8" s="2121"/>
      <c r="O8" s="2121"/>
      <c r="P8" s="3457" t="s">
        <v>533</v>
      </c>
      <c r="Q8" s="3458"/>
      <c r="R8" s="1554" t="s">
        <v>8</v>
      </c>
      <c r="S8" s="1555">
        <f t="shared" si="0"/>
        <v>0</v>
      </c>
      <c r="T8" s="1554" t="s">
        <v>8</v>
      </c>
      <c r="U8" s="1555">
        <f t="shared" si="1"/>
        <v>0</v>
      </c>
      <c r="V8" s="1554" t="s">
        <v>8</v>
      </c>
      <c r="W8" s="1555">
        <f t="shared" si="2"/>
        <v>0</v>
      </c>
      <c r="X8" s="1556"/>
      <c r="Y8" s="3457" t="s">
        <v>533</v>
      </c>
      <c r="Z8" s="3458"/>
      <c r="AA8" s="1557" t="e">
        <f t="shared" ref="AA8:AA36" si="3">D8/F8</f>
        <v>#DIV/0!</v>
      </c>
      <c r="AB8" s="1557" t="e">
        <f t="shared" ref="AB8:AB36" si="4">D8/H8</f>
        <v>#DIV/0!</v>
      </c>
      <c r="AC8" s="1557" t="e">
        <f t="shared" ref="AC8:AC36" si="5">D8/J8</f>
        <v>#DIV/0!</v>
      </c>
    </row>
    <row r="9" spans="1:29" s="1216" customFormat="1" ht="15">
      <c r="A9" s="2869"/>
      <c r="B9" s="2876" t="s">
        <v>2753</v>
      </c>
      <c r="C9" s="857"/>
      <c r="D9" s="254">
        <v>100</v>
      </c>
      <c r="E9" s="860"/>
      <c r="F9" s="254">
        <f>SUMIF(53:53,E9,54:54)-SUMIF(53:53,C9,54:54)+100</f>
        <v>100</v>
      </c>
      <c r="G9" s="858"/>
      <c r="H9" s="254">
        <f>SUMIF(53:53,G9,54:54)-SUMIF(53:53,C9,54:54)+100</f>
        <v>100</v>
      </c>
      <c r="I9" s="858"/>
      <c r="J9" s="254">
        <f>SUMIF(53:53,I9,54:54)-SUMIF(53:53,C9,54:54)+100</f>
        <v>100</v>
      </c>
      <c r="K9" s="524"/>
      <c r="L9" s="2120"/>
      <c r="M9" s="2121"/>
      <c r="N9" s="2121"/>
      <c r="O9" s="2122"/>
      <c r="P9" s="3424" t="s">
        <v>535</v>
      </c>
      <c r="Q9" s="1147" t="str">
        <f t="shared" ref="Q9:Q14" si="6">B9</f>
        <v>用途</v>
      </c>
      <c r="R9" s="1554" t="s">
        <v>8</v>
      </c>
      <c r="S9" s="1555">
        <f t="shared" si="0"/>
        <v>100</v>
      </c>
      <c r="T9" s="1554" t="s">
        <v>8</v>
      </c>
      <c r="U9" s="1555">
        <f t="shared" si="1"/>
        <v>100</v>
      </c>
      <c r="V9" s="1554" t="s">
        <v>8</v>
      </c>
      <c r="W9" s="1555">
        <f t="shared" si="2"/>
        <v>100</v>
      </c>
      <c r="X9" s="1556"/>
      <c r="Y9" s="3370" t="s">
        <v>536</v>
      </c>
      <c r="Z9" s="1146" t="str">
        <f t="shared" ref="Z9:Z14" si="7">Q9</f>
        <v>用途</v>
      </c>
      <c r="AA9" s="1557">
        <f t="shared" si="3"/>
        <v>1</v>
      </c>
      <c r="AB9" s="1557">
        <f t="shared" si="4"/>
        <v>1</v>
      </c>
      <c r="AC9" s="1557">
        <f t="shared" si="5"/>
        <v>1</v>
      </c>
    </row>
    <row r="10" spans="1:29" s="1334" customFormat="1" ht="27">
      <c r="A10" s="2870"/>
      <c r="B10" s="2875" t="s">
        <v>2754</v>
      </c>
      <c r="C10" s="861"/>
      <c r="D10" s="255">
        <v>100</v>
      </c>
      <c r="E10" s="861"/>
      <c r="F10" s="255">
        <f>SUMIF(55:55,E10,56:56)-SUMIF(55:55,C10,56:56)+100</f>
        <v>100</v>
      </c>
      <c r="G10" s="862"/>
      <c r="H10" s="255">
        <f>SUMIF(55:55,G10,56:56)-SUMIF(55:55,C10,56:56)+100</f>
        <v>100</v>
      </c>
      <c r="I10" s="861"/>
      <c r="J10" s="255">
        <f>SUMIF(55:55,I10,56:56)-SUMIF(55:55,C10,56:56)+100</f>
        <v>100</v>
      </c>
      <c r="K10" s="584"/>
      <c r="L10" s="2123"/>
      <c r="M10" s="2163"/>
      <c r="N10" s="2163"/>
      <c r="O10" s="2124"/>
      <c r="P10" s="3424"/>
      <c r="Q10" s="1147" t="str">
        <f t="shared" si="6"/>
        <v>土地使用年限（年）</v>
      </c>
      <c r="R10" s="1554" t="s">
        <v>8</v>
      </c>
      <c r="S10" s="1555">
        <f t="shared" si="0"/>
        <v>100</v>
      </c>
      <c r="T10" s="1554" t="s">
        <v>8</v>
      </c>
      <c r="U10" s="1555">
        <f t="shared" si="1"/>
        <v>100</v>
      </c>
      <c r="V10" s="1554" t="s">
        <v>8</v>
      </c>
      <c r="W10" s="1555">
        <f t="shared" si="2"/>
        <v>100</v>
      </c>
      <c r="X10" s="1556"/>
      <c r="Y10" s="3370"/>
      <c r="Z10" s="1146" t="str">
        <f t="shared" si="7"/>
        <v>土地使用年限（年）</v>
      </c>
      <c r="AA10" s="1557">
        <f t="shared" si="3"/>
        <v>1</v>
      </c>
      <c r="AB10" s="1557">
        <f t="shared" si="4"/>
        <v>1</v>
      </c>
      <c r="AC10" s="1557">
        <f t="shared" si="5"/>
        <v>1</v>
      </c>
    </row>
    <row r="11" spans="1:29" ht="15">
      <c r="A11" s="2872"/>
      <c r="B11" s="2878">
        <v>111</v>
      </c>
      <c r="C11" s="528"/>
      <c r="D11" s="255">
        <v>100</v>
      </c>
      <c r="E11" s="528"/>
      <c r="F11" s="255">
        <f>SUMIF(57:57,E11,58:58)-SUMIF(57:57,C11,58:58)+100</f>
        <v>100</v>
      </c>
      <c r="G11" s="528"/>
      <c r="H11" s="255">
        <f>SUMIF(57:57,G11,58:58)-SUMIF(57:57,C11,58:58)+100</f>
        <v>100</v>
      </c>
      <c r="I11" s="528"/>
      <c r="J11" s="255">
        <f>SUMIF(57:57,I11,58:58)-SUMIF(57:57,C11,58:58)+100</f>
        <v>100</v>
      </c>
      <c r="K11" s="581"/>
      <c r="L11" s="2125"/>
      <c r="M11" s="2119"/>
      <c r="N11" s="2119"/>
      <c r="O11" s="2126"/>
      <c r="P11" s="3424"/>
      <c r="Q11" s="1147">
        <f t="shared" si="6"/>
        <v>111</v>
      </c>
      <c r="R11" s="1554" t="s">
        <v>8</v>
      </c>
      <c r="S11" s="1555">
        <f t="shared" si="0"/>
        <v>100</v>
      </c>
      <c r="T11" s="1554" t="s">
        <v>8</v>
      </c>
      <c r="U11" s="1555">
        <f t="shared" si="1"/>
        <v>100</v>
      </c>
      <c r="V11" s="1554" t="s">
        <v>8</v>
      </c>
      <c r="W11" s="1555">
        <f t="shared" si="2"/>
        <v>100</v>
      </c>
      <c r="X11" s="1556"/>
      <c r="Y11" s="3370"/>
      <c r="Z11" s="1146">
        <f t="shared" si="7"/>
        <v>111</v>
      </c>
      <c r="AA11" s="1557">
        <f t="shared" si="3"/>
        <v>1</v>
      </c>
      <c r="AB11" s="1557">
        <f t="shared" si="4"/>
        <v>1</v>
      </c>
      <c r="AC11" s="1557">
        <f t="shared" si="5"/>
        <v>1</v>
      </c>
    </row>
    <row r="12" spans="1:29" s="1216" customFormat="1" ht="15">
      <c r="A12" s="2872"/>
      <c r="B12" s="2878">
        <v>111</v>
      </c>
      <c r="C12" s="528"/>
      <c r="D12" s="538">
        <v>100</v>
      </c>
      <c r="E12" s="528"/>
      <c r="F12" s="255">
        <f>SUMIF(59:59,E12,60:60)-SUMIF(59:59,C12,60:60)+100</f>
        <v>100</v>
      </c>
      <c r="G12" s="528"/>
      <c r="H12" s="255">
        <f>SUMIF(59:59,G12,60:60)-SUMIF(59:59,C12,60:60)+100</f>
        <v>100</v>
      </c>
      <c r="I12" s="528"/>
      <c r="J12" s="255">
        <f>SUMIF(59:59,I12,60:60)-SUMIF(59:59,C12,60:60)+100</f>
        <v>100</v>
      </c>
      <c r="K12" s="581"/>
      <c r="L12" s="2120"/>
      <c r="M12" s="2121"/>
      <c r="N12" s="2121"/>
      <c r="O12" s="2122"/>
      <c r="P12" s="3424"/>
      <c r="Q12" s="1147">
        <f t="shared" si="6"/>
        <v>111</v>
      </c>
      <c r="R12" s="1554" t="s">
        <v>8</v>
      </c>
      <c r="S12" s="1555">
        <f t="shared" si="0"/>
        <v>100</v>
      </c>
      <c r="T12" s="1554" t="s">
        <v>8</v>
      </c>
      <c r="U12" s="1555">
        <f t="shared" si="1"/>
        <v>100</v>
      </c>
      <c r="V12" s="1554" t="s">
        <v>8</v>
      </c>
      <c r="W12" s="1555">
        <f t="shared" si="2"/>
        <v>100</v>
      </c>
      <c r="X12" s="1556"/>
      <c r="Y12" s="3370"/>
      <c r="Z12" s="1146">
        <f t="shared" si="7"/>
        <v>111</v>
      </c>
      <c r="AA12" s="1557">
        <f>D12/F12</f>
        <v>1</v>
      </c>
      <c r="AB12" s="1557">
        <f>D12/H12</f>
        <v>1</v>
      </c>
      <c r="AC12" s="1557">
        <f>D12/J12</f>
        <v>1</v>
      </c>
    </row>
    <row r="13" spans="1:29" ht="15.75" thickBot="1">
      <c r="A13" s="2873"/>
      <c r="B13" s="2879">
        <v>111</v>
      </c>
      <c r="C13" s="539"/>
      <c r="D13" s="540">
        <v>100</v>
      </c>
      <c r="E13" s="528"/>
      <c r="F13" s="255">
        <f>SUMIF(61:61,E13,62:62)-SUMIF(61:61,C13,62:62)+100</f>
        <v>100</v>
      </c>
      <c r="G13" s="528"/>
      <c r="H13" s="540">
        <f>SUMIF(61:61,G13,62:62)-SUMIF(61:61,C13,62:62)+100</f>
        <v>100</v>
      </c>
      <c r="I13" s="528"/>
      <c r="J13" s="540">
        <f>SUMIF(61:61,I13,62:62)-SUMIF(61:61,C13,62:62)+100</f>
        <v>100</v>
      </c>
      <c r="K13" s="581"/>
      <c r="L13" s="2127"/>
      <c r="M13" s="2119"/>
      <c r="N13" s="2119"/>
      <c r="O13" s="2126"/>
      <c r="P13" s="3424"/>
      <c r="Q13" s="1147">
        <f t="shared" si="6"/>
        <v>111</v>
      </c>
      <c r="R13" s="1554" t="s">
        <v>8</v>
      </c>
      <c r="S13" s="1555">
        <f t="shared" si="0"/>
        <v>100</v>
      </c>
      <c r="T13" s="1554" t="s">
        <v>8</v>
      </c>
      <c r="U13" s="1555">
        <f t="shared" si="1"/>
        <v>100</v>
      </c>
      <c r="V13" s="1554" t="s">
        <v>8</v>
      </c>
      <c r="W13" s="1555">
        <f t="shared" si="2"/>
        <v>100</v>
      </c>
      <c r="X13" s="1556"/>
      <c r="Y13" s="3370"/>
      <c r="Z13" s="1146">
        <f t="shared" si="7"/>
        <v>111</v>
      </c>
      <c r="AA13" s="1557">
        <f t="shared" si="3"/>
        <v>1</v>
      </c>
      <c r="AB13" s="1557">
        <f t="shared" si="4"/>
        <v>1</v>
      </c>
      <c r="AC13" s="1557">
        <f t="shared" si="5"/>
        <v>1</v>
      </c>
    </row>
    <row r="14" spans="1:29" ht="15">
      <c r="A14" s="2865" t="s">
        <v>2751</v>
      </c>
      <c r="B14" s="547" t="s">
        <v>543</v>
      </c>
      <c r="C14" s="921" t="str">
        <f>IF(B1="工业",估价对象房地状况!G4,估价对象房地状况!C6)</f>
        <v>较好</v>
      </c>
      <c r="D14" s="549">
        <v>100</v>
      </c>
      <c r="E14" s="550"/>
      <c r="F14" s="551">
        <f>SUMIF(63:63,E15,64:64)-SUMIF(63:63,C15,64:64)+100</f>
        <v>100</v>
      </c>
      <c r="G14" s="552"/>
      <c r="H14" s="549">
        <f>SUMIF(63:63,G15,64:64)-SUMIF(63:63,C15,64:64)+100</f>
        <v>100</v>
      </c>
      <c r="I14" s="550"/>
      <c r="J14" s="549">
        <f>SUMIF(63:63,I15,64:64)-SUMIF(63:63,C15,64:64)+100</f>
        <v>100</v>
      </c>
      <c r="K14" s="898"/>
      <c r="L14" s="2127"/>
      <c r="M14" s="2119"/>
      <c r="N14" s="2119"/>
      <c r="O14" s="2126"/>
      <c r="P14" s="3460" t="s">
        <v>540</v>
      </c>
      <c r="Q14" s="1558" t="str">
        <f t="shared" si="6"/>
        <v>交通便捷度</v>
      </c>
      <c r="R14" s="1559" t="s">
        <v>8</v>
      </c>
      <c r="S14" s="1560">
        <f t="shared" si="0"/>
        <v>100</v>
      </c>
      <c r="T14" s="1559" t="s">
        <v>8</v>
      </c>
      <c r="U14" s="1560">
        <f t="shared" si="1"/>
        <v>100</v>
      </c>
      <c r="V14" s="1559" t="s">
        <v>8</v>
      </c>
      <c r="W14" s="1560">
        <f t="shared" si="2"/>
        <v>100</v>
      </c>
      <c r="X14" s="1553"/>
      <c r="Y14" s="3460" t="s">
        <v>540</v>
      </c>
      <c r="Z14" s="1561" t="str">
        <f t="shared" si="7"/>
        <v>交通便捷度</v>
      </c>
      <c r="AA14" s="1562">
        <f t="shared" si="3"/>
        <v>1</v>
      </c>
      <c r="AB14" s="1562">
        <f t="shared" si="4"/>
        <v>1</v>
      </c>
      <c r="AC14" s="1562">
        <f t="shared" si="5"/>
        <v>1</v>
      </c>
    </row>
    <row r="15" spans="1:29" ht="15">
      <c r="A15" s="515"/>
      <c r="B15" s="924"/>
      <c r="C15" s="576"/>
      <c r="D15" s="555"/>
      <c r="E15" s="576"/>
      <c r="F15" s="557"/>
      <c r="G15" s="576"/>
      <c r="H15" s="559"/>
      <c r="I15" s="576"/>
      <c r="J15" s="555"/>
      <c r="K15" s="899"/>
      <c r="L15" s="2127"/>
      <c r="M15" s="2119"/>
      <c r="N15" s="2119"/>
      <c r="O15" s="2126"/>
      <c r="P15" s="3461"/>
      <c r="Q15" s="1558"/>
      <c r="R15" s="1559"/>
      <c r="S15" s="1560"/>
      <c r="T15" s="1559"/>
      <c r="U15" s="1560"/>
      <c r="V15" s="1559"/>
      <c r="W15" s="1560"/>
      <c r="X15" s="1553"/>
      <c r="Y15" s="3461"/>
      <c r="Z15" s="1561"/>
      <c r="AA15" s="1562">
        <v>1</v>
      </c>
      <c r="AB15" s="1562">
        <v>1</v>
      </c>
      <c r="AC15" s="1562">
        <v>1</v>
      </c>
    </row>
    <row r="16" spans="1:29" ht="15">
      <c r="A16" s="515"/>
      <c r="B16" s="2567" t="s">
        <v>2543</v>
      </c>
      <c r="C16" s="872" t="str">
        <f>IF(B1="工业",估价对象房地状况!G5,估价对象房地状况!C7)</f>
        <v>一般</v>
      </c>
      <c r="D16" s="565">
        <v>100</v>
      </c>
      <c r="E16" s="572"/>
      <c r="F16" s="571">
        <f>SUMIF(65:65,E17,66:66)-SUMIF(65:65,C17,66:66)+100</f>
        <v>100</v>
      </c>
      <c r="G16" s="572"/>
      <c r="H16" s="565">
        <f>SUMIF(65:65,G17,66:66)-SUMIF(65:65,C17,66:66)+100</f>
        <v>100</v>
      </c>
      <c r="I16" s="570"/>
      <c r="J16" s="565">
        <f>SUMIF(65:65,I17,66:66)-SUMIF(65:65,C17,66:66)+100</f>
        <v>100</v>
      </c>
      <c r="K16" s="898"/>
      <c r="L16" s="2127"/>
      <c r="M16" s="2119"/>
      <c r="N16" s="2119"/>
      <c r="O16" s="2126"/>
      <c r="P16" s="3461"/>
      <c r="Q16" s="1558" t="str">
        <f>B16</f>
        <v>公共配套设施</v>
      </c>
      <c r="R16" s="1559" t="s">
        <v>8</v>
      </c>
      <c r="S16" s="1560">
        <f>F16</f>
        <v>100</v>
      </c>
      <c r="T16" s="1559" t="s">
        <v>8</v>
      </c>
      <c r="U16" s="1560">
        <f>H16</f>
        <v>100</v>
      </c>
      <c r="V16" s="1559" t="s">
        <v>8</v>
      </c>
      <c r="W16" s="1560">
        <f>J16</f>
        <v>100</v>
      </c>
      <c r="X16" s="1553"/>
      <c r="Y16" s="3461"/>
      <c r="Z16" s="1561" t="str">
        <f>Q16</f>
        <v>公共配套设施</v>
      </c>
      <c r="AA16" s="1562">
        <f t="shared" si="3"/>
        <v>1</v>
      </c>
      <c r="AB16" s="1562">
        <f t="shared" si="4"/>
        <v>1</v>
      </c>
      <c r="AC16" s="1562">
        <f t="shared" si="5"/>
        <v>1</v>
      </c>
    </row>
    <row r="17" spans="1:29" ht="15">
      <c r="A17" s="515"/>
      <c r="B17" s="566"/>
      <c r="C17" s="873"/>
      <c r="D17" s="555"/>
      <c r="E17" s="576"/>
      <c r="F17" s="557"/>
      <c r="G17" s="576"/>
      <c r="H17" s="555"/>
      <c r="I17" s="576"/>
      <c r="J17" s="555"/>
      <c r="K17" s="899"/>
      <c r="L17" s="2127"/>
      <c r="M17" s="2119"/>
      <c r="N17" s="2119"/>
      <c r="O17" s="2126"/>
      <c r="P17" s="3461"/>
      <c r="Q17" s="1558"/>
      <c r="R17" s="1559"/>
      <c r="S17" s="1560"/>
      <c r="T17" s="1559"/>
      <c r="U17" s="1560"/>
      <c r="V17" s="1559"/>
      <c r="W17" s="1560"/>
      <c r="X17" s="1553"/>
      <c r="Y17" s="3461"/>
      <c r="Z17" s="1561"/>
      <c r="AA17" s="1562">
        <v>1</v>
      </c>
      <c r="AB17" s="1562">
        <v>1</v>
      </c>
      <c r="AC17" s="1562">
        <v>1</v>
      </c>
    </row>
    <row r="18" spans="1:29" ht="15">
      <c r="A18" s="515"/>
      <c r="B18" s="2555" t="s">
        <v>2555</v>
      </c>
      <c r="C18" s="872" t="str">
        <f>IF(B1="工业",估价对象房地状况!G6,估价对象房地状况!C8)</f>
        <v>六通</v>
      </c>
      <c r="D18" s="559">
        <v>100</v>
      </c>
      <c r="E18" s="572"/>
      <c r="F18" s="571">
        <f>SUMIF(67:67,E19,68:68)-SUMIF(67:67,C19,68:68)+100</f>
        <v>100</v>
      </c>
      <c r="G18" s="572"/>
      <c r="H18" s="565">
        <f>SUMIF(67:67,G19,68:68)-SUMIF(67:67,C19,68:68)+100</f>
        <v>100</v>
      </c>
      <c r="I18" s="570"/>
      <c r="J18" s="565">
        <f>SUMIF(67:67,I19,68:68)-SUMIF(67:67,C19,68:68)+100</f>
        <v>100</v>
      </c>
      <c r="K18" s="898"/>
      <c r="L18" s="2127"/>
      <c r="M18" s="2119"/>
      <c r="N18" s="2119"/>
      <c r="O18" s="2126"/>
      <c r="P18" s="3461"/>
      <c r="Q18" s="2543" t="str">
        <f>B18</f>
        <v>基础设施水平</v>
      </c>
      <c r="R18" s="1559" t="s">
        <v>8</v>
      </c>
      <c r="S18" s="1560">
        <f>F18</f>
        <v>100</v>
      </c>
      <c r="T18" s="1559" t="s">
        <v>8</v>
      </c>
      <c r="U18" s="1560">
        <f>H18</f>
        <v>100</v>
      </c>
      <c r="V18" s="1559" t="s">
        <v>8</v>
      </c>
      <c r="W18" s="1560">
        <f>J18</f>
        <v>100</v>
      </c>
      <c r="X18" s="2545"/>
      <c r="Y18" s="3461"/>
      <c r="Z18" s="2544" t="str">
        <f>Q18</f>
        <v>基础设施水平</v>
      </c>
      <c r="AA18" s="1562">
        <f t="shared" ref="AA18" si="8">D18/F18</f>
        <v>1</v>
      </c>
      <c r="AB18" s="1562">
        <f t="shared" ref="AB18" si="9">D18/H18</f>
        <v>1</v>
      </c>
      <c r="AC18" s="1562">
        <f t="shared" ref="AC18" si="10">D18/J18</f>
        <v>1</v>
      </c>
    </row>
    <row r="19" spans="1:29" ht="15">
      <c r="A19" s="515"/>
      <c r="B19" s="578"/>
      <c r="C19" s="873"/>
      <c r="D19" s="559"/>
      <c r="E19" s="576"/>
      <c r="F19" s="557"/>
      <c r="G19" s="576"/>
      <c r="H19" s="555"/>
      <c r="I19" s="576"/>
      <c r="J19" s="555"/>
      <c r="K19" s="2566"/>
      <c r="L19" s="2127"/>
      <c r="M19" s="2119"/>
      <c r="N19" s="2119"/>
      <c r="O19" s="2126"/>
      <c r="P19" s="3461"/>
      <c r="Q19" s="2543"/>
      <c r="R19" s="1559"/>
      <c r="S19" s="1560"/>
      <c r="T19" s="1559"/>
      <c r="U19" s="1560"/>
      <c r="V19" s="1559"/>
      <c r="W19" s="1560"/>
      <c r="X19" s="2545"/>
      <c r="Y19" s="3461"/>
      <c r="Z19" s="2544"/>
      <c r="AA19" s="1562">
        <v>1</v>
      </c>
      <c r="AB19" s="1562">
        <v>1</v>
      </c>
      <c r="AC19" s="1562">
        <v>1</v>
      </c>
    </row>
    <row r="20" spans="1:29" ht="15">
      <c r="A20" s="515"/>
      <c r="B20" s="560" t="s">
        <v>804</v>
      </c>
      <c r="C20" s="872" t="str">
        <f>IF(B1="工业",估价对象房地状况!G7,估价对象房地状况!C9)</f>
        <v>较好</v>
      </c>
      <c r="D20" s="565">
        <v>100</v>
      </c>
      <c r="E20" s="562"/>
      <c r="F20" s="563">
        <f>SUMIF(69:69,E21,70:70)-SUMIF(69:69,C21,70:70)+100</f>
        <v>100</v>
      </c>
      <c r="G20" s="564"/>
      <c r="H20" s="559">
        <f>SUMIF(69:69,G21,70:70)-SUMIF(69:69,C21,70:70)+100</f>
        <v>100</v>
      </c>
      <c r="I20" s="562"/>
      <c r="J20" s="559">
        <f>SUMIF(69:69,I21,70:70)-SUMIF(69:69,C21,70:70)+100</f>
        <v>100</v>
      </c>
      <c r="K20" s="898"/>
      <c r="L20" s="2127"/>
      <c r="M20" s="2119"/>
      <c r="N20" s="2119"/>
      <c r="O20" s="2126"/>
      <c r="P20" s="3461"/>
      <c r="Q20" s="1558" t="str">
        <f>B20</f>
        <v>自然及人文环境</v>
      </c>
      <c r="R20" s="1559" t="s">
        <v>8</v>
      </c>
      <c r="S20" s="1560">
        <f>F20</f>
        <v>100</v>
      </c>
      <c r="T20" s="1559" t="s">
        <v>8</v>
      </c>
      <c r="U20" s="1560">
        <f>H20</f>
        <v>100</v>
      </c>
      <c r="V20" s="1559" t="s">
        <v>8</v>
      </c>
      <c r="W20" s="1560">
        <f>J20</f>
        <v>100</v>
      </c>
      <c r="X20" s="1553"/>
      <c r="Y20" s="3461"/>
      <c r="Z20" s="1561" t="str">
        <f>Q20</f>
        <v>自然及人文环境</v>
      </c>
      <c r="AA20" s="1562">
        <f t="shared" si="3"/>
        <v>1</v>
      </c>
      <c r="AB20" s="1562">
        <f t="shared" si="4"/>
        <v>1</v>
      </c>
      <c r="AC20" s="1562">
        <f t="shared" si="5"/>
        <v>1</v>
      </c>
    </row>
    <row r="21" spans="1:29" ht="15">
      <c r="A21" s="515"/>
      <c r="B21" s="566"/>
      <c r="C21" s="576"/>
      <c r="D21" s="555"/>
      <c r="E21" s="576"/>
      <c r="F21" s="557"/>
      <c r="G21" s="576"/>
      <c r="H21" s="555"/>
      <c r="I21" s="576"/>
      <c r="J21" s="555"/>
      <c r="K21" s="899"/>
      <c r="L21" s="2127"/>
      <c r="M21" s="2119"/>
      <c r="N21" s="2119"/>
      <c r="O21" s="2126"/>
      <c r="P21" s="3461"/>
      <c r="Q21" s="1558"/>
      <c r="R21" s="1559"/>
      <c r="S21" s="1560"/>
      <c r="T21" s="1559"/>
      <c r="U21" s="1560"/>
      <c r="V21" s="1559"/>
      <c r="W21" s="1560"/>
      <c r="X21" s="1553"/>
      <c r="Y21" s="3461"/>
      <c r="Z21" s="1561"/>
      <c r="AA21" s="1562">
        <v>1</v>
      </c>
      <c r="AB21" s="1562">
        <v>1</v>
      </c>
      <c r="AC21" s="1562">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7"/>
      <c r="M22" s="2119"/>
      <c r="N22" s="2119"/>
      <c r="O22" s="2126"/>
      <c r="P22" s="3461"/>
      <c r="Q22" s="1558" t="str">
        <f>B22</f>
        <v>楼层</v>
      </c>
      <c r="R22" s="1559" t="s">
        <v>8</v>
      </c>
      <c r="S22" s="1560">
        <f>F22</f>
        <v>100</v>
      </c>
      <c r="T22" s="1559" t="s">
        <v>8</v>
      </c>
      <c r="U22" s="1560">
        <f>H22</f>
        <v>100</v>
      </c>
      <c r="V22" s="1559" t="s">
        <v>8</v>
      </c>
      <c r="W22" s="1560">
        <f>J22</f>
        <v>100</v>
      </c>
      <c r="X22" s="1553"/>
      <c r="Y22" s="3461"/>
      <c r="Z22" s="1561" t="str">
        <f>Q22</f>
        <v>楼层</v>
      </c>
      <c r="AA22" s="1562">
        <f t="shared" si="3"/>
        <v>1</v>
      </c>
      <c r="AB22" s="1562">
        <f t="shared" si="4"/>
        <v>1</v>
      </c>
      <c r="AC22" s="1562">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7"/>
      <c r="M23" s="2119"/>
      <c r="N23" s="2119"/>
      <c r="O23" s="2126"/>
      <c r="P23" s="3461"/>
      <c r="Q23" s="1558">
        <f>B23</f>
        <v>111</v>
      </c>
      <c r="R23" s="1559" t="s">
        <v>8</v>
      </c>
      <c r="S23" s="1560">
        <f>F23</f>
        <v>100</v>
      </c>
      <c r="T23" s="1559" t="s">
        <v>8</v>
      </c>
      <c r="U23" s="1560">
        <f>H23</f>
        <v>100</v>
      </c>
      <c r="V23" s="1559" t="s">
        <v>8</v>
      </c>
      <c r="W23" s="1560">
        <f>J23</f>
        <v>100</v>
      </c>
      <c r="X23" s="1553"/>
      <c r="Y23" s="3461"/>
      <c r="Z23" s="1561">
        <f>Q23</f>
        <v>111</v>
      </c>
      <c r="AA23" s="1562">
        <f t="shared" si="3"/>
        <v>1</v>
      </c>
      <c r="AB23" s="1562">
        <f t="shared" si="4"/>
        <v>1</v>
      </c>
      <c r="AC23" s="1562">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7"/>
      <c r="M24" s="2119"/>
      <c r="N24" s="2119"/>
      <c r="O24" s="2126"/>
      <c r="P24" s="3461"/>
      <c r="Q24" s="1558">
        <f t="shared" ref="Q24:Q36" si="11">B24</f>
        <v>111</v>
      </c>
      <c r="R24" s="1559" t="s">
        <v>8</v>
      </c>
      <c r="S24" s="1560">
        <f>F24</f>
        <v>100</v>
      </c>
      <c r="T24" s="1559" t="s">
        <v>8</v>
      </c>
      <c r="U24" s="1560">
        <f>H24</f>
        <v>100</v>
      </c>
      <c r="V24" s="1559" t="s">
        <v>8</v>
      </c>
      <c r="W24" s="1560">
        <f>J24</f>
        <v>100</v>
      </c>
      <c r="X24" s="1553"/>
      <c r="Y24" s="3461"/>
      <c r="Z24" s="1561">
        <f>Q24</f>
        <v>111</v>
      </c>
      <c r="AA24" s="1562">
        <f t="shared" si="3"/>
        <v>1</v>
      </c>
      <c r="AB24" s="1562">
        <f t="shared" si="4"/>
        <v>1</v>
      </c>
      <c r="AC24" s="1562">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0"/>
      <c r="M25" s="2121"/>
      <c r="N25" s="2121"/>
      <c r="O25" s="2122"/>
      <c r="P25" s="3461"/>
      <c r="Q25" s="1147">
        <f t="shared" si="11"/>
        <v>111</v>
      </c>
      <c r="R25" s="1554" t="s">
        <v>8</v>
      </c>
      <c r="S25" s="1555">
        <f>F25</f>
        <v>100</v>
      </c>
      <c r="T25" s="1554" t="s">
        <v>8</v>
      </c>
      <c r="U25" s="1555">
        <f>H25</f>
        <v>100</v>
      </c>
      <c r="V25" s="1554" t="s">
        <v>8</v>
      </c>
      <c r="W25" s="1555">
        <f>J25</f>
        <v>100</v>
      </c>
      <c r="X25" s="1556"/>
      <c r="Y25" s="3461"/>
      <c r="Z25" s="1146">
        <f>Q25</f>
        <v>111</v>
      </c>
      <c r="AA25" s="1562">
        <f>D25/F25</f>
        <v>1</v>
      </c>
      <c r="AB25" s="1562">
        <f>D25/H25</f>
        <v>1</v>
      </c>
      <c r="AC25" s="1562">
        <f>D25/J25</f>
        <v>1</v>
      </c>
    </row>
    <row r="26" spans="1:29" ht="15">
      <c r="A26" s="2862" t="s">
        <v>2752</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7"/>
      <c r="M26" s="2119"/>
      <c r="N26" s="2119"/>
      <c r="O26" s="2126"/>
      <c r="P26" s="3462" t="s">
        <v>550</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3463" t="s">
        <v>550</v>
      </c>
      <c r="Z26" s="1561" t="str">
        <f t="shared" ref="Z26:Z36" si="15">Q26</f>
        <v>配套类型</v>
      </c>
      <c r="AA26" s="1562">
        <f t="shared" si="3"/>
        <v>1</v>
      </c>
      <c r="AB26" s="1562">
        <f t="shared" si="4"/>
        <v>1</v>
      </c>
      <c r="AC26" s="1562">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5"/>
      <c r="M27" s="2156"/>
      <c r="N27" s="2156"/>
      <c r="O27" s="2128"/>
      <c r="P27" s="3463"/>
      <c r="Q27" s="1590" t="str">
        <f t="shared" si="11"/>
        <v>项目停车位配比</v>
      </c>
      <c r="R27" s="1563" t="s">
        <v>8</v>
      </c>
      <c r="S27" s="1564">
        <f t="shared" si="12"/>
        <v>100</v>
      </c>
      <c r="T27" s="1563" t="s">
        <v>8</v>
      </c>
      <c r="U27" s="1564">
        <f t="shared" si="13"/>
        <v>100</v>
      </c>
      <c r="V27" s="1563" t="s">
        <v>8</v>
      </c>
      <c r="W27" s="1564">
        <f t="shared" si="14"/>
        <v>100</v>
      </c>
      <c r="X27" s="1565"/>
      <c r="Y27" s="3463"/>
      <c r="Z27" s="1566" t="str">
        <f t="shared" si="15"/>
        <v>项目停车位配比</v>
      </c>
      <c r="AA27" s="1562">
        <f t="shared" si="3"/>
        <v>1</v>
      </c>
      <c r="AB27" s="1562">
        <f t="shared" si="4"/>
        <v>1</v>
      </c>
      <c r="AC27" s="1562">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7"/>
      <c r="M28" s="2119"/>
      <c r="N28" s="2119"/>
      <c r="O28" s="2126"/>
      <c r="P28" s="3463"/>
      <c r="Q28" s="1558" t="str">
        <f t="shared" si="11"/>
        <v>公共部分装修</v>
      </c>
      <c r="R28" s="1559" t="s">
        <v>8</v>
      </c>
      <c r="S28" s="1560">
        <f t="shared" si="12"/>
        <v>100</v>
      </c>
      <c r="T28" s="1559" t="s">
        <v>8</v>
      </c>
      <c r="U28" s="1560">
        <f t="shared" si="13"/>
        <v>100</v>
      </c>
      <c r="V28" s="1559" t="s">
        <v>8</v>
      </c>
      <c r="W28" s="1560">
        <f t="shared" si="14"/>
        <v>100</v>
      </c>
      <c r="X28" s="1553"/>
      <c r="Y28" s="3463"/>
      <c r="Z28" s="1561" t="str">
        <f t="shared" si="15"/>
        <v>公共部分装修</v>
      </c>
      <c r="AA28" s="1562">
        <f t="shared" si="3"/>
        <v>1</v>
      </c>
      <c r="AB28" s="1562">
        <f t="shared" si="4"/>
        <v>1</v>
      </c>
      <c r="AC28" s="1562">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7"/>
      <c r="M29" s="2119"/>
      <c r="N29" s="2119"/>
      <c r="O29" s="2126"/>
      <c r="P29" s="3463"/>
      <c r="Q29" s="1558" t="str">
        <f t="shared" si="11"/>
        <v>成新率</v>
      </c>
      <c r="R29" s="1559" t="s">
        <v>8</v>
      </c>
      <c r="S29" s="1560" t="e">
        <f t="shared" si="12"/>
        <v>#N/A</v>
      </c>
      <c r="T29" s="1559" t="s">
        <v>8</v>
      </c>
      <c r="U29" s="1560" t="e">
        <f t="shared" si="13"/>
        <v>#N/A</v>
      </c>
      <c r="V29" s="1559" t="s">
        <v>8</v>
      </c>
      <c r="W29" s="1560" t="e">
        <f t="shared" si="14"/>
        <v>#N/A</v>
      </c>
      <c r="X29" s="1553"/>
      <c r="Y29" s="3463"/>
      <c r="Z29" s="1561" t="str">
        <f t="shared" si="15"/>
        <v>成新率</v>
      </c>
      <c r="AA29" s="1562" t="e">
        <f t="shared" si="3"/>
        <v>#N/A</v>
      </c>
      <c r="AB29" s="1562" t="e">
        <f t="shared" si="4"/>
        <v>#N/A</v>
      </c>
      <c r="AC29" s="1562"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7"/>
      <c r="M30" s="2119"/>
      <c r="N30" s="2119"/>
      <c r="O30" s="2126"/>
      <c r="P30" s="3463"/>
      <c r="Q30" s="1558" t="str">
        <f t="shared" si="11"/>
        <v>物业等级</v>
      </c>
      <c r="R30" s="1559" t="s">
        <v>8</v>
      </c>
      <c r="S30" s="1560">
        <f t="shared" si="12"/>
        <v>100</v>
      </c>
      <c r="T30" s="1559" t="s">
        <v>8</v>
      </c>
      <c r="U30" s="1560">
        <f t="shared" si="13"/>
        <v>100</v>
      </c>
      <c r="V30" s="1559" t="s">
        <v>8</v>
      </c>
      <c r="W30" s="1560">
        <f t="shared" si="14"/>
        <v>100</v>
      </c>
      <c r="X30" s="1553"/>
      <c r="Y30" s="3463"/>
      <c r="Z30" s="1561" t="str">
        <f t="shared" si="15"/>
        <v>物业等级</v>
      </c>
      <c r="AA30" s="1562">
        <f t="shared" si="3"/>
        <v>1</v>
      </c>
      <c r="AB30" s="1562">
        <f t="shared" si="4"/>
        <v>1</v>
      </c>
      <c r="AC30" s="1562">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0"/>
      <c r="M31" s="2121"/>
      <c r="N31" s="2121"/>
      <c r="O31" s="2122"/>
      <c r="P31" s="3463"/>
      <c r="Q31" s="1147" t="str">
        <f t="shared" si="11"/>
        <v>停车位面积</v>
      </c>
      <c r="R31" s="1554" t="s">
        <v>8</v>
      </c>
      <c r="S31" s="1555" t="e">
        <f t="shared" si="12"/>
        <v>#N/A</v>
      </c>
      <c r="T31" s="1554" t="s">
        <v>8</v>
      </c>
      <c r="U31" s="1555" t="e">
        <f t="shared" si="13"/>
        <v>#N/A</v>
      </c>
      <c r="V31" s="1554" t="s">
        <v>8</v>
      </c>
      <c r="W31" s="1555" t="e">
        <f t="shared" si="14"/>
        <v>#N/A</v>
      </c>
      <c r="X31" s="1556"/>
      <c r="Y31" s="3463"/>
      <c r="Z31" s="1146" t="str">
        <f t="shared" si="15"/>
        <v>停车位面积</v>
      </c>
      <c r="AA31" s="1557" t="e">
        <f t="shared" si="3"/>
        <v>#N/A</v>
      </c>
      <c r="AB31" s="1557" t="e">
        <f t="shared" si="4"/>
        <v>#N/A</v>
      </c>
      <c r="AC31" s="1557"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7"/>
      <c r="M32" s="2119"/>
      <c r="N32" s="2119"/>
      <c r="O32" s="2126"/>
      <c r="P32" s="3463" t="s">
        <v>550</v>
      </c>
      <c r="Q32" s="1558" t="str">
        <f t="shared" si="11"/>
        <v>车位类型</v>
      </c>
      <c r="R32" s="1559" t="s">
        <v>8</v>
      </c>
      <c r="S32" s="1560">
        <f t="shared" si="12"/>
        <v>100</v>
      </c>
      <c r="T32" s="1559" t="s">
        <v>8</v>
      </c>
      <c r="U32" s="1560">
        <f t="shared" si="13"/>
        <v>100</v>
      </c>
      <c r="V32" s="1559" t="s">
        <v>8</v>
      </c>
      <c r="W32" s="1560">
        <f t="shared" si="14"/>
        <v>100</v>
      </c>
      <c r="X32" s="1553"/>
      <c r="Y32" s="3463" t="s">
        <v>550</v>
      </c>
      <c r="Z32" s="1561" t="str">
        <f t="shared" si="15"/>
        <v>车位类型</v>
      </c>
      <c r="AA32" s="1562">
        <f t="shared" si="3"/>
        <v>1</v>
      </c>
      <c r="AB32" s="1562">
        <f t="shared" si="4"/>
        <v>1</v>
      </c>
      <c r="AC32" s="1562">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7"/>
      <c r="M33" s="2119"/>
      <c r="N33" s="2119"/>
      <c r="O33" s="2126"/>
      <c r="P33" s="3463"/>
      <c r="Q33" s="1558" t="str">
        <f t="shared" si="11"/>
        <v>是否直接入户</v>
      </c>
      <c r="R33" s="1559" t="s">
        <v>8</v>
      </c>
      <c r="S33" s="1560">
        <f t="shared" si="12"/>
        <v>100</v>
      </c>
      <c r="T33" s="1559" t="s">
        <v>8</v>
      </c>
      <c r="U33" s="1560">
        <f t="shared" si="13"/>
        <v>100</v>
      </c>
      <c r="V33" s="1559" t="s">
        <v>8</v>
      </c>
      <c r="W33" s="1560">
        <f t="shared" si="14"/>
        <v>100</v>
      </c>
      <c r="X33" s="1553"/>
      <c r="Y33" s="3463"/>
      <c r="Z33" s="1561" t="str">
        <f t="shared" si="15"/>
        <v>是否直接入户</v>
      </c>
      <c r="AA33" s="1562">
        <f t="shared" si="3"/>
        <v>1</v>
      </c>
      <c r="AB33" s="1562">
        <f t="shared" si="4"/>
        <v>1</v>
      </c>
      <c r="AC33" s="1562">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7"/>
      <c r="M34" s="2119"/>
      <c r="N34" s="2119"/>
      <c r="O34" s="2126"/>
      <c r="P34" s="3463"/>
      <c r="Q34" s="1558">
        <f t="shared" si="11"/>
        <v>111</v>
      </c>
      <c r="R34" s="1559" t="s">
        <v>8</v>
      </c>
      <c r="S34" s="1560">
        <f t="shared" si="12"/>
        <v>100</v>
      </c>
      <c r="T34" s="1559" t="s">
        <v>8</v>
      </c>
      <c r="U34" s="1560">
        <f t="shared" si="13"/>
        <v>100</v>
      </c>
      <c r="V34" s="1559" t="s">
        <v>8</v>
      </c>
      <c r="W34" s="1560">
        <f t="shared" si="14"/>
        <v>100</v>
      </c>
      <c r="X34" s="1553"/>
      <c r="Y34" s="3463"/>
      <c r="Z34" s="1561">
        <f t="shared" si="15"/>
        <v>111</v>
      </c>
      <c r="AA34" s="1562">
        <f t="shared" si="3"/>
        <v>1</v>
      </c>
      <c r="AB34" s="1562">
        <f t="shared" si="4"/>
        <v>1</v>
      </c>
      <c r="AC34" s="1562">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5"/>
      <c r="M35" s="2156"/>
      <c r="N35" s="2156"/>
      <c r="O35" s="2128"/>
      <c r="P35" s="3463"/>
      <c r="Q35" s="1590">
        <f t="shared" si="11"/>
        <v>111</v>
      </c>
      <c r="R35" s="1563" t="s">
        <v>8</v>
      </c>
      <c r="S35" s="1564">
        <f t="shared" si="12"/>
        <v>100</v>
      </c>
      <c r="T35" s="1563" t="s">
        <v>8</v>
      </c>
      <c r="U35" s="1564">
        <f t="shared" si="13"/>
        <v>100</v>
      </c>
      <c r="V35" s="1563" t="s">
        <v>8</v>
      </c>
      <c r="W35" s="1564">
        <f t="shared" si="14"/>
        <v>100</v>
      </c>
      <c r="X35" s="1565"/>
      <c r="Y35" s="3463"/>
      <c r="Z35" s="1566">
        <f t="shared" si="15"/>
        <v>111</v>
      </c>
      <c r="AA35" s="1562">
        <f t="shared" si="3"/>
        <v>1</v>
      </c>
      <c r="AB35" s="1562">
        <f t="shared" si="4"/>
        <v>1</v>
      </c>
      <c r="AC35" s="1562">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7"/>
      <c r="M36" s="2119"/>
      <c r="N36" s="2119"/>
      <c r="O36" s="2126"/>
      <c r="P36" s="3463"/>
      <c r="Q36" s="1558">
        <f t="shared" si="11"/>
        <v>111</v>
      </c>
      <c r="R36" s="1559" t="s">
        <v>8</v>
      </c>
      <c r="S36" s="1560">
        <f t="shared" si="12"/>
        <v>100</v>
      </c>
      <c r="T36" s="1559" t="s">
        <v>8</v>
      </c>
      <c r="U36" s="1560">
        <f t="shared" si="13"/>
        <v>100</v>
      </c>
      <c r="V36" s="1559" t="s">
        <v>8</v>
      </c>
      <c r="W36" s="1560">
        <f t="shared" si="14"/>
        <v>100</v>
      </c>
      <c r="X36" s="1553"/>
      <c r="Y36" s="3463"/>
      <c r="Z36" s="1561">
        <f t="shared" si="15"/>
        <v>111</v>
      </c>
      <c r="AA36" s="1562">
        <f t="shared" si="3"/>
        <v>1</v>
      </c>
      <c r="AB36" s="1562">
        <f t="shared" si="4"/>
        <v>1</v>
      </c>
      <c r="AC36" s="1562">
        <f t="shared" si="5"/>
        <v>1</v>
      </c>
    </row>
    <row r="37" spans="1:29" ht="15">
      <c r="A37" s="1831" t="s">
        <v>2077</v>
      </c>
      <c r="B37" s="1832" t="s">
        <v>2078</v>
      </c>
      <c r="C37" s="2591" t="s">
        <v>1</v>
      </c>
      <c r="D37" s="2592"/>
      <c r="E37" s="2593"/>
      <c r="F37" s="2594"/>
      <c r="G37" s="2595"/>
      <c r="H37" s="2596"/>
      <c r="I37" s="2593"/>
      <c r="J37" s="2596"/>
      <c r="K37" s="1596"/>
      <c r="L37" s="2129"/>
      <c r="M37" s="2130"/>
      <c r="N37" s="2119"/>
      <c r="O37" s="2130"/>
      <c r="P37" s="3424" t="str">
        <f>A37</f>
        <v>成交单价</v>
      </c>
      <c r="Q37" s="3424"/>
      <c r="R37" s="3542">
        <f>E37</f>
        <v>0</v>
      </c>
      <c r="S37" s="3542"/>
      <c r="T37" s="3542">
        <f>G37</f>
        <v>0</v>
      </c>
      <c r="U37" s="3542"/>
      <c r="V37" s="3542">
        <f>I37</f>
        <v>0</v>
      </c>
      <c r="W37" s="3542"/>
      <c r="X37" s="1545"/>
      <c r="Y37" s="1567"/>
      <c r="Z37" s="1545"/>
      <c r="AA37" s="1545"/>
      <c r="AB37" s="1545"/>
      <c r="AC37" s="1545"/>
    </row>
    <row r="38" spans="1:29" ht="15.75" thickBot="1">
      <c r="A38" s="615" t="s">
        <v>2757</v>
      </c>
      <c r="B38" s="888"/>
      <c r="C38" s="2597" t="e">
        <f>R39</f>
        <v>#DIV/0!</v>
      </c>
      <c r="D38" s="2598"/>
      <c r="E38" s="2599" t="e">
        <f>R38</f>
        <v>#DIV/0!</v>
      </c>
      <c r="F38" s="2599"/>
      <c r="G38" s="2597" t="e">
        <f>T38</f>
        <v>#DIV/0!</v>
      </c>
      <c r="H38" s="2598"/>
      <c r="I38" s="2599" t="e">
        <f>V38</f>
        <v>#DIV/0!</v>
      </c>
      <c r="J38" s="2598"/>
      <c r="K38" s="1597"/>
      <c r="L38" s="2129"/>
      <c r="M38" s="2130"/>
      <c r="N38" s="2130"/>
      <c r="O38" s="2130"/>
      <c r="P38" s="3424" t="str">
        <f>A38</f>
        <v>比较价格（元/平方米）</v>
      </c>
      <c r="Q38" s="3424"/>
      <c r="R38" s="3542" t="e">
        <f>IF(F1="售价",ROUND(PRODUCT(R37,AA7:AA36),0),ROUND(PRODUCT(R37,AA7:AA36),1))</f>
        <v>#DIV/0!</v>
      </c>
      <c r="S38" s="3542"/>
      <c r="T38" s="3542" t="e">
        <f>IF(F1="售价",ROUND(PRODUCT(T37,AB7:AB36),0),ROUND(PRODUCT(T37,AB7:AB36),1))</f>
        <v>#DIV/0!</v>
      </c>
      <c r="U38" s="3542"/>
      <c r="V38" s="3542" t="e">
        <f>IF(F1="售价",ROUND(PRODUCT(V37,AC7:AC36),0),ROUND(PRODUCT(V37,AC7:AC36),1))</f>
        <v>#DIV/0!</v>
      </c>
      <c r="W38" s="3542"/>
      <c r="X38" s="1545"/>
      <c r="Y38" s="1545"/>
      <c r="Z38" s="1545"/>
      <c r="AA38" s="1545"/>
      <c r="AB38" s="1545"/>
      <c r="AC38" s="1545"/>
    </row>
    <row r="39" spans="1:29" ht="15.75" thickBot="1">
      <c r="A39" s="621" t="s">
        <v>2928</v>
      </c>
      <c r="B39" s="622"/>
      <c r="C39" s="2600" t="e">
        <f>R39</f>
        <v>#DIV/0!</v>
      </c>
      <c r="D39" s="2600"/>
      <c r="E39" s="2600"/>
      <c r="F39" s="2600"/>
      <c r="G39" s="2600"/>
      <c r="H39" s="2600"/>
      <c r="I39" s="2600"/>
      <c r="J39" s="2600"/>
      <c r="K39" s="1598"/>
      <c r="L39" s="2129"/>
      <c r="M39" s="2130"/>
      <c r="N39" s="2130"/>
      <c r="O39" s="2130"/>
      <c r="P39" s="3421" t="str">
        <f>A39</f>
        <v>估价对象XX用房的比较价格（楼面单价，元/平方米）</v>
      </c>
      <c r="Q39" s="3422"/>
      <c r="R39" s="3543" t="e">
        <f>IF(F1="售价",ROUND(AVERAGE(R38:V38),0),ROUND(AVERAGE(R38:V38),1))</f>
        <v>#DIV/0!</v>
      </c>
      <c r="S39" s="3543"/>
      <c r="T39" s="3543"/>
      <c r="U39" s="3543"/>
      <c r="V39" s="3543"/>
      <c r="W39" s="3543"/>
      <c r="X39" s="1545"/>
      <c r="Y39" s="1545"/>
      <c r="Z39" s="1545"/>
      <c r="AA39" s="1545"/>
      <c r="AB39" s="1545"/>
      <c r="AC39" s="1545"/>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1" customFormat="1" ht="13.5" customHeight="1">
      <c r="A44" s="2131"/>
      <c r="B44" s="2131"/>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1"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0" t="s">
        <v>574</v>
      </c>
      <c r="B47" s="1545"/>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3" customFormat="1" ht="15">
      <c r="A48" s="645" t="s">
        <v>529</v>
      </c>
      <c r="B48" s="646"/>
      <c r="C48" s="2757" t="str">
        <f>YEAR(C7)&amp;"-"&amp;MONTH(C7)</f>
        <v>2020-2</v>
      </c>
      <c r="D48" s="2759">
        <f>EDATE(C48,-1)</f>
        <v>43831</v>
      </c>
      <c r="E48" s="2759">
        <f t="shared" ref="E48:O48" si="16">EDATE(D48,-1)</f>
        <v>43800</v>
      </c>
      <c r="F48" s="2759">
        <f t="shared" si="16"/>
        <v>43770</v>
      </c>
      <c r="G48" s="2759">
        <f t="shared" si="16"/>
        <v>43739</v>
      </c>
      <c r="H48" s="2759">
        <f t="shared" si="16"/>
        <v>43709</v>
      </c>
      <c r="I48" s="2759">
        <f t="shared" si="16"/>
        <v>43678</v>
      </c>
      <c r="J48" s="2759">
        <f t="shared" si="16"/>
        <v>43647</v>
      </c>
      <c r="K48" s="2759">
        <f t="shared" si="16"/>
        <v>43617</v>
      </c>
      <c r="L48" s="2759">
        <f t="shared" si="16"/>
        <v>43586</v>
      </c>
      <c r="M48" s="2759">
        <f t="shared" si="16"/>
        <v>43556</v>
      </c>
      <c r="N48" s="2759">
        <f t="shared" si="16"/>
        <v>43525</v>
      </c>
      <c r="O48" s="2759">
        <f t="shared" si="16"/>
        <v>43497</v>
      </c>
      <c r="P48" s="2145"/>
      <c r="Q48" s="2146"/>
      <c r="R48" s="2146"/>
      <c r="S48" s="2146"/>
      <c r="T48" s="2146"/>
      <c r="U48" s="2146"/>
      <c r="V48" s="2146"/>
      <c r="W48" s="2146"/>
      <c r="X48" s="2146"/>
      <c r="Y48" s="2146"/>
      <c r="Z48" s="2146"/>
      <c r="AA48" s="2146"/>
      <c r="AB48" s="2146"/>
      <c r="AC48" s="2146"/>
    </row>
    <row r="49" spans="1:29" s="1216" customFormat="1" ht="15">
      <c r="A49" s="647"/>
      <c r="B49" s="648"/>
      <c r="C49" s="2758">
        <v>100</v>
      </c>
      <c r="D49" s="650"/>
      <c r="E49" s="650"/>
      <c r="F49" s="650"/>
      <c r="G49" s="650"/>
      <c r="H49" s="650"/>
      <c r="I49" s="650"/>
      <c r="J49" s="650"/>
      <c r="K49" s="650"/>
      <c r="L49" s="650"/>
      <c r="M49" s="651"/>
      <c r="N49" s="650"/>
      <c r="O49" s="652"/>
      <c r="P49" s="2143"/>
      <c r="Q49" s="1978"/>
      <c r="R49" s="1978"/>
      <c r="S49" s="1978"/>
      <c r="T49" s="1978"/>
      <c r="U49" s="1978"/>
      <c r="V49" s="1978"/>
      <c r="W49" s="1978"/>
      <c r="X49" s="1978"/>
      <c r="Y49" s="1978"/>
      <c r="Z49" s="1978"/>
      <c r="AA49" s="1978"/>
      <c r="AB49" s="1978"/>
      <c r="AC49" s="1978"/>
    </row>
    <row r="50" spans="1:29" s="1216" customFormat="1" ht="15.75" thickBot="1">
      <c r="A50" s="653" t="s">
        <v>575</v>
      </c>
      <c r="B50" s="654"/>
      <c r="C50" s="655"/>
      <c r="D50" s="656"/>
      <c r="E50" s="656"/>
      <c r="F50" s="656"/>
      <c r="G50" s="656"/>
      <c r="H50" s="656"/>
      <c r="I50" s="656"/>
      <c r="J50" s="656"/>
      <c r="K50" s="656"/>
      <c r="L50" s="656"/>
      <c r="M50" s="657"/>
      <c r="N50" s="656"/>
      <c r="O50" s="658"/>
      <c r="P50" s="2143"/>
      <c r="Q50" s="2143"/>
      <c r="R50" s="1978"/>
      <c r="S50" s="1978"/>
      <c r="T50" s="1978"/>
      <c r="U50" s="1978"/>
      <c r="V50" s="1978"/>
      <c r="W50" s="1978"/>
      <c r="X50" s="1978"/>
      <c r="Y50" s="1978"/>
      <c r="Z50" s="1978"/>
      <c r="AA50" s="1978"/>
      <c r="AB50" s="1978"/>
      <c r="AC50" s="1978"/>
    </row>
    <row r="51" spans="1:29" s="1216" customFormat="1" ht="15">
      <c r="A51" s="659" t="s">
        <v>531</v>
      </c>
      <c r="B51" s="648"/>
      <c r="C51" s="660" t="s">
        <v>576</v>
      </c>
      <c r="D51" s="661"/>
      <c r="E51" s="661"/>
      <c r="F51" s="661"/>
      <c r="G51" s="661"/>
      <c r="H51" s="661"/>
      <c r="I51" s="661"/>
      <c r="J51" s="661"/>
      <c r="K51" s="661"/>
      <c r="L51" s="662"/>
      <c r="M51" s="663"/>
      <c r="N51" s="2147"/>
      <c r="O51" s="2147"/>
      <c r="P51" s="2148"/>
      <c r="Q51" s="2143"/>
      <c r="R51" s="1978"/>
      <c r="S51" s="1978"/>
      <c r="T51" s="1978"/>
      <c r="U51" s="1978"/>
      <c r="V51" s="1978"/>
      <c r="W51" s="1978"/>
      <c r="X51" s="1978"/>
      <c r="Y51" s="1978"/>
      <c r="Z51" s="1978"/>
      <c r="AA51" s="1978"/>
      <c r="AB51" s="1978"/>
      <c r="AC51" s="1978"/>
    </row>
    <row r="52" spans="1:29" s="1216" customFormat="1" ht="15.75" thickBot="1">
      <c r="A52" s="659"/>
      <c r="B52" s="648"/>
      <c r="C52" s="649">
        <v>100</v>
      </c>
      <c r="D52" s="650"/>
      <c r="E52" s="650"/>
      <c r="F52" s="650"/>
      <c r="G52" s="650"/>
      <c r="H52" s="650"/>
      <c r="I52" s="650"/>
      <c r="J52" s="650"/>
      <c r="K52" s="650"/>
      <c r="L52" s="650"/>
      <c r="M52" s="652"/>
      <c r="N52" s="2147"/>
      <c r="O52" s="2147"/>
      <c r="P52" s="2143"/>
      <c r="Q52" s="2143"/>
      <c r="R52" s="1978"/>
      <c r="S52" s="1978"/>
      <c r="T52" s="1978"/>
      <c r="U52" s="1978"/>
      <c r="V52" s="1978"/>
      <c r="W52" s="1978"/>
      <c r="X52" s="1978"/>
      <c r="Y52" s="1978"/>
      <c r="Z52" s="1978"/>
      <c r="AA52" s="1978"/>
      <c r="AB52" s="1978"/>
      <c r="AC52" s="1978"/>
    </row>
    <row r="53" spans="1:29">
      <c r="A53" s="664" t="s">
        <v>577</v>
      </c>
      <c r="B53" s="665" t="s">
        <v>534</v>
      </c>
      <c r="C53" s="704">
        <f>C9</f>
        <v>0</v>
      </c>
      <c r="D53" s="598"/>
      <c r="E53" s="598"/>
      <c r="F53" s="598"/>
      <c r="G53" s="598"/>
      <c r="H53" s="598"/>
      <c r="I53" s="598"/>
      <c r="J53" s="598"/>
      <c r="K53" s="666"/>
      <c r="L53" s="667"/>
      <c r="M53" s="668"/>
      <c r="N53" s="2149"/>
      <c r="O53" s="2149"/>
      <c r="P53" s="2150"/>
      <c r="Q53" s="2143"/>
      <c r="R53" s="2130"/>
      <c r="S53" s="2130"/>
      <c r="T53" s="2130"/>
      <c r="U53" s="2130"/>
      <c r="V53" s="2130"/>
      <c r="W53" s="2130"/>
      <c r="X53" s="2130"/>
      <c r="Y53" s="2130"/>
      <c r="Z53" s="2130"/>
      <c r="AA53" s="2130"/>
      <c r="AB53" s="2130"/>
      <c r="AC53" s="2130"/>
    </row>
    <row r="54" spans="1:29" ht="15.75" thickBot="1">
      <c r="A54" s="669"/>
      <c r="B54" s="670"/>
      <c r="C54" s="671"/>
      <c r="D54" s="671"/>
      <c r="E54" s="671"/>
      <c r="F54" s="671"/>
      <c r="G54" s="671"/>
      <c r="H54" s="671"/>
      <c r="I54" s="671"/>
      <c r="J54" s="671"/>
      <c r="K54" s="671"/>
      <c r="L54" s="671"/>
      <c r="M54" s="672"/>
      <c r="N54" s="2151"/>
      <c r="O54" s="2151"/>
      <c r="P54" s="2150"/>
      <c r="Q54" s="2143"/>
      <c r="R54" s="2130"/>
      <c r="S54" s="2130"/>
      <c r="T54" s="2130"/>
      <c r="U54" s="2130"/>
      <c r="V54" s="2130"/>
      <c r="W54" s="2130"/>
      <c r="X54" s="2130"/>
      <c r="Y54" s="2130"/>
      <c r="Z54" s="2130"/>
      <c r="AA54" s="2130"/>
      <c r="AB54" s="2130"/>
      <c r="AC54" s="2130"/>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49"/>
      <c r="O55" s="2149"/>
      <c r="P55" s="2150"/>
      <c r="Q55" s="2143"/>
      <c r="R55" s="2130"/>
      <c r="S55" s="2130"/>
      <c r="T55" s="2130"/>
      <c r="U55" s="2130"/>
      <c r="V55" s="2130"/>
      <c r="W55" s="2130"/>
      <c r="X55" s="2130"/>
      <c r="Y55" s="2130"/>
      <c r="Z55" s="2130"/>
      <c r="AA55" s="2130"/>
      <c r="AB55" s="2130"/>
      <c r="AC55" s="2130"/>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1"/>
      <c r="O56" s="2151"/>
      <c r="P56" s="2150"/>
      <c r="Q56" s="2143"/>
      <c r="R56" s="2130"/>
      <c r="S56" s="2130"/>
      <c r="T56" s="2130"/>
      <c r="U56" s="2130"/>
      <c r="V56" s="2130"/>
      <c r="W56" s="2130"/>
      <c r="X56" s="2130"/>
      <c r="Y56" s="2130"/>
      <c r="Z56" s="2130"/>
      <c r="AA56" s="2130"/>
      <c r="AB56" s="2130"/>
      <c r="AC56" s="2130"/>
    </row>
    <row r="57" spans="1:29" ht="15.75" thickTop="1">
      <c r="A57" s="669"/>
      <c r="B57" s="935">
        <f>B11</f>
        <v>111</v>
      </c>
      <c r="C57" s="541"/>
      <c r="D57" s="541"/>
      <c r="E57" s="541"/>
      <c r="F57" s="541"/>
      <c r="G57" s="541"/>
      <c r="H57" s="541"/>
      <c r="I57" s="541"/>
      <c r="J57" s="541"/>
      <c r="K57" s="684"/>
      <c r="L57" s="685"/>
      <c r="M57" s="686"/>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92"/>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s="1335" customFormat="1" ht="15.75" thickTop="1">
      <c r="A59" s="687"/>
      <c r="B59" s="673">
        <f>B12</f>
        <v>111</v>
      </c>
      <c r="C59" s="541"/>
      <c r="D59" s="541"/>
      <c r="E59" s="541"/>
      <c r="F59" s="541"/>
      <c r="G59" s="688"/>
      <c r="H59" s="689"/>
      <c r="I59" s="689"/>
      <c r="J59" s="689"/>
      <c r="K59" s="689"/>
      <c r="L59" s="690"/>
      <c r="M59" s="691"/>
      <c r="N59" s="2152"/>
      <c r="O59" s="2152"/>
      <c r="P59" s="2153"/>
      <c r="Q59" s="2154"/>
      <c r="R59" s="2155"/>
      <c r="S59" s="2155"/>
      <c r="T59" s="2155"/>
      <c r="U59" s="2155"/>
      <c r="V59" s="2155"/>
      <c r="W59" s="2155"/>
      <c r="X59" s="2155"/>
      <c r="Y59" s="2155"/>
      <c r="Z59" s="2155"/>
      <c r="AA59" s="2155"/>
      <c r="AB59" s="2155"/>
      <c r="AC59" s="2155"/>
    </row>
    <row r="60" spans="1:29" s="1335" customFormat="1" ht="15.75" thickBot="1">
      <c r="A60" s="687"/>
      <c r="B60" s="678"/>
      <c r="C60" s="692"/>
      <c r="D60" s="671"/>
      <c r="E60" s="671"/>
      <c r="F60" s="671"/>
      <c r="G60" s="671"/>
      <c r="H60" s="671"/>
      <c r="I60" s="671"/>
      <c r="J60" s="671"/>
      <c r="K60" s="671"/>
      <c r="L60" s="671"/>
      <c r="M60" s="672"/>
      <c r="N60" s="2151"/>
      <c r="O60" s="2151"/>
      <c r="P60" s="2153"/>
      <c r="Q60" s="2154"/>
      <c r="R60" s="2155"/>
      <c r="S60" s="2155"/>
      <c r="T60" s="2155"/>
      <c r="U60" s="2155"/>
      <c r="V60" s="2155"/>
      <c r="W60" s="2155"/>
      <c r="X60" s="2155"/>
      <c r="Y60" s="2155"/>
      <c r="Z60" s="2155"/>
      <c r="AA60" s="2155"/>
      <c r="AB60" s="2155"/>
      <c r="AC60" s="2155"/>
    </row>
    <row r="61" spans="1:29" s="1335" customFormat="1" ht="15.75" thickTop="1">
      <c r="A61" s="687"/>
      <c r="B61" s="673">
        <f>B13</f>
        <v>111</v>
      </c>
      <c r="C61" s="688"/>
      <c r="D61" s="688"/>
      <c r="E61" s="688"/>
      <c r="F61" s="688"/>
      <c r="G61" s="688"/>
      <c r="H61" s="689"/>
      <c r="I61" s="689"/>
      <c r="J61" s="689"/>
      <c r="K61" s="689"/>
      <c r="L61" s="690"/>
      <c r="M61" s="691"/>
      <c r="N61" s="2152"/>
      <c r="O61" s="2152"/>
      <c r="P61" s="2156"/>
      <c r="Q61" s="2157"/>
      <c r="R61" s="2155"/>
      <c r="S61" s="2155"/>
      <c r="T61" s="2155"/>
      <c r="U61" s="2155"/>
      <c r="V61" s="2155"/>
      <c r="W61" s="2155"/>
      <c r="X61" s="2155"/>
      <c r="Y61" s="2155"/>
      <c r="Z61" s="2155"/>
      <c r="AA61" s="2155"/>
      <c r="AB61" s="2155"/>
      <c r="AC61" s="2155"/>
    </row>
    <row r="62" spans="1:29" s="1335" customFormat="1" ht="15.75" thickBot="1">
      <c r="A62" s="687"/>
      <c r="B62" s="678"/>
      <c r="C62" s="692"/>
      <c r="D62" s="692"/>
      <c r="E62" s="692"/>
      <c r="F62" s="692"/>
      <c r="G62" s="692"/>
      <c r="H62" s="693"/>
      <c r="I62" s="693"/>
      <c r="J62" s="693"/>
      <c r="K62" s="693"/>
      <c r="L62" s="693"/>
      <c r="M62" s="694"/>
      <c r="N62" s="2152"/>
      <c r="O62" s="2152"/>
      <c r="P62" s="2153"/>
      <c r="Q62" s="2154"/>
      <c r="R62" s="2155"/>
      <c r="S62" s="2155"/>
      <c r="T62" s="2155"/>
      <c r="U62" s="2155"/>
      <c r="V62" s="2155"/>
      <c r="W62" s="2155"/>
      <c r="X62" s="2155"/>
      <c r="Y62" s="2155"/>
      <c r="Z62" s="2155"/>
      <c r="AA62" s="2155"/>
      <c r="AB62" s="2155"/>
      <c r="AC62" s="2155"/>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9"/>
      <c r="O63" s="2149"/>
      <c r="P63" s="2159"/>
      <c r="Q63" s="2143"/>
      <c r="R63" s="2130"/>
      <c r="S63" s="2130"/>
      <c r="T63" s="2130"/>
      <c r="U63" s="2130"/>
      <c r="V63" s="2130"/>
      <c r="W63" s="2130"/>
      <c r="X63" s="2130"/>
      <c r="Y63" s="2130"/>
      <c r="Z63" s="2130"/>
      <c r="AA63" s="2130"/>
      <c r="AB63" s="2130"/>
      <c r="AC63" s="2130"/>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1881" t="s">
        <v>2554</v>
      </c>
      <c r="C65" s="708" t="s">
        <v>579</v>
      </c>
      <c r="D65" s="708" t="s">
        <v>580</v>
      </c>
      <c r="E65" s="708" t="s">
        <v>581</v>
      </c>
      <c r="F65" s="708" t="s">
        <v>582</v>
      </c>
      <c r="G65" s="708" t="s">
        <v>583</v>
      </c>
      <c r="H65" s="674"/>
      <c r="I65" s="674"/>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2561" t="s">
        <v>2555</v>
      </c>
      <c r="C67" s="2562" t="s">
        <v>2556</v>
      </c>
      <c r="D67" s="2562" t="s">
        <v>2557</v>
      </c>
      <c r="E67" s="2562" t="s">
        <v>2558</v>
      </c>
      <c r="F67" s="2562" t="s">
        <v>2559</v>
      </c>
      <c r="G67" s="2562" t="s">
        <v>2560</v>
      </c>
      <c r="H67" s="674"/>
      <c r="I67" s="674"/>
      <c r="J67" s="674"/>
      <c r="K67" s="674"/>
      <c r="L67" s="674"/>
      <c r="M67" s="2565"/>
      <c r="N67" s="2151"/>
      <c r="O67" s="2151"/>
      <c r="P67" s="2150"/>
      <c r="Q67" s="2143"/>
      <c r="R67" s="2130"/>
      <c r="S67" s="2130"/>
      <c r="T67" s="2130"/>
      <c r="U67" s="2130"/>
      <c r="V67" s="2130"/>
      <c r="W67" s="2130"/>
      <c r="X67" s="2130"/>
      <c r="Y67" s="2130"/>
      <c r="Z67" s="2130"/>
      <c r="AA67" s="2130"/>
      <c r="AB67" s="2130"/>
      <c r="AC67" s="2130"/>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744</v>
      </c>
      <c r="C69" s="708" t="s">
        <v>579</v>
      </c>
      <c r="D69" s="708" t="s">
        <v>580</v>
      </c>
      <c r="E69" s="708" t="s">
        <v>581</v>
      </c>
      <c r="F69" s="708" t="s">
        <v>582</v>
      </c>
      <c r="G69" s="708" t="s">
        <v>583</v>
      </c>
      <c r="H69" s="674"/>
      <c r="I69" s="674"/>
      <c r="J69" s="674"/>
      <c r="K69" s="675"/>
      <c r="L69" s="676"/>
      <c r="M69" s="677"/>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ht="15.75" thickTop="1">
      <c r="A71" s="669"/>
      <c r="B71" s="673" t="s">
        <v>745</v>
      </c>
      <c r="C71" s="688"/>
      <c r="D71" s="688"/>
      <c r="E71" s="688"/>
      <c r="F71" s="688"/>
      <c r="G71" s="688"/>
      <c r="H71" s="718"/>
      <c r="I71" s="718"/>
      <c r="J71" s="718"/>
      <c r="K71" s="719"/>
      <c r="L71" s="720"/>
      <c r="M71" s="721"/>
      <c r="N71" s="2149"/>
      <c r="O71" s="2149"/>
      <c r="P71" s="2150"/>
      <c r="Q71" s="2143"/>
      <c r="R71" s="2130"/>
      <c r="S71" s="2130"/>
      <c r="T71" s="2130"/>
      <c r="U71" s="2130"/>
      <c r="V71" s="2130"/>
      <c r="W71" s="2130"/>
      <c r="X71" s="2130"/>
      <c r="Y71" s="2130"/>
      <c r="Z71" s="2130"/>
      <c r="AA71" s="2130"/>
      <c r="AB71" s="2130"/>
      <c r="AC71" s="2130"/>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1"/>
      <c r="O72" s="2151"/>
      <c r="P72" s="2150"/>
      <c r="Q72" s="2143"/>
      <c r="R72" s="2130"/>
      <c r="S72" s="2130"/>
      <c r="T72" s="2130"/>
      <c r="U72" s="2130"/>
      <c r="V72" s="2130"/>
      <c r="W72" s="2130"/>
      <c r="X72" s="2130"/>
      <c r="Y72" s="2130"/>
      <c r="Z72" s="2130"/>
      <c r="AA72" s="2130"/>
      <c r="AB72" s="2130"/>
      <c r="AC72" s="2130"/>
    </row>
    <row r="73" spans="1:29" s="1216" customFormat="1" ht="15.75" thickTop="1">
      <c r="A73" s="709"/>
      <c r="B73" s="673">
        <f>B23</f>
        <v>111</v>
      </c>
      <c r="C73" s="541"/>
      <c r="D73" s="541"/>
      <c r="E73" s="541"/>
      <c r="F73" s="541"/>
      <c r="G73" s="688"/>
      <c r="H73" s="688"/>
      <c r="I73" s="688"/>
      <c r="J73" s="688"/>
      <c r="K73" s="688"/>
      <c r="L73" s="890"/>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216" customFormat="1" ht="15.75" thickTop="1">
      <c r="A75" s="709"/>
      <c r="B75" s="673">
        <f>B24</f>
        <v>111</v>
      </c>
      <c r="C75" s="541"/>
      <c r="D75" s="541"/>
      <c r="E75" s="541"/>
      <c r="F75" s="541"/>
      <c r="G75" s="688"/>
      <c r="H75" s="688"/>
      <c r="I75" s="688"/>
      <c r="J75" s="688"/>
      <c r="K75" s="688"/>
      <c r="L75" s="688"/>
      <c r="M75" s="891"/>
      <c r="N75" s="2147"/>
      <c r="O75" s="2147"/>
      <c r="P75" s="2150"/>
      <c r="Q75" s="2143"/>
      <c r="R75" s="1978"/>
      <c r="S75" s="1978"/>
      <c r="T75" s="1978"/>
      <c r="U75" s="1978"/>
      <c r="V75" s="1978"/>
      <c r="W75" s="1978"/>
      <c r="X75" s="1978"/>
      <c r="Y75" s="1978"/>
      <c r="Z75" s="1978"/>
      <c r="AA75" s="1978"/>
      <c r="AB75" s="1978"/>
      <c r="AC75" s="1978"/>
    </row>
    <row r="76" spans="1:29" s="1216" customFormat="1" ht="15.75" thickBot="1">
      <c r="A76" s="709"/>
      <c r="B76" s="678"/>
      <c r="C76" s="692"/>
      <c r="D76" s="671"/>
      <c r="E76" s="671"/>
      <c r="F76" s="671"/>
      <c r="G76" s="671"/>
      <c r="H76" s="671"/>
      <c r="I76" s="671"/>
      <c r="J76" s="671"/>
      <c r="K76" s="671"/>
      <c r="L76" s="671"/>
      <c r="M76" s="672"/>
      <c r="N76" s="2151"/>
      <c r="O76" s="2151"/>
      <c r="P76" s="2150"/>
      <c r="Q76" s="2143"/>
      <c r="R76" s="1978"/>
      <c r="S76" s="1978"/>
      <c r="T76" s="1978"/>
      <c r="U76" s="1978"/>
      <c r="V76" s="1978"/>
      <c r="W76" s="1978"/>
      <c r="X76" s="1978"/>
      <c r="Y76" s="1978"/>
      <c r="Z76" s="1978"/>
      <c r="AA76" s="1978"/>
      <c r="AB76" s="1978"/>
      <c r="AC76" s="1978"/>
    </row>
    <row r="77" spans="1:29" s="1335" customFormat="1" ht="15.75" thickTop="1">
      <c r="A77" s="687"/>
      <c r="B77" s="673">
        <f>B25</f>
        <v>111</v>
      </c>
      <c r="C77" s="688"/>
      <c r="D77" s="688"/>
      <c r="E77" s="688"/>
      <c r="F77" s="688"/>
      <c r="G77" s="688"/>
      <c r="H77" s="689"/>
      <c r="I77" s="689"/>
      <c r="J77" s="689"/>
      <c r="K77" s="689"/>
      <c r="L77" s="690"/>
      <c r="M77" s="691"/>
      <c r="N77" s="2152"/>
      <c r="O77" s="2152"/>
      <c r="P77" s="2153"/>
      <c r="Q77" s="2154"/>
      <c r="R77" s="2155"/>
      <c r="S77" s="2155"/>
      <c r="T77" s="2155"/>
      <c r="U77" s="2155"/>
      <c r="V77" s="2155"/>
      <c r="W77" s="2155"/>
      <c r="X77" s="2155"/>
      <c r="Y77" s="2155"/>
      <c r="Z77" s="2155"/>
      <c r="AA77" s="2155"/>
      <c r="AB77" s="2155"/>
      <c r="AC77" s="2155"/>
    </row>
    <row r="78" spans="1:29" s="1335" customFormat="1" ht="15.75" thickBot="1">
      <c r="A78" s="687"/>
      <c r="B78" s="678"/>
      <c r="C78" s="692"/>
      <c r="D78" s="692"/>
      <c r="E78" s="692"/>
      <c r="F78" s="692"/>
      <c r="G78" s="671"/>
      <c r="H78" s="671"/>
      <c r="I78" s="671"/>
      <c r="J78" s="671"/>
      <c r="K78" s="671"/>
      <c r="L78" s="671"/>
      <c r="M78" s="672"/>
      <c r="N78" s="2152"/>
      <c r="O78" s="2152"/>
      <c r="P78" s="2153"/>
      <c r="Q78" s="2154"/>
      <c r="R78" s="2155"/>
      <c r="S78" s="2155"/>
      <c r="T78" s="2155"/>
      <c r="U78" s="2155"/>
      <c r="V78" s="2155"/>
      <c r="W78" s="2155"/>
      <c r="X78" s="2155"/>
      <c r="Y78" s="2155"/>
      <c r="Z78" s="2155"/>
      <c r="AA78" s="2155"/>
      <c r="AB78" s="2155"/>
      <c r="AC78" s="2155"/>
    </row>
    <row r="79" spans="1:29" ht="27.75" thickTop="1">
      <c r="A79" s="664" t="s">
        <v>551</v>
      </c>
      <c r="B79" s="665" t="s">
        <v>814</v>
      </c>
      <c r="C79" s="704">
        <f>C26</f>
        <v>0</v>
      </c>
      <c r="D79" s="598"/>
      <c r="E79" s="598"/>
      <c r="F79" s="598"/>
      <c r="G79" s="598"/>
      <c r="H79" s="598"/>
      <c r="I79" s="598"/>
      <c r="J79" s="598"/>
      <c r="K79" s="666"/>
      <c r="L79" s="667"/>
      <c r="M79" s="668"/>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1"/>
      <c r="O80" s="2151"/>
      <c r="P80" s="2150"/>
      <c r="Q80" s="2143"/>
      <c r="R80" s="2130"/>
      <c r="S80" s="2130"/>
      <c r="T80" s="2130"/>
      <c r="U80" s="2130"/>
      <c r="V80" s="2130"/>
      <c r="W80" s="2130"/>
      <c r="X80" s="2130"/>
      <c r="Y80" s="2130"/>
      <c r="Z80" s="2130"/>
      <c r="AA80" s="2130"/>
      <c r="AB80" s="2130"/>
      <c r="AC80" s="2130"/>
    </row>
    <row r="81" spans="1:29" ht="15.75" thickTop="1">
      <c r="A81" s="669"/>
      <c r="B81" s="673" t="s">
        <v>815</v>
      </c>
      <c r="C81" s="936"/>
      <c r="D81" s="936"/>
      <c r="E81" s="936"/>
      <c r="F81" s="936"/>
      <c r="G81" s="936"/>
      <c r="H81" s="936"/>
      <c r="I81" s="936"/>
      <c r="J81" s="936"/>
      <c r="K81" s="937"/>
      <c r="L81" s="938"/>
      <c r="M81" s="939"/>
      <c r="N81" s="2147"/>
      <c r="O81" s="2147"/>
      <c r="P81" s="2150"/>
      <c r="Q81" s="2143"/>
      <c r="R81" s="2130"/>
      <c r="S81" s="2130"/>
      <c r="T81" s="2130"/>
      <c r="U81" s="2130"/>
      <c r="V81" s="2130"/>
      <c r="W81" s="2130"/>
      <c r="X81" s="2130"/>
      <c r="Y81" s="2130"/>
      <c r="Z81" s="2130"/>
      <c r="AA81" s="2130"/>
      <c r="AB81" s="2130"/>
      <c r="AC81" s="2130"/>
    </row>
    <row r="82" spans="1:29" s="1335" customFormat="1" ht="15.75" thickBot="1">
      <c r="A82" s="687"/>
      <c r="B82" s="678"/>
      <c r="C82" s="692"/>
      <c r="D82" s="671"/>
      <c r="E82" s="671"/>
      <c r="F82" s="671"/>
      <c r="G82" s="671"/>
      <c r="H82" s="671"/>
      <c r="I82" s="671"/>
      <c r="J82" s="671"/>
      <c r="K82" s="671"/>
      <c r="L82" s="671"/>
      <c r="M82" s="672"/>
      <c r="N82" s="2151"/>
      <c r="O82" s="2151"/>
      <c r="P82" s="2153"/>
      <c r="Q82" s="2154"/>
      <c r="R82" s="2155"/>
      <c r="S82" s="2155"/>
      <c r="T82" s="2155"/>
      <c r="U82" s="2155"/>
      <c r="V82" s="2155"/>
      <c r="W82" s="2155"/>
      <c r="X82" s="2155"/>
      <c r="Y82" s="2155"/>
      <c r="Z82" s="2155"/>
      <c r="AA82" s="2155"/>
      <c r="AB82" s="2155"/>
      <c r="AC82" s="2155"/>
    </row>
    <row r="83" spans="1:29" ht="15" thickTop="1">
      <c r="A83" s="735"/>
      <c r="B83" s="673" t="s">
        <v>751</v>
      </c>
      <c r="C83" s="688"/>
      <c r="D83" s="688"/>
      <c r="E83" s="718"/>
      <c r="F83" s="718"/>
      <c r="G83" s="718"/>
      <c r="H83" s="718"/>
      <c r="I83" s="718"/>
      <c r="J83" s="718"/>
      <c r="K83" s="719"/>
      <c r="L83" s="720"/>
      <c r="M83" s="721"/>
      <c r="N83" s="2149"/>
      <c r="O83" s="2149"/>
      <c r="P83" s="2150"/>
      <c r="Q83" s="2143"/>
      <c r="R83" s="2130"/>
      <c r="S83" s="2130"/>
      <c r="T83" s="2130"/>
      <c r="U83" s="2130"/>
      <c r="V83" s="2130"/>
      <c r="W83" s="2130"/>
      <c r="X83" s="2130"/>
      <c r="Y83" s="2130"/>
      <c r="Z83" s="2130"/>
      <c r="AA83" s="2130"/>
      <c r="AB83" s="2130"/>
      <c r="AC83" s="2130"/>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9"/>
      <c r="O85" s="2149"/>
      <c r="P85" s="2150"/>
      <c r="Q85" s="2143"/>
      <c r="R85" s="2130"/>
      <c r="S85" s="2130"/>
      <c r="T85" s="2130"/>
      <c r="U85" s="2130"/>
      <c r="V85" s="2130"/>
      <c r="W85" s="2130"/>
      <c r="X85" s="2130"/>
      <c r="Y85" s="2130"/>
      <c r="Z85" s="2130"/>
      <c r="AA85" s="2130"/>
      <c r="AB85" s="2130"/>
      <c r="AC85" s="2130"/>
    </row>
    <row r="86" spans="1:29">
      <c r="A86" s="735"/>
      <c r="B86" s="681"/>
      <c r="C86" s="894">
        <v>0.5</v>
      </c>
      <c r="D86" s="894">
        <v>0.6</v>
      </c>
      <c r="E86" s="894">
        <v>0.7</v>
      </c>
      <c r="F86" s="894">
        <v>0.8</v>
      </c>
      <c r="G86" s="894">
        <v>0.9</v>
      </c>
      <c r="H86" s="894">
        <v>1.0001</v>
      </c>
      <c r="I86" s="905"/>
      <c r="J86" s="905"/>
      <c r="K86" s="906"/>
      <c r="L86" s="907"/>
      <c r="M86" s="908"/>
      <c r="N86" s="2149"/>
      <c r="O86" s="2149"/>
      <c r="P86" s="2150"/>
      <c r="Q86" s="2143"/>
      <c r="R86" s="2130"/>
      <c r="S86" s="2130"/>
      <c r="T86" s="2130"/>
      <c r="U86" s="2130"/>
      <c r="V86" s="2130"/>
      <c r="W86" s="2130"/>
      <c r="X86" s="2130"/>
      <c r="Y86" s="2130"/>
      <c r="Z86" s="2130"/>
      <c r="AA86" s="2130"/>
      <c r="AB86" s="2130"/>
      <c r="AC86" s="2130"/>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5"/>
      <c r="B88" s="681" t="s">
        <v>817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1"/>
      <c r="O89" s="2151"/>
      <c r="P89" s="2150"/>
      <c r="Q89" s="2143"/>
      <c r="R89" s="2130"/>
      <c r="S89" s="2130"/>
      <c r="T89" s="2130"/>
      <c r="U89" s="2130"/>
      <c r="V89" s="2130"/>
      <c r="W89" s="2130"/>
      <c r="X89" s="2130"/>
      <c r="Y89" s="2130"/>
      <c r="Z89" s="2130"/>
      <c r="AA89" s="2130"/>
      <c r="AB89" s="2130"/>
      <c r="AC89" s="2130"/>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2"/>
      <c r="O90" s="2152"/>
      <c r="P90" s="2153"/>
      <c r="Q90" s="2154"/>
      <c r="R90" s="2155"/>
      <c r="S90" s="2155"/>
      <c r="T90" s="2155"/>
      <c r="U90" s="2155"/>
      <c r="V90" s="2155"/>
      <c r="W90" s="2155"/>
      <c r="X90" s="2155"/>
      <c r="Y90" s="2155"/>
      <c r="Z90" s="2155"/>
      <c r="AA90" s="2155"/>
      <c r="AB90" s="2155"/>
      <c r="AC90" s="2155"/>
    </row>
    <row r="91" spans="1:29" s="1335" customFormat="1">
      <c r="A91" s="728"/>
      <c r="B91" s="681"/>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2"/>
      <c r="O92" s="2152"/>
      <c r="P92" s="2153"/>
      <c r="Q92" s="2154"/>
      <c r="R92" s="2155"/>
      <c r="S92" s="2155"/>
      <c r="T92" s="2155"/>
      <c r="U92" s="2155"/>
      <c r="V92" s="2155"/>
      <c r="W92" s="2155"/>
      <c r="X92" s="2155"/>
      <c r="Y92" s="2155"/>
      <c r="Z92" s="2155"/>
      <c r="AA92" s="2155"/>
      <c r="AB92" s="2155"/>
      <c r="AC92" s="2155"/>
    </row>
    <row r="93" spans="1:29" ht="15" thickTop="1">
      <c r="A93" s="735"/>
      <c r="B93" s="673" t="s">
        <v>819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820</v>
      </c>
      <c r="C95" s="598"/>
      <c r="D95" s="598"/>
      <c r="E95" s="598"/>
      <c r="F95" s="598"/>
      <c r="G95" s="598"/>
      <c r="H95" s="598"/>
      <c r="I95" s="598"/>
      <c r="J95" s="598"/>
      <c r="K95" s="666"/>
      <c r="L95" s="667"/>
      <c r="M95" s="668"/>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1"/>
      <c r="O96" s="2151"/>
      <c r="P96" s="2150"/>
      <c r="Q96" s="2143"/>
      <c r="R96" s="2130"/>
      <c r="S96" s="2130"/>
      <c r="T96" s="2130"/>
      <c r="U96" s="2130"/>
      <c r="V96" s="2130"/>
      <c r="W96" s="2130"/>
      <c r="X96" s="2130"/>
      <c r="Y96" s="2130"/>
      <c r="Z96" s="2130"/>
      <c r="AA96" s="2130"/>
      <c r="AB96" s="2130"/>
      <c r="AC96" s="2130"/>
    </row>
    <row r="97" spans="1:29" ht="15" thickTop="1">
      <c r="A97" s="735"/>
      <c r="B97" s="917">
        <f>B34</f>
        <v>111</v>
      </c>
      <c r="C97" s="541"/>
      <c r="D97" s="541"/>
      <c r="E97" s="541"/>
      <c r="F97" s="541"/>
      <c r="G97" s="688"/>
      <c r="H97" s="689"/>
      <c r="I97" s="689"/>
      <c r="J97" s="689"/>
      <c r="K97" s="689"/>
      <c r="L97" s="690"/>
      <c r="M97" s="691"/>
      <c r="N97" s="2151"/>
      <c r="O97" s="2151"/>
      <c r="P97" s="2190"/>
      <c r="Q97" s="2191"/>
      <c r="R97" s="2130"/>
      <c r="S97" s="2130"/>
      <c r="T97" s="2130"/>
      <c r="U97" s="2130"/>
      <c r="V97" s="2130"/>
      <c r="W97" s="2130"/>
      <c r="X97" s="2130"/>
      <c r="Y97" s="2130"/>
      <c r="Z97" s="2130"/>
      <c r="AA97" s="2130"/>
      <c r="AB97" s="2130"/>
      <c r="AC97" s="2130"/>
    </row>
    <row r="98" spans="1:29" ht="15.75" thickBot="1">
      <c r="A98" s="669"/>
      <c r="B98" s="678"/>
      <c r="C98" s="692"/>
      <c r="D98" s="671"/>
      <c r="E98" s="671"/>
      <c r="F98" s="671"/>
      <c r="G98" s="692"/>
      <c r="H98" s="693"/>
      <c r="I98" s="693"/>
      <c r="J98" s="693"/>
      <c r="K98" s="693"/>
      <c r="L98" s="693"/>
      <c r="M98" s="694"/>
      <c r="N98" s="2151"/>
      <c r="O98" s="2151"/>
      <c r="P98" s="2150"/>
      <c r="Q98" s="2143"/>
      <c r="R98" s="2130"/>
      <c r="S98" s="2130"/>
      <c r="T98" s="2130"/>
      <c r="U98" s="2130"/>
      <c r="V98" s="2130"/>
      <c r="W98" s="2130"/>
      <c r="X98" s="2130"/>
      <c r="Y98" s="2130"/>
      <c r="Z98" s="2130"/>
      <c r="AA98" s="2130"/>
      <c r="AB98" s="2130"/>
      <c r="AC98" s="2130"/>
    </row>
    <row r="99" spans="1:29" s="1335" customFormat="1" ht="15" thickTop="1">
      <c r="A99" s="728"/>
      <c r="B99" s="673">
        <f>B35</f>
        <v>111</v>
      </c>
      <c r="C99" s="541"/>
      <c r="D99" s="541"/>
      <c r="E99" s="541"/>
      <c r="F99" s="541"/>
      <c r="G99" s="688"/>
      <c r="H99" s="689"/>
      <c r="I99" s="689"/>
      <c r="J99" s="689"/>
      <c r="K99" s="689"/>
      <c r="L99" s="690"/>
      <c r="M99" s="691"/>
      <c r="N99" s="2152"/>
      <c r="O99" s="2152"/>
      <c r="P99" s="2153"/>
      <c r="Q99" s="2154"/>
      <c r="R99" s="2155"/>
      <c r="S99" s="2155"/>
      <c r="T99" s="2155"/>
      <c r="U99" s="2155"/>
      <c r="V99" s="2155"/>
      <c r="W99" s="2155"/>
      <c r="X99" s="2155"/>
      <c r="Y99" s="2155"/>
      <c r="Z99" s="2155"/>
      <c r="AA99" s="2155"/>
      <c r="AB99" s="2155"/>
      <c r="AC99" s="2155"/>
    </row>
    <row r="100" spans="1:29" s="1335" customFormat="1" ht="15.75" thickBot="1">
      <c r="A100" s="687"/>
      <c r="B100" s="670"/>
      <c r="C100" s="692"/>
      <c r="D100" s="671"/>
      <c r="E100" s="671"/>
      <c r="F100" s="671"/>
      <c r="G100" s="692"/>
      <c r="H100" s="693"/>
      <c r="I100" s="693"/>
      <c r="J100" s="693"/>
      <c r="K100" s="693"/>
      <c r="L100" s="693"/>
      <c r="M100" s="694"/>
      <c r="N100" s="2152"/>
      <c r="O100" s="2152"/>
      <c r="P100" s="2153"/>
      <c r="Q100" s="2154"/>
      <c r="R100" s="2155"/>
      <c r="S100" s="2155"/>
      <c r="T100" s="2155"/>
      <c r="U100" s="2155"/>
      <c r="V100" s="2155"/>
      <c r="W100" s="2155"/>
      <c r="X100" s="2155"/>
      <c r="Y100" s="2155"/>
      <c r="Z100" s="2155"/>
      <c r="AA100" s="2155"/>
      <c r="AB100" s="2155"/>
      <c r="AC100" s="2155"/>
    </row>
    <row r="101" spans="1:29" ht="15" thickTop="1">
      <c r="A101" s="735"/>
      <c r="B101" s="673">
        <f>B36</f>
        <v>111</v>
      </c>
      <c r="C101" s="688"/>
      <c r="D101" s="688"/>
      <c r="E101" s="688"/>
      <c r="F101" s="688"/>
      <c r="G101" s="688"/>
      <c r="H101" s="689"/>
      <c r="I101" s="689"/>
      <c r="J101" s="689"/>
      <c r="K101" s="689"/>
      <c r="L101" s="690"/>
      <c r="M101" s="69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92"/>
      <c r="D102" s="692"/>
      <c r="E102" s="692"/>
      <c r="F102" s="692"/>
      <c r="G102" s="692"/>
      <c r="H102" s="693"/>
      <c r="I102" s="693"/>
      <c r="J102" s="693"/>
      <c r="K102" s="693"/>
      <c r="L102" s="693"/>
      <c r="M102" s="694"/>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2"/>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794</v>
      </c>
      <c r="B2" s="850" t="e">
        <f>ROUND(B3*D3/10000,0)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795</v>
      </c>
      <c r="B3" s="510" t="e">
        <f>C37</f>
        <v>#DIV/0!</v>
      </c>
      <c r="C3" s="852" t="s">
        <v>796</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797</v>
      </c>
      <c r="B4" s="513"/>
      <c r="C4" s="3430" t="s">
        <v>798</v>
      </c>
      <c r="D4" s="3431"/>
      <c r="E4" s="3466" t="s">
        <v>799</v>
      </c>
      <c r="F4" s="3467"/>
      <c r="G4" s="3430" t="s">
        <v>800</v>
      </c>
      <c r="H4" s="3431"/>
      <c r="I4" s="3430" t="s">
        <v>801</v>
      </c>
      <c r="J4" s="3431"/>
      <c r="K4" s="514" t="s">
        <v>802</v>
      </c>
      <c r="L4" s="2118"/>
      <c r="M4" s="2119"/>
      <c r="N4" s="2119"/>
      <c r="O4" s="2119"/>
      <c r="P4" s="3432" t="s">
        <v>803</v>
      </c>
      <c r="Q4" s="3433"/>
      <c r="R4" s="3438" t="s">
        <v>799</v>
      </c>
      <c r="S4" s="3439"/>
      <c r="T4" s="3438" t="s">
        <v>800</v>
      </c>
      <c r="U4" s="3439"/>
      <c r="V4" s="3425" t="s">
        <v>801</v>
      </c>
      <c r="W4" s="3425"/>
      <c r="X4" s="1553"/>
      <c r="Y4" s="3438" t="s">
        <v>803</v>
      </c>
      <c r="Z4" s="3439"/>
      <c r="AA4" s="3427" t="s">
        <v>799</v>
      </c>
      <c r="AB4" s="3428" t="s">
        <v>800</v>
      </c>
      <c r="AC4" s="3427" t="s">
        <v>801</v>
      </c>
    </row>
    <row r="5" spans="1:29" ht="15">
      <c r="A5" s="515"/>
      <c r="B5" s="516"/>
      <c r="C5" s="3446" t="s">
        <v>2922</v>
      </c>
      <c r="D5" s="3447"/>
      <c r="E5" s="3468" t="s">
        <v>2923</v>
      </c>
      <c r="F5" s="3469"/>
      <c r="G5" s="3446" t="s">
        <v>2924</v>
      </c>
      <c r="H5" s="3447"/>
      <c r="I5" s="3446" t="s">
        <v>2925</v>
      </c>
      <c r="J5" s="3447"/>
      <c r="K5" s="514"/>
      <c r="L5" s="2118"/>
      <c r="M5" s="2119"/>
      <c r="N5" s="2119"/>
      <c r="O5" s="2119"/>
      <c r="P5" s="3434"/>
      <c r="Q5" s="3435"/>
      <c r="R5" s="3440"/>
      <c r="S5" s="3441"/>
      <c r="T5" s="3440"/>
      <c r="U5" s="3441"/>
      <c r="V5" s="3425"/>
      <c r="W5" s="3425"/>
      <c r="X5" s="1553"/>
      <c r="Y5" s="3440"/>
      <c r="Z5" s="3441"/>
      <c r="AA5" s="3428"/>
      <c r="AB5" s="3428"/>
      <c r="AC5" s="3428"/>
    </row>
    <row r="6" spans="1:29" ht="15.75" thickBot="1">
      <c r="A6" s="517"/>
      <c r="B6" s="518"/>
      <c r="C6" s="3444" t="s">
        <v>2926</v>
      </c>
      <c r="D6" s="3445"/>
      <c r="E6" s="3464" t="s">
        <v>2926</v>
      </c>
      <c r="F6" s="3465"/>
      <c r="G6" s="3444" t="s">
        <v>2926</v>
      </c>
      <c r="H6" s="3445"/>
      <c r="I6" s="3444" t="s">
        <v>2926</v>
      </c>
      <c r="J6" s="3445"/>
      <c r="K6" s="514" t="s">
        <v>528</v>
      </c>
      <c r="L6" s="2118"/>
      <c r="M6" s="2119"/>
      <c r="N6" s="2119"/>
      <c r="O6" s="2119"/>
      <c r="P6" s="3436"/>
      <c r="Q6" s="3437"/>
      <c r="R6" s="3440"/>
      <c r="S6" s="3441"/>
      <c r="T6" s="3442"/>
      <c r="U6" s="3443"/>
      <c r="V6" s="3425"/>
      <c r="W6" s="3425"/>
      <c r="X6" s="1553"/>
      <c r="Y6" s="3442"/>
      <c r="Z6" s="3443"/>
      <c r="AA6" s="3429"/>
      <c r="AB6" s="3429"/>
      <c r="AC6" s="3429"/>
    </row>
    <row r="7" spans="1:29" s="1216" customFormat="1" ht="15.75" thickBot="1">
      <c r="A7" s="2867"/>
      <c r="B7" s="2874" t="s">
        <v>529</v>
      </c>
      <c r="C7" s="519">
        <f>'数据-取费表'!B2</f>
        <v>43868</v>
      </c>
      <c r="D7" s="520">
        <v>100</v>
      </c>
      <c r="E7" s="521"/>
      <c r="F7" s="522">
        <f>SUMIF(46:46,YEAR(E7)&amp;"-"&amp;MONTH(E7),47:47)</f>
        <v>0</v>
      </c>
      <c r="G7" s="523"/>
      <c r="H7" s="520">
        <f>SUMIF(46:46,YEAR(G7)&amp;"-"&amp;MONTH(G7),47:47)</f>
        <v>0</v>
      </c>
      <c r="I7" s="523"/>
      <c r="J7" s="520">
        <f>SUMIF(46:46,YEAR(I7)&amp;"-"&amp;MONTH(I7),47:47)</f>
        <v>0</v>
      </c>
      <c r="K7" s="524"/>
      <c r="L7" s="2120"/>
      <c r="M7" s="2121"/>
      <c r="N7" s="2121"/>
      <c r="O7" s="2121"/>
      <c r="P7" s="3457" t="s">
        <v>530</v>
      </c>
      <c r="Q7" s="3459"/>
      <c r="R7" s="1554" t="s">
        <v>8</v>
      </c>
      <c r="S7" s="1555">
        <f t="shared" ref="S7:S14" si="0">F7</f>
        <v>0</v>
      </c>
      <c r="T7" s="1554" t="s">
        <v>8</v>
      </c>
      <c r="U7" s="1555">
        <f t="shared" ref="U7:U14" si="1">H7</f>
        <v>0</v>
      </c>
      <c r="V7" s="1554" t="s">
        <v>8</v>
      </c>
      <c r="W7" s="1555">
        <f t="shared" ref="W7:W14" si="2">J7</f>
        <v>0</v>
      </c>
      <c r="X7" s="1556"/>
      <c r="Y7" s="3457" t="s">
        <v>530</v>
      </c>
      <c r="Z7" s="3458"/>
      <c r="AA7" s="1557" t="e">
        <f>D7/F7</f>
        <v>#DIV/0!</v>
      </c>
      <c r="AB7" s="1557" t="e">
        <f>D7/H7</f>
        <v>#DIV/0!</v>
      </c>
      <c r="AC7" s="1557" t="e">
        <f>D7/J7</f>
        <v>#DIV/0!</v>
      </c>
    </row>
    <row r="8" spans="1:29" s="1216" customFormat="1" ht="15.75" thickBot="1">
      <c r="A8" s="2868"/>
      <c r="B8" s="2875" t="s">
        <v>531</v>
      </c>
      <c r="C8" s="525" t="s">
        <v>576</v>
      </c>
      <c r="D8" s="520">
        <v>100</v>
      </c>
      <c r="E8" s="525"/>
      <c r="F8" s="522">
        <f>SUMIF(49:49,E8,50:50)-SUMIF(49:49,C8,50:50)+100</f>
        <v>0</v>
      </c>
      <c r="G8" s="525"/>
      <c r="H8" s="520">
        <f>SUMIF(49:49,G8,50:50)-SUMIF(49:49,C8,50:50)+100</f>
        <v>0</v>
      </c>
      <c r="I8" s="525"/>
      <c r="J8" s="520">
        <f>SUMIF(49:49,I8,50:50)-SUMIF(49:49,C8,50:50)+100</f>
        <v>0</v>
      </c>
      <c r="K8" s="524"/>
      <c r="L8" s="2120"/>
      <c r="M8" s="2121"/>
      <c r="N8" s="2121"/>
      <c r="O8" s="2121"/>
      <c r="P8" s="3457" t="s">
        <v>533</v>
      </c>
      <c r="Q8" s="3458"/>
      <c r="R8" s="1554" t="s">
        <v>8</v>
      </c>
      <c r="S8" s="1555">
        <f t="shared" si="0"/>
        <v>0</v>
      </c>
      <c r="T8" s="1554" t="s">
        <v>8</v>
      </c>
      <c r="U8" s="1555">
        <f t="shared" si="1"/>
        <v>0</v>
      </c>
      <c r="V8" s="1554" t="s">
        <v>8</v>
      </c>
      <c r="W8" s="1555">
        <f t="shared" si="2"/>
        <v>0</v>
      </c>
      <c r="X8" s="1556"/>
      <c r="Y8" s="3457" t="s">
        <v>533</v>
      </c>
      <c r="Z8" s="3458"/>
      <c r="AA8" s="1557" t="e">
        <f t="shared" ref="AA8:AA34" si="3">D8/F8</f>
        <v>#DIV/0!</v>
      </c>
      <c r="AB8" s="1557" t="e">
        <f t="shared" ref="AB8:AB34" si="4">D8/H8</f>
        <v>#DIV/0!</v>
      </c>
      <c r="AC8" s="1557" t="e">
        <f t="shared" ref="AC8:AC34" si="5">D8/J8</f>
        <v>#DIV/0!</v>
      </c>
    </row>
    <row r="9" spans="1:29" s="1216" customFormat="1" ht="15">
      <c r="A9" s="2869"/>
      <c r="B9" s="2876" t="s">
        <v>2753</v>
      </c>
      <c r="C9" s="857"/>
      <c r="D9" s="254">
        <v>100</v>
      </c>
      <c r="E9" s="860"/>
      <c r="F9" s="254">
        <f>SUMIF(51:51,E9,52:52)-SUMIF(51:51,C9,52:52)+100</f>
        <v>100</v>
      </c>
      <c r="G9" s="860"/>
      <c r="H9" s="254">
        <f>SUMIF(51:51,G9,52:52)-SUMIF(51:51,C9,52:52)+100</f>
        <v>100</v>
      </c>
      <c r="I9" s="860"/>
      <c r="J9" s="254">
        <f>SUMIF(51:51,I9,52:52)-SUMIF(51:51,C9,52:52)+100</f>
        <v>100</v>
      </c>
      <c r="K9" s="524"/>
      <c r="L9" s="2120"/>
      <c r="M9" s="2121"/>
      <c r="N9" s="2121"/>
      <c r="O9" s="2122"/>
      <c r="P9" s="3424" t="s">
        <v>535</v>
      </c>
      <c r="Q9" s="1147" t="str">
        <f t="shared" ref="Q9:Q14" si="6">B9</f>
        <v>用途</v>
      </c>
      <c r="R9" s="1554" t="s">
        <v>8</v>
      </c>
      <c r="S9" s="1555">
        <f t="shared" si="0"/>
        <v>100</v>
      </c>
      <c r="T9" s="1554" t="s">
        <v>8</v>
      </c>
      <c r="U9" s="1555">
        <f t="shared" si="1"/>
        <v>100</v>
      </c>
      <c r="V9" s="1554" t="s">
        <v>8</v>
      </c>
      <c r="W9" s="1555">
        <f t="shared" si="2"/>
        <v>100</v>
      </c>
      <c r="X9" s="1556"/>
      <c r="Y9" s="3370" t="s">
        <v>536</v>
      </c>
      <c r="Z9" s="1146" t="str">
        <f t="shared" ref="Z9:Z14" si="7">Q9</f>
        <v>用途</v>
      </c>
      <c r="AA9" s="1557">
        <f t="shared" si="3"/>
        <v>1</v>
      </c>
      <c r="AB9" s="1557">
        <f t="shared" si="4"/>
        <v>1</v>
      </c>
      <c r="AC9" s="1557">
        <f t="shared" si="5"/>
        <v>1</v>
      </c>
    </row>
    <row r="10" spans="1:29" s="1334" customFormat="1" ht="27">
      <c r="A10" s="2870"/>
      <c r="B10" s="2875" t="s">
        <v>2754</v>
      </c>
      <c r="C10" s="861"/>
      <c r="D10" s="255">
        <v>100</v>
      </c>
      <c r="E10" s="861"/>
      <c r="F10" s="255">
        <f>SUMIF(53:53,E10,54:54)-SUMIF(53:53,C10,54:54)+100</f>
        <v>100</v>
      </c>
      <c r="G10" s="862"/>
      <c r="H10" s="255">
        <f>SUMIF(53:53,G10,54:54)-SUMIF(53:53,C10,54:54)+100</f>
        <v>100</v>
      </c>
      <c r="I10" s="861"/>
      <c r="J10" s="255">
        <f>SUMIF(53:53,I10,54:54)-SUMIF(53:53,C10,54:54)+100</f>
        <v>100</v>
      </c>
      <c r="K10" s="584"/>
      <c r="L10" s="2123"/>
      <c r="M10" s="2163"/>
      <c r="N10" s="2163"/>
      <c r="O10" s="2124"/>
      <c r="P10" s="3424"/>
      <c r="Q10" s="1147" t="str">
        <f t="shared" si="6"/>
        <v>土地使用年限（年）</v>
      </c>
      <c r="R10" s="1554" t="s">
        <v>8</v>
      </c>
      <c r="S10" s="1555">
        <f t="shared" si="0"/>
        <v>100</v>
      </c>
      <c r="T10" s="1554" t="s">
        <v>8</v>
      </c>
      <c r="U10" s="1555">
        <f t="shared" si="1"/>
        <v>100</v>
      </c>
      <c r="V10" s="1554" t="s">
        <v>8</v>
      </c>
      <c r="W10" s="1555">
        <f t="shared" si="2"/>
        <v>100</v>
      </c>
      <c r="X10" s="1556"/>
      <c r="Y10" s="3370"/>
      <c r="Z10" s="1146" t="str">
        <f t="shared" si="7"/>
        <v>土地使用年限（年）</v>
      </c>
      <c r="AA10" s="1557">
        <f t="shared" si="3"/>
        <v>1</v>
      </c>
      <c r="AB10" s="1557">
        <f t="shared" si="4"/>
        <v>1</v>
      </c>
      <c r="AC10" s="1557">
        <f t="shared" si="5"/>
        <v>1</v>
      </c>
    </row>
    <row r="11" spans="1:29" ht="15">
      <c r="A11" s="2872"/>
      <c r="B11" s="2878">
        <v>111</v>
      </c>
      <c r="C11" s="528"/>
      <c r="D11" s="255">
        <v>100</v>
      </c>
      <c r="E11" s="880"/>
      <c r="F11" s="255">
        <f>SUMIF(55:55,E11,56:56)-SUMIF(55:55,C11,56:56)+100</f>
        <v>100</v>
      </c>
      <c r="G11" s="880"/>
      <c r="H11" s="255">
        <f>SUMIF(55:55,G11,56:56)-SUMIF(55:55,C11,56:56)+100</f>
        <v>100</v>
      </c>
      <c r="I11" s="880"/>
      <c r="J11" s="255">
        <f>SUMIF(55:55,I11,56:56)-SUMIF(55:55,C11,56:56)+100</f>
        <v>100</v>
      </c>
      <c r="K11" s="581"/>
      <c r="L11" s="2125"/>
      <c r="M11" s="2119"/>
      <c r="N11" s="2119"/>
      <c r="O11" s="2126"/>
      <c r="P11" s="3424"/>
      <c r="Q11" s="1147">
        <f t="shared" si="6"/>
        <v>111</v>
      </c>
      <c r="R11" s="1554" t="s">
        <v>8</v>
      </c>
      <c r="S11" s="1555">
        <f t="shared" si="0"/>
        <v>100</v>
      </c>
      <c r="T11" s="1554" t="s">
        <v>8</v>
      </c>
      <c r="U11" s="1555">
        <f t="shared" si="1"/>
        <v>100</v>
      </c>
      <c r="V11" s="1554" t="s">
        <v>8</v>
      </c>
      <c r="W11" s="1555">
        <f t="shared" si="2"/>
        <v>100</v>
      </c>
      <c r="X11" s="1556"/>
      <c r="Y11" s="3370"/>
      <c r="Z11" s="1146">
        <f t="shared" si="7"/>
        <v>111</v>
      </c>
      <c r="AA11" s="1557">
        <f t="shared" si="3"/>
        <v>1</v>
      </c>
      <c r="AB11" s="1557">
        <f t="shared" si="4"/>
        <v>1</v>
      </c>
      <c r="AC11" s="1557">
        <f t="shared" si="5"/>
        <v>1</v>
      </c>
    </row>
    <row r="12" spans="1:29" s="1216" customFormat="1" ht="15">
      <c r="A12" s="2872"/>
      <c r="B12" s="2878">
        <v>111</v>
      </c>
      <c r="C12" s="528"/>
      <c r="D12" s="538">
        <v>100</v>
      </c>
      <c r="E12" s="880"/>
      <c r="F12" s="255">
        <f>SUMIF(57:57,E12,58:58)-SUMIF(57:57,C12,58:58)+100</f>
        <v>100</v>
      </c>
      <c r="G12" s="880"/>
      <c r="H12" s="255">
        <f>SUMIF(57:57,G12,58:58)-SUMIF(57:57,C12,58:58)+100</f>
        <v>100</v>
      </c>
      <c r="I12" s="880"/>
      <c r="J12" s="255">
        <f>SUMIF(57:57,I12,58:58)-SUMIF(57:57,C12,58:58)+100</f>
        <v>100</v>
      </c>
      <c r="K12" s="581"/>
      <c r="L12" s="2120"/>
      <c r="M12" s="2121"/>
      <c r="N12" s="2121"/>
      <c r="O12" s="2122"/>
      <c r="P12" s="3424"/>
      <c r="Q12" s="1147">
        <f t="shared" si="6"/>
        <v>111</v>
      </c>
      <c r="R12" s="1554" t="s">
        <v>8</v>
      </c>
      <c r="S12" s="1555">
        <f t="shared" si="0"/>
        <v>100</v>
      </c>
      <c r="T12" s="1554" t="s">
        <v>8</v>
      </c>
      <c r="U12" s="1555">
        <f t="shared" si="1"/>
        <v>100</v>
      </c>
      <c r="V12" s="1554" t="s">
        <v>8</v>
      </c>
      <c r="W12" s="1555">
        <f t="shared" si="2"/>
        <v>100</v>
      </c>
      <c r="X12" s="1556"/>
      <c r="Y12" s="3370"/>
      <c r="Z12" s="1146">
        <f t="shared" si="7"/>
        <v>111</v>
      </c>
      <c r="AA12" s="1557">
        <f>D12/F12</f>
        <v>1</v>
      </c>
      <c r="AB12" s="1557">
        <f>D12/H12</f>
        <v>1</v>
      </c>
      <c r="AC12" s="1557">
        <f>D12/J12</f>
        <v>1</v>
      </c>
    </row>
    <row r="13" spans="1:29" ht="15.75" thickBot="1">
      <c r="A13" s="2873"/>
      <c r="B13" s="2879">
        <v>111</v>
      </c>
      <c r="C13" s="539"/>
      <c r="D13" s="540">
        <v>100</v>
      </c>
      <c r="E13" s="880"/>
      <c r="F13" s="255">
        <f>SUMIF(59:59,E13,60:60)-SUMIF(59:59,C13,60:60)+100</f>
        <v>100</v>
      </c>
      <c r="G13" s="880"/>
      <c r="H13" s="540">
        <f>SUMIF(59:59,G13,60:60)-SUMIF(59:59,C13,60:60)+100</f>
        <v>100</v>
      </c>
      <c r="I13" s="880"/>
      <c r="J13" s="540">
        <f>SUMIF(59:59,I13,60:60)-SUMIF(59:59,C13,60:60)+100</f>
        <v>100</v>
      </c>
      <c r="K13" s="581"/>
      <c r="L13" s="2127"/>
      <c r="M13" s="2119"/>
      <c r="N13" s="2119"/>
      <c r="O13" s="2126"/>
      <c r="P13" s="3424"/>
      <c r="Q13" s="1147">
        <f t="shared" si="6"/>
        <v>111</v>
      </c>
      <c r="R13" s="1554" t="s">
        <v>8</v>
      </c>
      <c r="S13" s="1555">
        <f t="shared" si="0"/>
        <v>100</v>
      </c>
      <c r="T13" s="1554" t="s">
        <v>8</v>
      </c>
      <c r="U13" s="1555">
        <f t="shared" si="1"/>
        <v>100</v>
      </c>
      <c r="V13" s="1554" t="s">
        <v>8</v>
      </c>
      <c r="W13" s="1555">
        <f t="shared" si="2"/>
        <v>100</v>
      </c>
      <c r="X13" s="1556"/>
      <c r="Y13" s="3370"/>
      <c r="Z13" s="1146">
        <f t="shared" si="7"/>
        <v>111</v>
      </c>
      <c r="AA13" s="1557">
        <f t="shared" si="3"/>
        <v>1</v>
      </c>
      <c r="AB13" s="1557">
        <f t="shared" si="4"/>
        <v>1</v>
      </c>
      <c r="AC13" s="1557">
        <f t="shared" si="5"/>
        <v>1</v>
      </c>
    </row>
    <row r="14" spans="1:29" ht="15">
      <c r="A14" s="2865" t="s">
        <v>2751</v>
      </c>
      <c r="B14" s="166" t="s">
        <v>543</v>
      </c>
      <c r="C14" s="921" t="str">
        <f>IF(B1="工业",估价对象房地状况!G4,估价对象房地状况!C6)</f>
        <v>较好</v>
      </c>
      <c r="D14" s="549">
        <v>100</v>
      </c>
      <c r="E14" s="550"/>
      <c r="F14" s="551">
        <f>SUMIF(61:61,E15,62:62)-SUMIF(61:61,C15,62:62)+100</f>
        <v>100</v>
      </c>
      <c r="G14" s="552"/>
      <c r="H14" s="549">
        <f>SUMIF(61:61,G15,62:62)-SUMIF(61:61,C15,62:62)+100</f>
        <v>100</v>
      </c>
      <c r="I14" s="550"/>
      <c r="J14" s="549">
        <f>SUMIF(61:61,I15,62:62)-SUMIF(61:61,C15,62:62)+100</f>
        <v>100</v>
      </c>
      <c r="K14" s="898"/>
      <c r="L14" s="2127"/>
      <c r="M14" s="2119"/>
      <c r="N14" s="2119"/>
      <c r="O14" s="2126"/>
      <c r="P14" s="3460" t="s">
        <v>540</v>
      </c>
      <c r="Q14" s="1558" t="str">
        <f t="shared" si="6"/>
        <v>交通便捷度</v>
      </c>
      <c r="R14" s="1559" t="s">
        <v>8</v>
      </c>
      <c r="S14" s="1560">
        <f t="shared" si="0"/>
        <v>100</v>
      </c>
      <c r="T14" s="1559" t="s">
        <v>8</v>
      </c>
      <c r="U14" s="1560">
        <f t="shared" si="1"/>
        <v>100</v>
      </c>
      <c r="V14" s="1559" t="s">
        <v>8</v>
      </c>
      <c r="W14" s="1560">
        <f t="shared" si="2"/>
        <v>100</v>
      </c>
      <c r="X14" s="1553"/>
      <c r="Y14" s="3460" t="s">
        <v>540</v>
      </c>
      <c r="Z14" s="1561" t="str">
        <f t="shared" si="7"/>
        <v>交通便捷度</v>
      </c>
      <c r="AA14" s="1562">
        <f t="shared" si="3"/>
        <v>1</v>
      </c>
      <c r="AB14" s="1562">
        <f t="shared" si="4"/>
        <v>1</v>
      </c>
      <c r="AC14" s="1562">
        <f t="shared" si="5"/>
        <v>1</v>
      </c>
    </row>
    <row r="15" spans="1:29" ht="15">
      <c r="A15" s="532"/>
      <c r="B15" s="869"/>
      <c r="C15" s="576"/>
      <c r="D15" s="555"/>
      <c r="E15" s="576"/>
      <c r="F15" s="557"/>
      <c r="G15" s="576"/>
      <c r="H15" s="559"/>
      <c r="I15" s="576"/>
      <c r="J15" s="555"/>
      <c r="K15" s="899"/>
      <c r="L15" s="2127"/>
      <c r="M15" s="2119"/>
      <c r="N15" s="2119"/>
      <c r="O15" s="2126"/>
      <c r="P15" s="3461"/>
      <c r="Q15" s="1558"/>
      <c r="R15" s="1559"/>
      <c r="S15" s="1560"/>
      <c r="T15" s="1559"/>
      <c r="U15" s="1560"/>
      <c r="V15" s="1559"/>
      <c r="W15" s="1560"/>
      <c r="X15" s="1553"/>
      <c r="Y15" s="3461"/>
      <c r="Z15" s="1561"/>
      <c r="AA15" s="1562">
        <v>1</v>
      </c>
      <c r="AB15" s="1562">
        <v>1</v>
      </c>
      <c r="AC15" s="1562">
        <v>1</v>
      </c>
    </row>
    <row r="16" spans="1:29" ht="15">
      <c r="A16" s="532"/>
      <c r="B16" s="2567" t="s">
        <v>2543</v>
      </c>
      <c r="C16" s="872" t="str">
        <f>IF(B1="工业",估价对象房地状况!G5,估价对象房地状况!C7)</f>
        <v>一般</v>
      </c>
      <c r="D16" s="565">
        <v>100</v>
      </c>
      <c r="E16" s="570"/>
      <c r="F16" s="571">
        <f>SUMIF(63:63,E17,64:64)-SUMIF(63:63,C17,64:64)+100</f>
        <v>100</v>
      </c>
      <c r="G16" s="572"/>
      <c r="H16" s="565">
        <f>SUMIF(63:63,G17,64:64)-SUMIF(63:63,C17,64:64)+100</f>
        <v>100</v>
      </c>
      <c r="I16" s="570"/>
      <c r="J16" s="565">
        <f>SUMIF(63:63,I17,64:64)-SUMIF(63:63,C17,64:64)+100</f>
        <v>100</v>
      </c>
      <c r="K16" s="898"/>
      <c r="L16" s="2127"/>
      <c r="M16" s="2119"/>
      <c r="N16" s="2119"/>
      <c r="O16" s="2126"/>
      <c r="P16" s="3461"/>
      <c r="Q16" s="1558" t="str">
        <f>B16</f>
        <v>公共配套设施</v>
      </c>
      <c r="R16" s="1559" t="s">
        <v>8</v>
      </c>
      <c r="S16" s="1560">
        <f>F16</f>
        <v>100</v>
      </c>
      <c r="T16" s="1559" t="s">
        <v>8</v>
      </c>
      <c r="U16" s="1560">
        <f>H16</f>
        <v>100</v>
      </c>
      <c r="V16" s="1559" t="s">
        <v>8</v>
      </c>
      <c r="W16" s="1560">
        <f>J16</f>
        <v>100</v>
      </c>
      <c r="X16" s="1553"/>
      <c r="Y16" s="3461"/>
      <c r="Z16" s="1561" t="str">
        <f>Q16</f>
        <v>公共配套设施</v>
      </c>
      <c r="AA16" s="1562">
        <f t="shared" si="3"/>
        <v>1</v>
      </c>
      <c r="AB16" s="1562">
        <f t="shared" si="4"/>
        <v>1</v>
      </c>
      <c r="AC16" s="1562">
        <f t="shared" si="5"/>
        <v>1</v>
      </c>
    </row>
    <row r="17" spans="1:29" ht="15">
      <c r="A17" s="532"/>
      <c r="B17" s="566"/>
      <c r="C17" s="873"/>
      <c r="D17" s="555"/>
      <c r="E17" s="576"/>
      <c r="F17" s="557"/>
      <c r="G17" s="576"/>
      <c r="H17" s="555"/>
      <c r="I17" s="576"/>
      <c r="J17" s="555"/>
      <c r="K17" s="899"/>
      <c r="L17" s="2127"/>
      <c r="M17" s="2119"/>
      <c r="N17" s="2119"/>
      <c r="O17" s="2126"/>
      <c r="P17" s="3461"/>
      <c r="Q17" s="1558"/>
      <c r="R17" s="1559"/>
      <c r="S17" s="1560"/>
      <c r="T17" s="1559"/>
      <c r="U17" s="1560"/>
      <c r="V17" s="1559"/>
      <c r="W17" s="1560"/>
      <c r="X17" s="1553"/>
      <c r="Y17" s="3461"/>
      <c r="Z17" s="1561"/>
      <c r="AA17" s="1562">
        <v>1</v>
      </c>
      <c r="AB17" s="1562">
        <v>1</v>
      </c>
      <c r="AC17" s="1562">
        <v>1</v>
      </c>
    </row>
    <row r="18" spans="1:29" ht="15">
      <c r="A18" s="532"/>
      <c r="B18" s="2555" t="s">
        <v>2555</v>
      </c>
      <c r="C18" s="872" t="str">
        <f>IF(B1="工业",估价对象房地状况!G6,估价对象房地状况!C8)</f>
        <v>六通</v>
      </c>
      <c r="D18" s="559">
        <v>100</v>
      </c>
      <c r="E18" s="562"/>
      <c r="F18" s="563">
        <f>SUMIF(65:65,E19,66:66)-SUMIF(65:65,C19,66:66)+100</f>
        <v>100</v>
      </c>
      <c r="G18" s="564"/>
      <c r="H18" s="565">
        <f>SUMIF(65:65,G19,66:66)-SUMIF(65:65,C19,66:66)+100</f>
        <v>100</v>
      </c>
      <c r="I18" s="570"/>
      <c r="J18" s="565">
        <f>SUMIF(65:65,I19,66:66)-SUMIF(65:65,C19,66:66)+100</f>
        <v>100</v>
      </c>
      <c r="K18" s="898"/>
      <c r="L18" s="2127"/>
      <c r="M18" s="2119"/>
      <c r="N18" s="2119"/>
      <c r="O18" s="2126"/>
      <c r="P18" s="3461"/>
      <c r="Q18" s="2543" t="str">
        <f>B18</f>
        <v>基础设施水平</v>
      </c>
      <c r="R18" s="1559" t="s">
        <v>8</v>
      </c>
      <c r="S18" s="1560">
        <f>F18</f>
        <v>100</v>
      </c>
      <c r="T18" s="1559" t="s">
        <v>8</v>
      </c>
      <c r="U18" s="1560">
        <f>H18</f>
        <v>100</v>
      </c>
      <c r="V18" s="1559" t="s">
        <v>8</v>
      </c>
      <c r="W18" s="1560">
        <f>J18</f>
        <v>100</v>
      </c>
      <c r="X18" s="2545"/>
      <c r="Y18" s="3461"/>
      <c r="Z18" s="2544" t="str">
        <f>Q18</f>
        <v>基础设施水平</v>
      </c>
      <c r="AA18" s="1562">
        <f t="shared" ref="AA18" si="8">D18/F18</f>
        <v>1</v>
      </c>
      <c r="AB18" s="1562">
        <f t="shared" ref="AB18" si="9">D18/H18</f>
        <v>1</v>
      </c>
      <c r="AC18" s="1562">
        <f t="shared" ref="AC18" si="10">D18/J18</f>
        <v>1</v>
      </c>
    </row>
    <row r="19" spans="1:29" ht="15">
      <c r="A19" s="532"/>
      <c r="B19" s="578"/>
      <c r="C19" s="873"/>
      <c r="D19" s="559"/>
      <c r="E19" s="873"/>
      <c r="F19" s="563"/>
      <c r="G19" s="873"/>
      <c r="H19" s="555"/>
      <c r="I19" s="576"/>
      <c r="J19" s="555"/>
      <c r="K19" s="2566"/>
      <c r="L19" s="2127"/>
      <c r="M19" s="2119"/>
      <c r="N19" s="2119"/>
      <c r="O19" s="2126"/>
      <c r="P19" s="3461"/>
      <c r="Q19" s="2543"/>
      <c r="R19" s="1559"/>
      <c r="S19" s="1560"/>
      <c r="T19" s="1559"/>
      <c r="U19" s="1560"/>
      <c r="V19" s="1559"/>
      <c r="W19" s="1560"/>
      <c r="X19" s="2545"/>
      <c r="Y19" s="3461"/>
      <c r="Z19" s="2544"/>
      <c r="AA19" s="1562">
        <v>1</v>
      </c>
      <c r="AB19" s="1562">
        <v>1</v>
      </c>
      <c r="AC19" s="1562">
        <v>1</v>
      </c>
    </row>
    <row r="20" spans="1:29" ht="15">
      <c r="A20" s="532"/>
      <c r="B20" s="871" t="s">
        <v>804</v>
      </c>
      <c r="C20" s="872" t="str">
        <f>IF(B1="工业",估价对象房地状况!G7,估价对象房地状况!C9)</f>
        <v>较好</v>
      </c>
      <c r="D20" s="565">
        <v>100</v>
      </c>
      <c r="E20" s="570"/>
      <c r="F20" s="571">
        <f>SUMIF(67:67,E21,68:68)-SUMIF(67:67,C21,68:68)+100</f>
        <v>100</v>
      </c>
      <c r="G20" s="572"/>
      <c r="H20" s="559">
        <f>SUMIF(67:67,G21,68:68)-SUMIF(67:67,C21,68:68)+100</f>
        <v>100</v>
      </c>
      <c r="I20" s="562"/>
      <c r="J20" s="559">
        <f>SUMIF(67:67,I21,68:68)-SUMIF(67:67,C21,68:68)+100</f>
        <v>100</v>
      </c>
      <c r="K20" s="898"/>
      <c r="L20" s="2127"/>
      <c r="M20" s="2119"/>
      <c r="N20" s="2119"/>
      <c r="O20" s="2126"/>
      <c r="P20" s="3461"/>
      <c r="Q20" s="1558" t="str">
        <f>B20</f>
        <v>自然及人文环境</v>
      </c>
      <c r="R20" s="1559" t="s">
        <v>8</v>
      </c>
      <c r="S20" s="1560">
        <f>F20</f>
        <v>100</v>
      </c>
      <c r="T20" s="1559" t="s">
        <v>8</v>
      </c>
      <c r="U20" s="1560">
        <f>H20</f>
        <v>100</v>
      </c>
      <c r="V20" s="1559" t="s">
        <v>8</v>
      </c>
      <c r="W20" s="1560">
        <f>J20</f>
        <v>100</v>
      </c>
      <c r="X20" s="1553"/>
      <c r="Y20" s="3461"/>
      <c r="Z20" s="1561" t="str">
        <f>Q20</f>
        <v>自然及人文环境</v>
      </c>
      <c r="AA20" s="1562">
        <f t="shared" si="3"/>
        <v>1</v>
      </c>
      <c r="AB20" s="1562">
        <f t="shared" si="4"/>
        <v>1</v>
      </c>
      <c r="AC20" s="1562">
        <f t="shared" si="5"/>
        <v>1</v>
      </c>
    </row>
    <row r="21" spans="1:29" ht="15">
      <c r="A21" s="532"/>
      <c r="B21" s="595"/>
      <c r="C21" s="576"/>
      <c r="D21" s="555"/>
      <c r="E21" s="576"/>
      <c r="F21" s="557"/>
      <c r="G21" s="576"/>
      <c r="H21" s="555"/>
      <c r="I21" s="576"/>
      <c r="J21" s="555"/>
      <c r="K21" s="899"/>
      <c r="L21" s="2127"/>
      <c r="M21" s="2119"/>
      <c r="N21" s="2119"/>
      <c r="O21" s="2126"/>
      <c r="P21" s="3461"/>
      <c r="Q21" s="1558"/>
      <c r="R21" s="1559"/>
      <c r="S21" s="1560"/>
      <c r="T21" s="1559"/>
      <c r="U21" s="1560"/>
      <c r="V21" s="1559"/>
      <c r="W21" s="1560"/>
      <c r="X21" s="1553"/>
      <c r="Y21" s="3461"/>
      <c r="Z21" s="1561"/>
      <c r="AA21" s="1562">
        <v>1</v>
      </c>
      <c r="AB21" s="1562">
        <v>1</v>
      </c>
      <c r="AC21" s="1562">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7"/>
      <c r="M22" s="2119"/>
      <c r="N22" s="2119"/>
      <c r="O22" s="2126"/>
      <c r="P22" s="3461"/>
      <c r="Q22" s="1558" t="str">
        <f>B22</f>
        <v>楼层</v>
      </c>
      <c r="R22" s="1559" t="s">
        <v>8</v>
      </c>
      <c r="S22" s="1560">
        <f>F22</f>
        <v>100</v>
      </c>
      <c r="T22" s="1559" t="s">
        <v>8</v>
      </c>
      <c r="U22" s="1560">
        <f>H22</f>
        <v>100</v>
      </c>
      <c r="V22" s="1559" t="s">
        <v>8</v>
      </c>
      <c r="W22" s="1560">
        <f>J22</f>
        <v>100</v>
      </c>
      <c r="X22" s="1553"/>
      <c r="Y22" s="3461"/>
      <c r="Z22" s="1561" t="str">
        <f>Q22</f>
        <v>楼层</v>
      </c>
      <c r="AA22" s="1562">
        <f t="shared" si="3"/>
        <v>1</v>
      </c>
      <c r="AB22" s="1562">
        <f t="shared" si="4"/>
        <v>1</v>
      </c>
      <c r="AC22" s="156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7"/>
      <c r="M23" s="2119"/>
      <c r="N23" s="2119"/>
      <c r="O23" s="2126"/>
      <c r="P23" s="3461"/>
      <c r="Q23" s="1558">
        <f>B23</f>
        <v>111</v>
      </c>
      <c r="R23" s="1559" t="s">
        <v>8</v>
      </c>
      <c r="S23" s="1560">
        <f>F23</f>
        <v>100</v>
      </c>
      <c r="T23" s="1559" t="s">
        <v>8</v>
      </c>
      <c r="U23" s="1560">
        <f>H23</f>
        <v>100</v>
      </c>
      <c r="V23" s="1559" t="s">
        <v>8</v>
      </c>
      <c r="W23" s="1560">
        <f>J23</f>
        <v>100</v>
      </c>
      <c r="X23" s="1553"/>
      <c r="Y23" s="3461"/>
      <c r="Z23" s="1561">
        <f>Q23</f>
        <v>111</v>
      </c>
      <c r="AA23" s="1562">
        <f t="shared" si="3"/>
        <v>1</v>
      </c>
      <c r="AB23" s="1562">
        <f t="shared" si="4"/>
        <v>1</v>
      </c>
      <c r="AC23" s="156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7"/>
      <c r="M24" s="2119"/>
      <c r="N24" s="2119"/>
      <c r="O24" s="2126"/>
      <c r="P24" s="3461"/>
      <c r="Q24" s="1558">
        <f t="shared" ref="Q24:Q34" si="11">B24</f>
        <v>111</v>
      </c>
      <c r="R24" s="1559" t="s">
        <v>8</v>
      </c>
      <c r="S24" s="1560">
        <f>F24</f>
        <v>100</v>
      </c>
      <c r="T24" s="1559" t="s">
        <v>8</v>
      </c>
      <c r="U24" s="1560">
        <f>H24</f>
        <v>100</v>
      </c>
      <c r="V24" s="1559" t="s">
        <v>8</v>
      </c>
      <c r="W24" s="1560">
        <f>J24</f>
        <v>100</v>
      </c>
      <c r="X24" s="1553"/>
      <c r="Y24" s="3461"/>
      <c r="Z24" s="1561">
        <f>Q24</f>
        <v>111</v>
      </c>
      <c r="AA24" s="1562">
        <f t="shared" si="3"/>
        <v>1</v>
      </c>
      <c r="AB24" s="1562">
        <f t="shared" si="4"/>
        <v>1</v>
      </c>
      <c r="AC24" s="1562">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0"/>
      <c r="M25" s="2121"/>
      <c r="N25" s="2121"/>
      <c r="O25" s="2122"/>
      <c r="P25" s="3461"/>
      <c r="Q25" s="1147">
        <f t="shared" si="11"/>
        <v>111</v>
      </c>
      <c r="R25" s="1554" t="s">
        <v>8</v>
      </c>
      <c r="S25" s="1555">
        <f>F25</f>
        <v>100</v>
      </c>
      <c r="T25" s="1554" t="s">
        <v>8</v>
      </c>
      <c r="U25" s="1555">
        <f>H25</f>
        <v>100</v>
      </c>
      <c r="V25" s="1554" t="s">
        <v>8</v>
      </c>
      <c r="W25" s="1555">
        <f>J25</f>
        <v>100</v>
      </c>
      <c r="X25" s="1556"/>
      <c r="Y25" s="3461"/>
      <c r="Z25" s="1146">
        <f>Q25</f>
        <v>111</v>
      </c>
      <c r="AA25" s="1562">
        <f>D25/F25</f>
        <v>1</v>
      </c>
      <c r="AB25" s="1562">
        <f>D25/H25</f>
        <v>1</v>
      </c>
      <c r="AC25" s="1562">
        <f>D25/J25</f>
        <v>1</v>
      </c>
    </row>
    <row r="26" spans="1:29" ht="15">
      <c r="A26" s="2862" t="s">
        <v>2752</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7"/>
      <c r="M26" s="2119"/>
      <c r="N26" s="2119"/>
      <c r="O26" s="2126"/>
      <c r="P26" s="3462" t="s">
        <v>821</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463" t="s">
        <v>821</v>
      </c>
      <c r="Z26" s="1561" t="str">
        <f t="shared" ref="Z26:Z34" si="15">Q26</f>
        <v>公共部分装修</v>
      </c>
      <c r="AA26" s="1562">
        <f t="shared" si="3"/>
        <v>1</v>
      </c>
      <c r="AB26" s="1562">
        <f t="shared" si="4"/>
        <v>1</v>
      </c>
      <c r="AC26" s="1562">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5"/>
      <c r="M27" s="2156"/>
      <c r="N27" s="2156"/>
      <c r="O27" s="2128"/>
      <c r="P27" s="3463"/>
      <c r="Q27" s="1590" t="str">
        <f t="shared" si="11"/>
        <v>成新率</v>
      </c>
      <c r="R27" s="1563" t="s">
        <v>8</v>
      </c>
      <c r="S27" s="1564" t="e">
        <f t="shared" si="12"/>
        <v>#N/A</v>
      </c>
      <c r="T27" s="1563" t="s">
        <v>8</v>
      </c>
      <c r="U27" s="1564" t="e">
        <f t="shared" si="13"/>
        <v>#N/A</v>
      </c>
      <c r="V27" s="1563" t="s">
        <v>8</v>
      </c>
      <c r="W27" s="1564" t="e">
        <f t="shared" si="14"/>
        <v>#N/A</v>
      </c>
      <c r="X27" s="1565"/>
      <c r="Y27" s="3463"/>
      <c r="Z27" s="1566" t="str">
        <f t="shared" si="15"/>
        <v>成新率</v>
      </c>
      <c r="AA27" s="1562" t="e">
        <f t="shared" si="3"/>
        <v>#N/A</v>
      </c>
      <c r="AB27" s="1562" t="e">
        <f t="shared" si="4"/>
        <v>#N/A</v>
      </c>
      <c r="AC27" s="1562"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7"/>
      <c r="M28" s="2119"/>
      <c r="N28" s="2119"/>
      <c r="O28" s="2126"/>
      <c r="P28" s="3463"/>
      <c r="Q28" s="1558" t="str">
        <f t="shared" si="11"/>
        <v>物业等级</v>
      </c>
      <c r="R28" s="1559" t="s">
        <v>8</v>
      </c>
      <c r="S28" s="1560">
        <f t="shared" si="12"/>
        <v>100</v>
      </c>
      <c r="T28" s="1559" t="s">
        <v>8</v>
      </c>
      <c r="U28" s="1560">
        <f t="shared" si="13"/>
        <v>100</v>
      </c>
      <c r="V28" s="1559" t="s">
        <v>8</v>
      </c>
      <c r="W28" s="1560">
        <f t="shared" si="14"/>
        <v>100</v>
      </c>
      <c r="X28" s="1553"/>
      <c r="Y28" s="3463"/>
      <c r="Z28" s="1561" t="str">
        <f t="shared" si="15"/>
        <v>物业等级</v>
      </c>
      <c r="AA28" s="1562">
        <f t="shared" si="3"/>
        <v>1</v>
      </c>
      <c r="AB28" s="1562">
        <f t="shared" si="4"/>
        <v>1</v>
      </c>
      <c r="AC28" s="1562">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7"/>
      <c r="M29" s="2119"/>
      <c r="N29" s="2119"/>
      <c r="O29" s="2126"/>
      <c r="P29" s="3463"/>
      <c r="Q29" s="1558" t="str">
        <f t="shared" si="11"/>
        <v>有无电梯</v>
      </c>
      <c r="R29" s="1559" t="s">
        <v>8</v>
      </c>
      <c r="S29" s="1560">
        <f t="shared" si="12"/>
        <v>100</v>
      </c>
      <c r="T29" s="1559" t="s">
        <v>8</v>
      </c>
      <c r="U29" s="1560">
        <f t="shared" si="13"/>
        <v>100</v>
      </c>
      <c r="V29" s="1559" t="s">
        <v>8</v>
      </c>
      <c r="W29" s="1560">
        <f t="shared" si="14"/>
        <v>100</v>
      </c>
      <c r="X29" s="1553"/>
      <c r="Y29" s="3463"/>
      <c r="Z29" s="1561" t="str">
        <f t="shared" si="15"/>
        <v>有无电梯</v>
      </c>
      <c r="AA29" s="1562">
        <f t="shared" si="3"/>
        <v>1</v>
      </c>
      <c r="AB29" s="1562">
        <f t="shared" si="4"/>
        <v>1</v>
      </c>
      <c r="AC29" s="1562">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7"/>
      <c r="M30" s="2119"/>
      <c r="N30" s="2119"/>
      <c r="O30" s="2126"/>
      <c r="P30" s="3463"/>
      <c r="Q30" s="1558" t="str">
        <f t="shared" si="11"/>
        <v>建筑面积</v>
      </c>
      <c r="R30" s="1559" t="s">
        <v>8</v>
      </c>
      <c r="S30" s="1560" t="e">
        <f t="shared" si="12"/>
        <v>#N/A</v>
      </c>
      <c r="T30" s="1559" t="s">
        <v>8</v>
      </c>
      <c r="U30" s="1560" t="e">
        <f t="shared" si="13"/>
        <v>#N/A</v>
      </c>
      <c r="V30" s="1559" t="s">
        <v>8</v>
      </c>
      <c r="W30" s="1560" t="e">
        <f t="shared" si="14"/>
        <v>#N/A</v>
      </c>
      <c r="X30" s="1553"/>
      <c r="Y30" s="3463"/>
      <c r="Z30" s="1561" t="str">
        <f t="shared" si="15"/>
        <v>建筑面积</v>
      </c>
      <c r="AA30" s="1562" t="e">
        <f t="shared" si="3"/>
        <v>#N/A</v>
      </c>
      <c r="AB30" s="1562" t="e">
        <f t="shared" si="4"/>
        <v>#N/A</v>
      </c>
      <c r="AC30" s="1562"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0"/>
      <c r="M31" s="2121"/>
      <c r="N31" s="2121"/>
      <c r="O31" s="2122"/>
      <c r="P31" s="3463"/>
      <c r="Q31" s="1147" t="str">
        <f t="shared" si="11"/>
        <v>是否封闭</v>
      </c>
      <c r="R31" s="1554" t="s">
        <v>8</v>
      </c>
      <c r="S31" s="1555">
        <f t="shared" si="12"/>
        <v>100</v>
      </c>
      <c r="T31" s="1554" t="s">
        <v>8</v>
      </c>
      <c r="U31" s="1555">
        <f t="shared" si="13"/>
        <v>100</v>
      </c>
      <c r="V31" s="1554" t="s">
        <v>8</v>
      </c>
      <c r="W31" s="1555">
        <f t="shared" si="14"/>
        <v>100</v>
      </c>
      <c r="X31" s="1556"/>
      <c r="Y31" s="3463"/>
      <c r="Z31" s="1146" t="str">
        <f t="shared" si="15"/>
        <v>是否封闭</v>
      </c>
      <c r="AA31" s="1557">
        <f t="shared" si="3"/>
        <v>1</v>
      </c>
      <c r="AB31" s="1557">
        <f t="shared" si="4"/>
        <v>1</v>
      </c>
      <c r="AC31" s="1557">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7"/>
      <c r="M32" s="2119"/>
      <c r="N32" s="2119"/>
      <c r="O32" s="2126"/>
      <c r="P32" s="3463" t="s">
        <v>550</v>
      </c>
      <c r="Q32" s="1558">
        <f t="shared" si="11"/>
        <v>111</v>
      </c>
      <c r="R32" s="1559" t="s">
        <v>8</v>
      </c>
      <c r="S32" s="1560">
        <f t="shared" si="12"/>
        <v>100</v>
      </c>
      <c r="T32" s="1559" t="s">
        <v>8</v>
      </c>
      <c r="U32" s="1560">
        <f t="shared" si="13"/>
        <v>100</v>
      </c>
      <c r="V32" s="1559" t="s">
        <v>8</v>
      </c>
      <c r="W32" s="1560">
        <f t="shared" si="14"/>
        <v>100</v>
      </c>
      <c r="X32" s="1553"/>
      <c r="Y32" s="3463" t="s">
        <v>550</v>
      </c>
      <c r="Z32" s="1561">
        <f t="shared" si="15"/>
        <v>111</v>
      </c>
      <c r="AA32" s="1562">
        <f t="shared" si="3"/>
        <v>1</v>
      </c>
      <c r="AB32" s="1562">
        <f t="shared" si="4"/>
        <v>1</v>
      </c>
      <c r="AC32" s="1562">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7"/>
      <c r="M33" s="2119"/>
      <c r="N33" s="2119"/>
      <c r="O33" s="2126"/>
      <c r="P33" s="3463"/>
      <c r="Q33" s="1558">
        <f t="shared" si="11"/>
        <v>111</v>
      </c>
      <c r="R33" s="1559" t="s">
        <v>8</v>
      </c>
      <c r="S33" s="1560">
        <f t="shared" si="12"/>
        <v>100</v>
      </c>
      <c r="T33" s="1559" t="s">
        <v>8</v>
      </c>
      <c r="U33" s="1560">
        <f t="shared" si="13"/>
        <v>100</v>
      </c>
      <c r="V33" s="1559" t="s">
        <v>8</v>
      </c>
      <c r="W33" s="1560">
        <f t="shared" si="14"/>
        <v>100</v>
      </c>
      <c r="X33" s="1553"/>
      <c r="Y33" s="3463"/>
      <c r="Z33" s="1561">
        <f t="shared" si="15"/>
        <v>111</v>
      </c>
      <c r="AA33" s="1562">
        <f t="shared" si="3"/>
        <v>1</v>
      </c>
      <c r="AB33" s="1562">
        <f t="shared" si="4"/>
        <v>1</v>
      </c>
      <c r="AC33" s="1562">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7"/>
      <c r="M34" s="2119"/>
      <c r="N34" s="2119"/>
      <c r="O34" s="2126"/>
      <c r="P34" s="3463"/>
      <c r="Q34" s="1558">
        <f t="shared" si="11"/>
        <v>111</v>
      </c>
      <c r="R34" s="1559" t="s">
        <v>8</v>
      </c>
      <c r="S34" s="1560">
        <f t="shared" si="12"/>
        <v>100</v>
      </c>
      <c r="T34" s="1559" t="s">
        <v>8</v>
      </c>
      <c r="U34" s="1560">
        <f t="shared" si="13"/>
        <v>100</v>
      </c>
      <c r="V34" s="1559" t="s">
        <v>8</v>
      </c>
      <c r="W34" s="1560">
        <f t="shared" si="14"/>
        <v>100</v>
      </c>
      <c r="X34" s="1553"/>
      <c r="Y34" s="3463"/>
      <c r="Z34" s="1561">
        <f t="shared" si="15"/>
        <v>111</v>
      </c>
      <c r="AA34" s="1562">
        <f t="shared" si="3"/>
        <v>1</v>
      </c>
      <c r="AB34" s="1562">
        <f t="shared" si="4"/>
        <v>1</v>
      </c>
      <c r="AC34" s="1562">
        <f t="shared" si="5"/>
        <v>1</v>
      </c>
    </row>
    <row r="35" spans="1:29" ht="15">
      <c r="A35" s="607" t="s">
        <v>736</v>
      </c>
      <c r="B35" s="887"/>
      <c r="C35" s="2591" t="s">
        <v>1</v>
      </c>
      <c r="D35" s="2592"/>
      <c r="E35" s="2593"/>
      <c r="F35" s="2594"/>
      <c r="G35" s="2595"/>
      <c r="H35" s="2596"/>
      <c r="I35" s="2593"/>
      <c r="J35" s="2596"/>
      <c r="K35" s="1596"/>
      <c r="L35" s="2129"/>
      <c r="M35" s="2130"/>
      <c r="N35" s="2119"/>
      <c r="O35" s="2130"/>
      <c r="P35" s="3424" t="str">
        <f>A35</f>
        <v>成交单价（元/平方米）</v>
      </c>
      <c r="Q35" s="3424"/>
      <c r="R35" s="3542">
        <f>E35</f>
        <v>0</v>
      </c>
      <c r="S35" s="3542"/>
      <c r="T35" s="3542">
        <f>G35</f>
        <v>0</v>
      </c>
      <c r="U35" s="3542"/>
      <c r="V35" s="3542">
        <f>I35</f>
        <v>0</v>
      </c>
      <c r="W35" s="3542"/>
      <c r="X35" s="1545"/>
      <c r="Y35" s="1567"/>
      <c r="Z35" s="1545"/>
      <c r="AA35" s="1545"/>
      <c r="AB35" s="1545"/>
      <c r="AC35" s="1545"/>
    </row>
    <row r="36" spans="1:29" ht="15.75" thickBot="1">
      <c r="A36" s="615" t="s">
        <v>2757</v>
      </c>
      <c r="B36" s="888"/>
      <c r="C36" s="2597" t="e">
        <f>R37</f>
        <v>#DIV/0!</v>
      </c>
      <c r="D36" s="2598"/>
      <c r="E36" s="2599" t="e">
        <f>R36</f>
        <v>#DIV/0!</v>
      </c>
      <c r="F36" s="2599"/>
      <c r="G36" s="2597" t="e">
        <f>T36</f>
        <v>#DIV/0!</v>
      </c>
      <c r="H36" s="2598"/>
      <c r="I36" s="2599" t="e">
        <f>V36</f>
        <v>#DIV/0!</v>
      </c>
      <c r="J36" s="2598"/>
      <c r="K36" s="1597"/>
      <c r="L36" s="2129"/>
      <c r="M36" s="2130"/>
      <c r="N36" s="2119"/>
      <c r="O36" s="2130"/>
      <c r="P36" s="3424" t="str">
        <f>A36</f>
        <v>比较价格（元/平方米）</v>
      </c>
      <c r="Q36" s="3424"/>
      <c r="R36" s="3542" t="e">
        <f>IF(F1="售价",ROUND(PRODUCT(R35,AA7:AA34),0),ROUND(PRODUCT(R35,AA7:AA34),1))</f>
        <v>#DIV/0!</v>
      </c>
      <c r="S36" s="3542"/>
      <c r="T36" s="3542" t="e">
        <f>IF(F1="售价",ROUND(PRODUCT(T35,AB7:AB34),0),ROUND(PRODUCT(T35,AB7:AB34),1))</f>
        <v>#DIV/0!</v>
      </c>
      <c r="U36" s="3542"/>
      <c r="V36" s="3542" t="e">
        <f>IF(F1="售价",ROUND(PRODUCT(V35,AC7:AC34),0),ROUND(PRODUCT(V35,AC7:AC34),1))</f>
        <v>#DIV/0!</v>
      </c>
      <c r="W36" s="3542"/>
      <c r="X36" s="1545"/>
      <c r="Y36" s="1545"/>
      <c r="Z36" s="1545"/>
      <c r="AA36" s="1545"/>
      <c r="AB36" s="1545"/>
      <c r="AC36" s="1545"/>
    </row>
    <row r="37" spans="1:29" ht="15.75" thickBot="1">
      <c r="A37" s="621" t="s">
        <v>2928</v>
      </c>
      <c r="B37" s="622"/>
      <c r="C37" s="2600" t="e">
        <f>R37</f>
        <v>#DIV/0!</v>
      </c>
      <c r="D37" s="2600"/>
      <c r="E37" s="2600"/>
      <c r="F37" s="2600"/>
      <c r="G37" s="2600"/>
      <c r="H37" s="2600"/>
      <c r="I37" s="2600"/>
      <c r="J37" s="2600"/>
      <c r="K37" s="1598"/>
      <c r="L37" s="2129"/>
      <c r="M37" s="2130"/>
      <c r="N37" s="2130"/>
      <c r="O37" s="2130"/>
      <c r="P37" s="3421" t="str">
        <f>A37</f>
        <v>估价对象XX用房的比较价格（楼面单价，元/平方米）</v>
      </c>
      <c r="Q37" s="3422"/>
      <c r="R37" s="3543" t="e">
        <f>IF(F1="售价",ROUND(AVERAGE(R36:V36),0),ROUND(AVERAGE(R36:V36),1))</f>
        <v>#DIV/0!</v>
      </c>
      <c r="S37" s="3543"/>
      <c r="T37" s="3543"/>
      <c r="U37" s="3543"/>
      <c r="V37" s="3543"/>
      <c r="W37" s="3543"/>
      <c r="X37" s="1545"/>
      <c r="Y37" s="1545"/>
      <c r="Z37" s="1545"/>
      <c r="AA37" s="1545"/>
      <c r="AB37" s="1545"/>
      <c r="AC37" s="1545"/>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1" customFormat="1" ht="13.5" customHeight="1">
      <c r="A42" s="2131"/>
      <c r="B42" s="2131"/>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1"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0" t="s">
        <v>574</v>
      </c>
      <c r="B45" s="1545"/>
      <c r="C45" s="1569"/>
      <c r="D45" s="1569"/>
      <c r="E45" s="1569"/>
      <c r="F45" s="1571"/>
      <c r="G45" s="1571"/>
      <c r="H45" s="1569"/>
      <c r="I45" s="1569"/>
      <c r="J45" s="1569"/>
      <c r="K45" s="1572"/>
      <c r="L45" s="1568"/>
      <c r="M45" s="1569"/>
      <c r="N45" s="1569"/>
      <c r="O45" s="1569"/>
      <c r="P45" s="2142"/>
      <c r="Q45" s="2143"/>
      <c r="R45" s="2130"/>
      <c r="S45" s="2130"/>
      <c r="T45" s="2130"/>
      <c r="U45" s="2130"/>
      <c r="V45" s="2130"/>
      <c r="W45" s="2130"/>
      <c r="X45" s="2130"/>
      <c r="Y45" s="2130"/>
      <c r="Z45" s="2130"/>
      <c r="AA45" s="2130"/>
      <c r="AB45" s="2130"/>
      <c r="AC45" s="2130"/>
    </row>
    <row r="46" spans="1:29" s="1343" customFormat="1" ht="15">
      <c r="A46" s="645" t="s">
        <v>529</v>
      </c>
      <c r="B46" s="646"/>
      <c r="C46" s="2757" t="str">
        <f>YEAR(C7)&amp;"-"&amp;MONTH(C7)</f>
        <v>2020-2</v>
      </c>
      <c r="D46" s="2759">
        <f>EDATE(C46,-1)</f>
        <v>43831</v>
      </c>
      <c r="E46" s="2759">
        <f t="shared" ref="E46:O46" si="16">EDATE(D46,-1)</f>
        <v>43800</v>
      </c>
      <c r="F46" s="2759">
        <f t="shared" si="16"/>
        <v>43770</v>
      </c>
      <c r="G46" s="2759">
        <f t="shared" si="16"/>
        <v>43739</v>
      </c>
      <c r="H46" s="2759">
        <f t="shared" si="16"/>
        <v>43709</v>
      </c>
      <c r="I46" s="2759">
        <f t="shared" si="16"/>
        <v>43678</v>
      </c>
      <c r="J46" s="2759">
        <f t="shared" si="16"/>
        <v>43647</v>
      </c>
      <c r="K46" s="2759">
        <f t="shared" si="16"/>
        <v>43617</v>
      </c>
      <c r="L46" s="2759">
        <f t="shared" si="16"/>
        <v>43586</v>
      </c>
      <c r="M46" s="2759">
        <f t="shared" si="16"/>
        <v>43556</v>
      </c>
      <c r="N46" s="2759">
        <f t="shared" si="16"/>
        <v>43525</v>
      </c>
      <c r="O46" s="2759">
        <f t="shared" si="16"/>
        <v>43497</v>
      </c>
      <c r="P46" s="2145"/>
      <c r="Q46" s="2146"/>
      <c r="R46" s="2146"/>
      <c r="S46" s="2146"/>
      <c r="T46" s="2146"/>
      <c r="U46" s="2146"/>
      <c r="V46" s="2146"/>
      <c r="W46" s="2146"/>
      <c r="X46" s="2146"/>
      <c r="Y46" s="2146"/>
      <c r="Z46" s="2146"/>
      <c r="AA46" s="2146"/>
      <c r="AB46" s="2146"/>
      <c r="AC46" s="2146"/>
    </row>
    <row r="47" spans="1:29" s="1216" customFormat="1" ht="15">
      <c r="A47" s="647"/>
      <c r="B47" s="648"/>
      <c r="C47" s="649">
        <v>100</v>
      </c>
      <c r="D47" s="650"/>
      <c r="E47" s="650"/>
      <c r="F47" s="650"/>
      <c r="G47" s="650"/>
      <c r="H47" s="650"/>
      <c r="I47" s="650"/>
      <c r="J47" s="650"/>
      <c r="K47" s="650"/>
      <c r="L47" s="650"/>
      <c r="M47" s="651"/>
      <c r="N47" s="650"/>
      <c r="O47" s="652"/>
      <c r="P47" s="2143"/>
      <c r="Q47" s="1978"/>
      <c r="R47" s="1978"/>
      <c r="S47" s="1978"/>
      <c r="T47" s="1978"/>
      <c r="U47" s="1978"/>
      <c r="V47" s="1978"/>
      <c r="W47" s="1978"/>
      <c r="X47" s="1978"/>
      <c r="Y47" s="1978"/>
      <c r="Z47" s="1978"/>
      <c r="AA47" s="1978"/>
      <c r="AB47" s="1978"/>
      <c r="AC47" s="1978"/>
    </row>
    <row r="48" spans="1:29" s="1216" customFormat="1" ht="15.75" thickBot="1">
      <c r="A48" s="653" t="s">
        <v>575</v>
      </c>
      <c r="B48" s="654"/>
      <c r="C48" s="655"/>
      <c r="D48" s="656"/>
      <c r="E48" s="656"/>
      <c r="F48" s="656"/>
      <c r="G48" s="656"/>
      <c r="H48" s="656"/>
      <c r="I48" s="656"/>
      <c r="J48" s="656"/>
      <c r="K48" s="656"/>
      <c r="L48" s="656"/>
      <c r="M48" s="657"/>
      <c r="N48" s="656"/>
      <c r="O48" s="658"/>
      <c r="P48" s="2143"/>
      <c r="Q48" s="2143"/>
      <c r="R48" s="1978"/>
      <c r="S48" s="1978"/>
      <c r="T48" s="1978"/>
      <c r="U48" s="1978"/>
      <c r="V48" s="1978"/>
      <c r="W48" s="1978"/>
      <c r="X48" s="1978"/>
      <c r="Y48" s="1978"/>
      <c r="Z48" s="1978"/>
      <c r="AA48" s="1978"/>
      <c r="AB48" s="1978"/>
      <c r="AC48" s="1978"/>
    </row>
    <row r="49" spans="1:29" s="1216" customFormat="1" ht="15">
      <c r="A49" s="659" t="s">
        <v>531</v>
      </c>
      <c r="B49" s="648"/>
      <c r="C49" s="660" t="s">
        <v>576</v>
      </c>
      <c r="D49" s="661"/>
      <c r="E49" s="661"/>
      <c r="F49" s="661"/>
      <c r="G49" s="661"/>
      <c r="H49" s="661"/>
      <c r="I49" s="661"/>
      <c r="J49" s="661"/>
      <c r="K49" s="661"/>
      <c r="L49" s="662"/>
      <c r="M49" s="663"/>
      <c r="N49" s="2147"/>
      <c r="O49" s="2147"/>
      <c r="P49" s="2148"/>
      <c r="Q49" s="2143"/>
      <c r="R49" s="1978"/>
      <c r="S49" s="1978"/>
      <c r="T49" s="1978"/>
      <c r="U49" s="1978"/>
      <c r="V49" s="1978"/>
      <c r="W49" s="1978"/>
      <c r="X49" s="1978"/>
      <c r="Y49" s="1978"/>
      <c r="Z49" s="1978"/>
      <c r="AA49" s="1978"/>
      <c r="AB49" s="1978"/>
      <c r="AC49" s="1978"/>
    </row>
    <row r="50" spans="1:29" s="1216" customFormat="1" ht="15.75" thickBot="1">
      <c r="A50" s="659"/>
      <c r="B50" s="648"/>
      <c r="C50" s="649">
        <v>100</v>
      </c>
      <c r="D50" s="650"/>
      <c r="E50" s="650"/>
      <c r="F50" s="650"/>
      <c r="G50" s="650"/>
      <c r="H50" s="650"/>
      <c r="I50" s="650"/>
      <c r="J50" s="650"/>
      <c r="K50" s="650"/>
      <c r="L50" s="650"/>
      <c r="M50" s="652"/>
      <c r="N50" s="2147"/>
      <c r="O50" s="2147"/>
      <c r="P50" s="2143"/>
      <c r="Q50" s="2143"/>
      <c r="R50" s="1978"/>
      <c r="S50" s="1978"/>
      <c r="T50" s="1978"/>
      <c r="U50" s="1978"/>
      <c r="V50" s="1978"/>
      <c r="W50" s="1978"/>
      <c r="X50" s="1978"/>
      <c r="Y50" s="1978"/>
      <c r="Z50" s="1978"/>
      <c r="AA50" s="1978"/>
      <c r="AB50" s="1978"/>
      <c r="AC50" s="1978"/>
    </row>
    <row r="51" spans="1:29">
      <c r="A51" s="664" t="s">
        <v>577</v>
      </c>
      <c r="B51" s="665" t="s">
        <v>534</v>
      </c>
      <c r="C51" s="704">
        <f>C9</f>
        <v>0</v>
      </c>
      <c r="D51" s="598"/>
      <c r="E51" s="598"/>
      <c r="F51" s="598"/>
      <c r="G51" s="598"/>
      <c r="H51" s="598"/>
      <c r="I51" s="598"/>
      <c r="J51" s="598"/>
      <c r="K51" s="666"/>
      <c r="L51" s="667"/>
      <c r="M51" s="668"/>
      <c r="N51" s="2149"/>
      <c r="O51" s="2149"/>
      <c r="P51" s="2150"/>
      <c r="Q51" s="2143"/>
      <c r="R51" s="2130"/>
      <c r="S51" s="2130"/>
      <c r="T51" s="2130"/>
      <c r="U51" s="2130"/>
      <c r="V51" s="2130"/>
      <c r="W51" s="2130"/>
      <c r="X51" s="2130"/>
      <c r="Y51" s="2130"/>
      <c r="Z51" s="2130"/>
      <c r="AA51" s="2130"/>
      <c r="AB51" s="2130"/>
      <c r="AC51" s="2130"/>
    </row>
    <row r="52" spans="1:29" ht="15.75" thickBot="1">
      <c r="A52" s="669"/>
      <c r="B52" s="670"/>
      <c r="C52" s="671">
        <v>100</v>
      </c>
      <c r="D52" s="671"/>
      <c r="E52" s="671"/>
      <c r="F52" s="671"/>
      <c r="G52" s="671"/>
      <c r="H52" s="671"/>
      <c r="I52" s="671"/>
      <c r="J52" s="671"/>
      <c r="K52" s="671"/>
      <c r="L52" s="671"/>
      <c r="M52" s="672"/>
      <c r="N52" s="2151"/>
      <c r="O52" s="2151"/>
      <c r="P52" s="2150"/>
      <c r="Q52" s="2143"/>
      <c r="R52" s="2130"/>
      <c r="S52" s="2130"/>
      <c r="T52" s="2130"/>
      <c r="U52" s="2130"/>
      <c r="V52" s="2130"/>
      <c r="W52" s="2130"/>
      <c r="X52" s="2130"/>
      <c r="Y52" s="2130"/>
      <c r="Z52" s="2130"/>
      <c r="AA52" s="2130"/>
      <c r="AB52" s="2130"/>
      <c r="AC52" s="2130"/>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49"/>
      <c r="O53" s="2149"/>
      <c r="P53" s="2150"/>
      <c r="Q53" s="2143"/>
      <c r="R53" s="2130"/>
      <c r="S53" s="2130"/>
      <c r="T53" s="2130"/>
      <c r="U53" s="2130"/>
      <c r="V53" s="2130"/>
      <c r="W53" s="2130"/>
      <c r="X53" s="2130"/>
      <c r="Y53" s="2130"/>
      <c r="Z53" s="2130"/>
      <c r="AA53" s="2130"/>
      <c r="AB53" s="2130"/>
      <c r="AC53" s="2130"/>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1"/>
      <c r="O54" s="2151"/>
      <c r="P54" s="2150"/>
      <c r="Q54" s="2143"/>
      <c r="R54" s="2130"/>
      <c r="S54" s="2130"/>
      <c r="T54" s="2130"/>
      <c r="U54" s="2130"/>
      <c r="V54" s="2130"/>
      <c r="W54" s="2130"/>
      <c r="X54" s="2130"/>
      <c r="Y54" s="2130"/>
      <c r="Z54" s="2130"/>
      <c r="AA54" s="2130"/>
      <c r="AB54" s="2130"/>
      <c r="AC54" s="2130"/>
    </row>
    <row r="55" spans="1:29" ht="15.75" thickTop="1">
      <c r="A55" s="669"/>
      <c r="B55" s="935">
        <f>B11</f>
        <v>111</v>
      </c>
      <c r="C55" s="541"/>
      <c r="D55" s="541"/>
      <c r="E55" s="541"/>
      <c r="F55" s="541"/>
      <c r="G55" s="541"/>
      <c r="H55" s="541"/>
      <c r="I55" s="541"/>
      <c r="J55" s="541"/>
      <c r="K55" s="684"/>
      <c r="L55" s="685"/>
      <c r="M55" s="686"/>
      <c r="N55" s="2149"/>
      <c r="O55" s="2149"/>
      <c r="P55" s="2150"/>
      <c r="Q55" s="2143"/>
      <c r="R55" s="2130"/>
      <c r="S55" s="2130"/>
      <c r="T55" s="2130"/>
      <c r="U55" s="2130"/>
      <c r="V55" s="2130"/>
      <c r="W55" s="2130"/>
      <c r="X55" s="2130"/>
      <c r="Y55" s="2130"/>
      <c r="Z55" s="2130"/>
      <c r="AA55" s="2130"/>
      <c r="AB55" s="2130"/>
      <c r="AC55" s="2130"/>
    </row>
    <row r="56" spans="1:29" ht="15.75" thickBot="1">
      <c r="A56" s="669"/>
      <c r="B56" s="670"/>
      <c r="C56" s="692"/>
      <c r="D56" s="671"/>
      <c r="E56" s="671"/>
      <c r="F56" s="671"/>
      <c r="G56" s="671"/>
      <c r="H56" s="671"/>
      <c r="I56" s="671"/>
      <c r="J56" s="671"/>
      <c r="K56" s="671"/>
      <c r="L56" s="671"/>
      <c r="M56" s="672"/>
      <c r="N56" s="2151"/>
      <c r="O56" s="2151"/>
      <c r="P56" s="2150"/>
      <c r="Q56" s="2143"/>
      <c r="R56" s="2130"/>
      <c r="S56" s="2130"/>
      <c r="T56" s="2130"/>
      <c r="U56" s="2130"/>
      <c r="V56" s="2130"/>
      <c r="W56" s="2130"/>
      <c r="X56" s="2130"/>
      <c r="Y56" s="2130"/>
      <c r="Z56" s="2130"/>
      <c r="AA56" s="2130"/>
      <c r="AB56" s="2130"/>
      <c r="AC56" s="2130"/>
    </row>
    <row r="57" spans="1:29" s="1335" customFormat="1" ht="15.75" thickTop="1">
      <c r="A57" s="687"/>
      <c r="B57" s="673">
        <f>B12</f>
        <v>111</v>
      </c>
      <c r="C57" s="541"/>
      <c r="D57" s="541"/>
      <c r="E57" s="541"/>
      <c r="F57" s="541"/>
      <c r="G57" s="688"/>
      <c r="H57" s="689"/>
      <c r="I57" s="689"/>
      <c r="J57" s="689"/>
      <c r="K57" s="689"/>
      <c r="L57" s="690"/>
      <c r="M57" s="691"/>
      <c r="N57" s="2152"/>
      <c r="O57" s="2152"/>
      <c r="P57" s="2153"/>
      <c r="Q57" s="2154"/>
      <c r="R57" s="2155"/>
      <c r="S57" s="2155"/>
      <c r="T57" s="2155"/>
      <c r="U57" s="2155"/>
      <c r="V57" s="2155"/>
      <c r="W57" s="2155"/>
      <c r="X57" s="2155"/>
      <c r="Y57" s="2155"/>
      <c r="Z57" s="2155"/>
      <c r="AA57" s="2155"/>
      <c r="AB57" s="2155"/>
      <c r="AC57" s="2155"/>
    </row>
    <row r="58" spans="1:29" s="1335" customFormat="1" ht="15.75" thickBot="1">
      <c r="A58" s="687"/>
      <c r="B58" s="678"/>
      <c r="C58" s="692"/>
      <c r="D58" s="671"/>
      <c r="E58" s="671"/>
      <c r="F58" s="671"/>
      <c r="G58" s="671"/>
      <c r="H58" s="671"/>
      <c r="I58" s="671"/>
      <c r="J58" s="671"/>
      <c r="K58" s="671"/>
      <c r="L58" s="671"/>
      <c r="M58" s="672"/>
      <c r="N58" s="2151"/>
      <c r="O58" s="2151"/>
      <c r="P58" s="2153"/>
      <c r="Q58" s="2154"/>
      <c r="R58" s="2155"/>
      <c r="S58" s="2155"/>
      <c r="T58" s="2155"/>
      <c r="U58" s="2155"/>
      <c r="V58" s="2155"/>
      <c r="W58" s="2155"/>
      <c r="X58" s="2155"/>
      <c r="Y58" s="2155"/>
      <c r="Z58" s="2155"/>
      <c r="AA58" s="2155"/>
      <c r="AB58" s="2155"/>
      <c r="AC58" s="2155"/>
    </row>
    <row r="59" spans="1:29" s="1335" customFormat="1" ht="15.75" thickTop="1">
      <c r="A59" s="687"/>
      <c r="B59" s="673">
        <f>B13</f>
        <v>111</v>
      </c>
      <c r="C59" s="541"/>
      <c r="D59" s="541"/>
      <c r="E59" s="541"/>
      <c r="F59" s="541"/>
      <c r="G59" s="688"/>
      <c r="H59" s="689"/>
      <c r="I59" s="689"/>
      <c r="J59" s="689"/>
      <c r="K59" s="689"/>
      <c r="L59" s="690"/>
      <c r="M59" s="691"/>
      <c r="N59" s="2152"/>
      <c r="O59" s="2152"/>
      <c r="P59" s="2156"/>
      <c r="Q59" s="2157"/>
      <c r="R59" s="2155"/>
      <c r="S59" s="2155"/>
      <c r="T59" s="2155"/>
      <c r="U59" s="2155"/>
      <c r="V59" s="2155"/>
      <c r="W59" s="2155"/>
      <c r="X59" s="2155"/>
      <c r="Y59" s="2155"/>
      <c r="Z59" s="2155"/>
      <c r="AA59" s="2155"/>
      <c r="AB59" s="2155"/>
      <c r="AC59" s="2155"/>
    </row>
    <row r="60" spans="1:29" s="1335" customFormat="1" ht="15.75" thickBot="1">
      <c r="A60" s="687"/>
      <c r="B60" s="678"/>
      <c r="C60" s="692"/>
      <c r="D60" s="692"/>
      <c r="E60" s="692"/>
      <c r="F60" s="692"/>
      <c r="G60" s="692"/>
      <c r="H60" s="693"/>
      <c r="I60" s="693"/>
      <c r="J60" s="693"/>
      <c r="K60" s="693"/>
      <c r="L60" s="693"/>
      <c r="M60" s="694"/>
      <c r="N60" s="2152"/>
      <c r="O60" s="2152"/>
      <c r="P60" s="2153"/>
      <c r="Q60" s="2154"/>
      <c r="R60" s="2155"/>
      <c r="S60" s="2155"/>
      <c r="T60" s="2155"/>
      <c r="U60" s="2155"/>
      <c r="V60" s="2155"/>
      <c r="W60" s="2155"/>
      <c r="X60" s="2155"/>
      <c r="Y60" s="2155"/>
      <c r="Z60" s="2155"/>
      <c r="AA60" s="2155"/>
      <c r="AB60" s="2155"/>
      <c r="AC60" s="2155"/>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9"/>
      <c r="O61" s="2149"/>
      <c r="P61" s="2159"/>
      <c r="Q61" s="2143"/>
      <c r="R61" s="2130"/>
      <c r="S61" s="2130"/>
      <c r="T61" s="2130"/>
      <c r="U61" s="2130"/>
      <c r="V61" s="2130"/>
      <c r="W61" s="2130"/>
      <c r="X61" s="2130"/>
      <c r="Y61" s="2130"/>
      <c r="Z61" s="2130"/>
      <c r="AA61" s="2130"/>
      <c r="AB61" s="2130"/>
      <c r="AC61" s="2130"/>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1"/>
      <c r="O62" s="2151"/>
      <c r="P62" s="2150"/>
      <c r="Q62" s="2143"/>
      <c r="R62" s="2130"/>
      <c r="S62" s="2130"/>
      <c r="T62" s="2130"/>
      <c r="U62" s="2130"/>
      <c r="V62" s="2130"/>
      <c r="W62" s="2130"/>
      <c r="X62" s="2130"/>
      <c r="Y62" s="2130"/>
      <c r="Z62" s="2130"/>
      <c r="AA62" s="2130"/>
      <c r="AB62" s="2130"/>
      <c r="AC62" s="2130"/>
    </row>
    <row r="63" spans="1:29" ht="15.75" thickTop="1">
      <c r="A63" s="669"/>
      <c r="B63" s="1881" t="s">
        <v>2554</v>
      </c>
      <c r="C63" s="708" t="s">
        <v>579</v>
      </c>
      <c r="D63" s="708" t="s">
        <v>580</v>
      </c>
      <c r="E63" s="708" t="s">
        <v>581</v>
      </c>
      <c r="F63" s="708" t="s">
        <v>582</v>
      </c>
      <c r="G63" s="708" t="s">
        <v>583</v>
      </c>
      <c r="H63" s="674"/>
      <c r="I63" s="674"/>
      <c r="J63" s="674"/>
      <c r="K63" s="675"/>
      <c r="L63" s="676"/>
      <c r="M63" s="677"/>
      <c r="N63" s="2149"/>
      <c r="O63" s="2149"/>
      <c r="P63" s="2150"/>
      <c r="Q63" s="2143"/>
      <c r="R63" s="2130"/>
      <c r="S63" s="2130"/>
      <c r="T63" s="2130"/>
      <c r="U63" s="2130"/>
      <c r="V63" s="2130"/>
      <c r="W63" s="2130"/>
      <c r="X63" s="2130"/>
      <c r="Y63" s="2130"/>
      <c r="Z63" s="2130"/>
      <c r="AA63" s="2130"/>
      <c r="AB63" s="2130"/>
      <c r="AC63" s="2130"/>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2561" t="s">
        <v>2555</v>
      </c>
      <c r="C65" s="2562" t="s">
        <v>2556</v>
      </c>
      <c r="D65" s="2562" t="s">
        <v>2557</v>
      </c>
      <c r="E65" s="2562" t="s">
        <v>2558</v>
      </c>
      <c r="F65" s="2562" t="s">
        <v>2559</v>
      </c>
      <c r="G65" s="2562" t="s">
        <v>2560</v>
      </c>
      <c r="H65" s="674"/>
      <c r="I65" s="674"/>
      <c r="J65" s="674"/>
      <c r="K65" s="674"/>
      <c r="L65" s="674"/>
      <c r="M65" s="2565"/>
      <c r="N65" s="2151"/>
      <c r="O65" s="2151"/>
      <c r="P65" s="2150"/>
      <c r="Q65" s="2143"/>
      <c r="R65" s="2130"/>
      <c r="S65" s="2130"/>
      <c r="T65" s="2130"/>
      <c r="U65" s="2130"/>
      <c r="V65" s="2130"/>
      <c r="W65" s="2130"/>
      <c r="X65" s="2130"/>
      <c r="Y65" s="2130"/>
      <c r="Z65" s="2130"/>
      <c r="AA65" s="2130"/>
      <c r="AB65" s="2130"/>
      <c r="AC65" s="2130"/>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1"/>
      <c r="O66" s="2151"/>
      <c r="P66" s="2150"/>
      <c r="Q66" s="2143"/>
      <c r="R66" s="2130"/>
      <c r="S66" s="2130"/>
      <c r="T66" s="2130"/>
      <c r="U66" s="2130"/>
      <c r="V66" s="2130"/>
      <c r="W66" s="2130"/>
      <c r="X66" s="2130"/>
      <c r="Y66" s="2130"/>
      <c r="Z66" s="2130"/>
      <c r="AA66" s="2130"/>
      <c r="AB66" s="2130"/>
      <c r="AC66" s="2130"/>
    </row>
    <row r="67" spans="1:29" ht="15.75" thickTop="1">
      <c r="A67" s="669"/>
      <c r="B67" s="673" t="s">
        <v>744</v>
      </c>
      <c r="C67" s="708" t="s">
        <v>579</v>
      </c>
      <c r="D67" s="708" t="s">
        <v>580</v>
      </c>
      <c r="E67" s="708" t="s">
        <v>581</v>
      </c>
      <c r="F67" s="708" t="s">
        <v>582</v>
      </c>
      <c r="G67" s="708" t="s">
        <v>583</v>
      </c>
      <c r="H67" s="674"/>
      <c r="I67" s="674"/>
      <c r="J67" s="674"/>
      <c r="K67" s="675"/>
      <c r="L67" s="676"/>
      <c r="M67" s="677"/>
      <c r="N67" s="2149"/>
      <c r="O67" s="2149"/>
      <c r="P67" s="2150"/>
      <c r="Q67" s="2143"/>
      <c r="R67" s="2130"/>
      <c r="S67" s="2130"/>
      <c r="T67" s="2130"/>
      <c r="U67" s="2130"/>
      <c r="V67" s="2130"/>
      <c r="W67" s="2130"/>
      <c r="X67" s="2130"/>
      <c r="Y67" s="2130"/>
      <c r="Z67" s="2130"/>
      <c r="AA67" s="2130"/>
      <c r="AB67" s="2130"/>
      <c r="AC67" s="2130"/>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745</v>
      </c>
      <c r="C69" s="688"/>
      <c r="D69" s="688"/>
      <c r="E69" s="688"/>
      <c r="F69" s="688"/>
      <c r="G69" s="688"/>
      <c r="H69" s="718"/>
      <c r="I69" s="718"/>
      <c r="J69" s="718"/>
      <c r="K69" s="719"/>
      <c r="L69" s="720"/>
      <c r="M69" s="721"/>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C70-$K22</f>
        <v>100</v>
      </c>
      <c r="E70" s="679"/>
      <c r="F70" s="679"/>
      <c r="G70" s="679"/>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s="1216" customFormat="1" ht="15.75" thickTop="1">
      <c r="A71" s="709"/>
      <c r="B71" s="673">
        <f>B23</f>
        <v>111</v>
      </c>
      <c r="C71" s="541"/>
      <c r="D71" s="541"/>
      <c r="E71" s="541"/>
      <c r="F71" s="541"/>
      <c r="G71" s="688"/>
      <c r="H71" s="688"/>
      <c r="I71" s="688"/>
      <c r="J71" s="688"/>
      <c r="K71" s="688"/>
      <c r="L71" s="890"/>
      <c r="M71" s="891"/>
      <c r="N71" s="2147"/>
      <c r="O71" s="2147"/>
      <c r="P71" s="2150"/>
      <c r="Q71" s="2143"/>
      <c r="R71" s="1978"/>
      <c r="S71" s="1978"/>
      <c r="T71" s="1978"/>
      <c r="U71" s="1978"/>
      <c r="V71" s="1978"/>
      <c r="W71" s="1978"/>
      <c r="X71" s="1978"/>
      <c r="Y71" s="1978"/>
      <c r="Z71" s="1978"/>
      <c r="AA71" s="1978"/>
      <c r="AB71" s="1978"/>
      <c r="AC71" s="1978"/>
    </row>
    <row r="72" spans="1:29" s="1216" customFormat="1" ht="15.75" thickBot="1">
      <c r="A72" s="709"/>
      <c r="B72" s="678"/>
      <c r="C72" s="692"/>
      <c r="D72" s="671"/>
      <c r="E72" s="671"/>
      <c r="F72" s="671"/>
      <c r="G72" s="671"/>
      <c r="H72" s="671"/>
      <c r="I72" s="671"/>
      <c r="J72" s="671"/>
      <c r="K72" s="671"/>
      <c r="L72" s="671"/>
      <c r="M72" s="672"/>
      <c r="N72" s="2151"/>
      <c r="O72" s="2151"/>
      <c r="P72" s="2150"/>
      <c r="Q72" s="2143"/>
      <c r="R72" s="1978"/>
      <c r="S72" s="1978"/>
      <c r="T72" s="1978"/>
      <c r="U72" s="1978"/>
      <c r="V72" s="1978"/>
      <c r="W72" s="1978"/>
      <c r="X72" s="1978"/>
      <c r="Y72" s="1978"/>
      <c r="Z72" s="1978"/>
      <c r="AA72" s="1978"/>
      <c r="AB72" s="1978"/>
      <c r="AC72" s="1978"/>
    </row>
    <row r="73" spans="1:29" s="1216" customFormat="1" ht="15.75" thickTop="1">
      <c r="A73" s="709"/>
      <c r="B73" s="673">
        <f>B24</f>
        <v>111</v>
      </c>
      <c r="C73" s="541"/>
      <c r="D73" s="541"/>
      <c r="E73" s="541"/>
      <c r="F73" s="541"/>
      <c r="G73" s="688"/>
      <c r="H73" s="688"/>
      <c r="I73" s="688"/>
      <c r="J73" s="688"/>
      <c r="K73" s="688"/>
      <c r="L73" s="688"/>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335" customFormat="1" ht="15.75" thickTop="1">
      <c r="A75" s="687"/>
      <c r="B75" s="673">
        <f>B25</f>
        <v>111</v>
      </c>
      <c r="C75" s="541"/>
      <c r="D75" s="541"/>
      <c r="E75" s="541"/>
      <c r="F75" s="541"/>
      <c r="G75" s="688"/>
      <c r="H75" s="689"/>
      <c r="I75" s="689"/>
      <c r="J75" s="689"/>
      <c r="K75" s="689"/>
      <c r="L75" s="690"/>
      <c r="M75" s="691"/>
      <c r="N75" s="2152"/>
      <c r="O75" s="2152"/>
      <c r="P75" s="2153"/>
      <c r="Q75" s="2154"/>
      <c r="R75" s="2155"/>
      <c r="S75" s="2155"/>
      <c r="T75" s="2155"/>
      <c r="U75" s="2155"/>
      <c r="V75" s="2155"/>
      <c r="W75" s="2155"/>
      <c r="X75" s="2155"/>
      <c r="Y75" s="2155"/>
      <c r="Z75" s="2155"/>
      <c r="AA75" s="2155"/>
      <c r="AB75" s="2155"/>
      <c r="AC75" s="2155"/>
    </row>
    <row r="76" spans="1:29" s="1335" customFormat="1" ht="15.75" thickBot="1">
      <c r="A76" s="687"/>
      <c r="B76" s="678"/>
      <c r="C76" s="692"/>
      <c r="D76" s="692"/>
      <c r="E76" s="692"/>
      <c r="F76" s="692"/>
      <c r="G76" s="671"/>
      <c r="H76" s="671"/>
      <c r="I76" s="671"/>
      <c r="J76" s="671"/>
      <c r="K76" s="671"/>
      <c r="L76" s="671"/>
      <c r="M76" s="672"/>
      <c r="N76" s="2152"/>
      <c r="O76" s="2152"/>
      <c r="P76" s="2153"/>
      <c r="Q76" s="2154"/>
      <c r="R76" s="2155"/>
      <c r="S76" s="2155"/>
      <c r="T76" s="2155"/>
      <c r="U76" s="2155"/>
      <c r="V76" s="2155"/>
      <c r="W76" s="2155"/>
      <c r="X76" s="2155"/>
      <c r="Y76" s="2155"/>
      <c r="Z76" s="2155"/>
      <c r="AA76" s="2155"/>
      <c r="AB76" s="2155"/>
      <c r="AC76" s="2155"/>
    </row>
    <row r="77" spans="1:29" ht="15" thickTop="1">
      <c r="A77" s="664" t="s">
        <v>551</v>
      </c>
      <c r="B77" s="665" t="s">
        <v>751</v>
      </c>
      <c r="C77" s="688"/>
      <c r="D77" s="68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1"/>
      <c r="O78" s="2151"/>
      <c r="P78" s="2150"/>
      <c r="Q78" s="2143"/>
      <c r="R78" s="2130"/>
      <c r="S78" s="2130"/>
      <c r="T78" s="2130"/>
      <c r="U78" s="2130"/>
      <c r="V78" s="2130"/>
      <c r="W78" s="2130"/>
      <c r="X78" s="2130"/>
      <c r="Y78" s="2130"/>
      <c r="Z78" s="2130"/>
      <c r="AA78" s="2130"/>
      <c r="AB78" s="2130"/>
      <c r="AC78" s="2130"/>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7"/>
      <c r="O79" s="2147"/>
      <c r="P79" s="2150"/>
      <c r="Q79" s="2143"/>
      <c r="R79" s="2130"/>
      <c r="S79" s="2130"/>
      <c r="T79" s="2130"/>
      <c r="U79" s="2130"/>
      <c r="V79" s="2130"/>
      <c r="W79" s="2130"/>
      <c r="X79" s="2130"/>
      <c r="Y79" s="2130"/>
      <c r="Z79" s="2130"/>
      <c r="AA79" s="2130"/>
      <c r="AB79" s="2130"/>
      <c r="AC79" s="2130"/>
    </row>
    <row r="80" spans="1:29" ht="15">
      <c r="A80" s="669"/>
      <c r="B80" s="681"/>
      <c r="C80" s="894">
        <v>0.5</v>
      </c>
      <c r="D80" s="894">
        <v>0.6</v>
      </c>
      <c r="E80" s="894">
        <v>0.7</v>
      </c>
      <c r="F80" s="894">
        <v>0.8</v>
      </c>
      <c r="G80" s="894">
        <v>0.9</v>
      </c>
      <c r="H80" s="894">
        <v>1.0001</v>
      </c>
      <c r="I80" s="935"/>
      <c r="J80" s="935"/>
      <c r="K80" s="945"/>
      <c r="L80" s="946"/>
      <c r="M80" s="947"/>
      <c r="N80" s="2147"/>
      <c r="O80" s="2147"/>
      <c r="P80" s="2150"/>
      <c r="Q80" s="2143"/>
      <c r="R80" s="2130"/>
      <c r="S80" s="2130"/>
      <c r="T80" s="2130"/>
      <c r="U80" s="2130"/>
      <c r="V80" s="2130"/>
      <c r="W80" s="2130"/>
      <c r="X80" s="2130"/>
      <c r="Y80" s="2130"/>
      <c r="Z80" s="2130"/>
      <c r="AA80" s="2130"/>
      <c r="AB80" s="2130"/>
      <c r="AC80" s="2130"/>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5"/>
      <c r="B82" s="681" t="s">
        <v>817</v>
      </c>
      <c r="C82" s="688"/>
      <c r="D82" s="688"/>
      <c r="E82" s="718"/>
      <c r="F82" s="718"/>
      <c r="G82" s="718"/>
      <c r="H82" s="718"/>
      <c r="I82" s="718"/>
      <c r="J82" s="718"/>
      <c r="K82" s="719"/>
      <c r="L82" s="720"/>
      <c r="M82" s="721"/>
      <c r="N82" s="2149"/>
      <c r="O82" s="2149"/>
      <c r="P82" s="2150"/>
      <c r="Q82" s="2143"/>
      <c r="R82" s="2130"/>
      <c r="S82" s="2130"/>
      <c r="T82" s="2130"/>
      <c r="U82" s="2130"/>
      <c r="V82" s="2130"/>
      <c r="W82" s="2130"/>
      <c r="X82" s="2130"/>
      <c r="Y82" s="2130"/>
      <c r="Z82" s="2130"/>
      <c r="AA82" s="2130"/>
      <c r="AB82" s="2130"/>
      <c r="AC82" s="2130"/>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5"/>
      <c r="B84" s="673" t="s">
        <v>825</v>
      </c>
      <c r="C84" s="688"/>
      <c r="D84" s="688"/>
      <c r="E84" s="688"/>
      <c r="F84" s="688"/>
      <c r="G84" s="688"/>
      <c r="H84" s="688"/>
      <c r="I84" s="718"/>
      <c r="J84" s="718"/>
      <c r="K84" s="719"/>
      <c r="L84" s="720"/>
      <c r="M84" s="721"/>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9"/>
      <c r="O86" s="2149"/>
      <c r="P86" s="2150"/>
      <c r="Q86" s="2143"/>
      <c r="R86" s="2130"/>
      <c r="S86" s="2130"/>
      <c r="T86" s="2130"/>
      <c r="U86" s="2130"/>
      <c r="V86" s="2130"/>
      <c r="W86" s="2130"/>
      <c r="X86" s="2130"/>
      <c r="Y86" s="2130"/>
      <c r="Z86" s="2130"/>
      <c r="AA86" s="2130"/>
      <c r="AB86" s="2130"/>
      <c r="AC86" s="2130"/>
    </row>
    <row r="87" spans="1:29">
      <c r="A87" s="735"/>
      <c r="B87" s="681"/>
      <c r="C87" s="730"/>
      <c r="D87" s="730"/>
      <c r="E87" s="730"/>
      <c r="F87" s="730"/>
      <c r="G87" s="730"/>
      <c r="H87" s="730"/>
      <c r="I87" s="730"/>
      <c r="J87" s="731"/>
      <c r="K87" s="731"/>
      <c r="L87" s="732"/>
      <c r="M87" s="733"/>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92"/>
      <c r="D88" s="671"/>
      <c r="E88" s="671"/>
      <c r="F88" s="671"/>
      <c r="G88" s="671"/>
      <c r="H88" s="671"/>
      <c r="I88" s="671"/>
      <c r="J88" s="671"/>
      <c r="K88" s="671"/>
      <c r="L88" s="671"/>
      <c r="M88" s="671"/>
      <c r="N88" s="2151"/>
      <c r="O88" s="2151"/>
      <c r="P88" s="2150"/>
      <c r="Q88" s="2143"/>
      <c r="R88" s="2130"/>
      <c r="S88" s="2130"/>
      <c r="T88" s="2130"/>
      <c r="U88" s="2130"/>
      <c r="V88" s="2130"/>
      <c r="W88" s="2130"/>
      <c r="X88" s="2130"/>
      <c r="Y88" s="2130"/>
      <c r="Z88" s="2130"/>
      <c r="AA88" s="2130"/>
      <c r="AB88" s="2130"/>
      <c r="AC88" s="2130"/>
    </row>
    <row r="89" spans="1:29" s="1335" customFormat="1" ht="15" thickTop="1">
      <c r="A89" s="728"/>
      <c r="B89" s="673" t="s">
        <v>827</v>
      </c>
      <c r="C89" s="688"/>
      <c r="D89" s="688"/>
      <c r="E89" s="688"/>
      <c r="F89" s="688"/>
      <c r="G89" s="688"/>
      <c r="H89" s="688"/>
      <c r="I89" s="688"/>
      <c r="J89" s="688"/>
      <c r="K89" s="688"/>
      <c r="L89" s="688"/>
      <c r="M89" s="891"/>
      <c r="N89" s="2152"/>
      <c r="O89" s="2152"/>
      <c r="P89" s="2153"/>
      <c r="Q89" s="2154"/>
      <c r="R89" s="2155"/>
      <c r="S89" s="2155"/>
      <c r="T89" s="2155"/>
      <c r="U89" s="2155"/>
      <c r="V89" s="2155"/>
      <c r="W89" s="2155"/>
      <c r="X89" s="2155"/>
      <c r="Y89" s="2155"/>
      <c r="Z89" s="2155"/>
      <c r="AA89" s="2155"/>
      <c r="AB89" s="2155"/>
      <c r="AC89" s="2155"/>
    </row>
    <row r="90" spans="1:29" s="1335" customFormat="1" ht="15.75" thickBot="1">
      <c r="A90" s="687"/>
      <c r="B90" s="678"/>
      <c r="C90" s="692"/>
      <c r="D90" s="671"/>
      <c r="E90" s="671"/>
      <c r="F90" s="671"/>
      <c r="G90" s="671"/>
      <c r="H90" s="671"/>
      <c r="I90" s="671"/>
      <c r="J90" s="671"/>
      <c r="K90" s="671"/>
      <c r="L90" s="671"/>
      <c r="M90" s="672"/>
      <c r="N90" s="2152"/>
      <c r="O90" s="2152"/>
      <c r="P90" s="2153"/>
      <c r="Q90" s="2154"/>
      <c r="R90" s="2155"/>
      <c r="S90" s="2155"/>
      <c r="T90" s="2155"/>
      <c r="U90" s="2155"/>
      <c r="V90" s="2155"/>
      <c r="W90" s="2155"/>
      <c r="X90" s="2155"/>
      <c r="Y90" s="2155"/>
      <c r="Z90" s="2155"/>
      <c r="AA90" s="2155"/>
      <c r="AB90" s="2155"/>
      <c r="AC90" s="2155"/>
    </row>
    <row r="91" spans="1:29" ht="15" thickTop="1">
      <c r="A91" s="735"/>
      <c r="B91" s="673">
        <f>B32</f>
        <v>111</v>
      </c>
      <c r="C91" s="541"/>
      <c r="D91" s="541"/>
      <c r="E91" s="541"/>
      <c r="F91" s="541"/>
      <c r="G91" s="688"/>
      <c r="H91" s="689"/>
      <c r="I91" s="689"/>
      <c r="J91" s="689"/>
      <c r="K91" s="689"/>
      <c r="L91" s="690"/>
      <c r="M91" s="691"/>
      <c r="N91" s="2149"/>
      <c r="O91" s="2149"/>
      <c r="P91" s="2150"/>
      <c r="Q91" s="2143"/>
      <c r="R91" s="2130"/>
      <c r="S91" s="2130"/>
      <c r="T91" s="2130"/>
      <c r="U91" s="2130"/>
      <c r="V91" s="2130"/>
      <c r="W91" s="2130"/>
      <c r="X91" s="2130"/>
      <c r="Y91" s="2130"/>
      <c r="Z91" s="2130"/>
      <c r="AA91" s="2130"/>
      <c r="AB91" s="2130"/>
      <c r="AC91" s="2130"/>
    </row>
    <row r="92" spans="1:29" ht="15.75" thickBot="1">
      <c r="A92" s="669"/>
      <c r="B92" s="678"/>
      <c r="C92" s="692"/>
      <c r="D92" s="671"/>
      <c r="E92" s="671"/>
      <c r="F92" s="671"/>
      <c r="G92" s="692"/>
      <c r="H92" s="693"/>
      <c r="I92" s="693"/>
      <c r="J92" s="693"/>
      <c r="K92" s="693"/>
      <c r="L92" s="693"/>
      <c r="M92" s="694"/>
      <c r="N92" s="2151"/>
      <c r="O92" s="2151"/>
      <c r="P92" s="2150"/>
      <c r="Q92" s="2143"/>
      <c r="R92" s="2130"/>
      <c r="S92" s="2130"/>
      <c r="T92" s="2130"/>
      <c r="U92" s="2130"/>
      <c r="V92" s="2130"/>
      <c r="W92" s="2130"/>
      <c r="X92" s="2130"/>
      <c r="Y92" s="2130"/>
      <c r="Z92" s="2130"/>
      <c r="AA92" s="2130"/>
      <c r="AB92" s="2130"/>
      <c r="AC92" s="2130"/>
    </row>
    <row r="93" spans="1:29" ht="15" thickTop="1">
      <c r="A93" s="735"/>
      <c r="B93" s="673">
        <f>B33</f>
        <v>111</v>
      </c>
      <c r="C93" s="541"/>
      <c r="D93" s="541"/>
      <c r="E93" s="541"/>
      <c r="F93" s="541"/>
      <c r="G93" s="688"/>
      <c r="H93" s="689"/>
      <c r="I93" s="689"/>
      <c r="J93" s="689"/>
      <c r="K93" s="689"/>
      <c r="L93" s="690"/>
      <c r="M93" s="69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92"/>
      <c r="H94" s="693"/>
      <c r="I94" s="693"/>
      <c r="J94" s="693"/>
      <c r="K94" s="693"/>
      <c r="L94" s="693"/>
      <c r="M94" s="694"/>
      <c r="N94" s="2151"/>
      <c r="O94" s="2151"/>
      <c r="P94" s="2150"/>
      <c r="Q94" s="2143"/>
      <c r="R94" s="2130"/>
      <c r="S94" s="2130"/>
      <c r="T94" s="2130"/>
      <c r="U94" s="2130"/>
      <c r="V94" s="2130"/>
      <c r="W94" s="2130"/>
      <c r="X94" s="2130"/>
      <c r="Y94" s="2130"/>
      <c r="Z94" s="2130"/>
      <c r="AA94" s="2130"/>
      <c r="AB94" s="2130"/>
      <c r="AC94" s="2130"/>
    </row>
    <row r="95" spans="1:29" ht="15" thickTop="1">
      <c r="A95" s="735"/>
      <c r="B95" s="917">
        <f>B34</f>
        <v>111</v>
      </c>
      <c r="C95" s="541"/>
      <c r="D95" s="541"/>
      <c r="E95" s="541"/>
      <c r="F95" s="541"/>
      <c r="G95" s="688"/>
      <c r="H95" s="689"/>
      <c r="I95" s="689"/>
      <c r="J95" s="689"/>
      <c r="K95" s="689"/>
      <c r="L95" s="690"/>
      <c r="M95" s="691"/>
      <c r="N95" s="2151"/>
      <c r="O95" s="2151"/>
      <c r="P95" s="2190"/>
      <c r="Q95" s="2191"/>
      <c r="R95" s="2130"/>
      <c r="S95" s="2130"/>
      <c r="T95" s="2130"/>
      <c r="U95" s="2130"/>
      <c r="V95" s="2130"/>
      <c r="W95" s="2130"/>
      <c r="X95" s="2130"/>
      <c r="Y95" s="2130"/>
      <c r="Z95" s="2130"/>
      <c r="AA95" s="2130"/>
      <c r="AB95" s="2130"/>
      <c r="AC95" s="2130"/>
    </row>
    <row r="96" spans="1:29" ht="15.75" thickBot="1">
      <c r="A96" s="669"/>
      <c r="B96" s="678"/>
      <c r="C96" s="692"/>
      <c r="D96" s="692"/>
      <c r="E96" s="692"/>
      <c r="F96" s="692"/>
      <c r="G96" s="692"/>
      <c r="H96" s="693"/>
      <c r="I96" s="693"/>
      <c r="J96" s="693"/>
      <c r="K96" s="693"/>
      <c r="L96" s="693"/>
      <c r="M96" s="694"/>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08" sqref="C108:G113"/>
      <selection pane="bottomLeft" activeCell="C108" sqref="C108:G113"/>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1"/>
    <col min="19" max="19" width="9" style="1246"/>
    <col min="20" max="35" width="9" style="257"/>
    <col min="36" max="16384" width="9" style="1246"/>
  </cols>
  <sheetData>
    <row r="1" spans="1:45" s="257" customFormat="1" ht="14.25" customHeight="1" thickBot="1">
      <c r="A1" s="365"/>
      <c r="B1" s="2219" t="s">
        <v>2303</v>
      </c>
      <c r="C1" s="3558" t="s">
        <v>2304</v>
      </c>
      <c r="D1" s="3559"/>
      <c r="E1" s="3559"/>
      <c r="F1" s="3559"/>
      <c r="G1" s="3559"/>
      <c r="H1" s="3559"/>
      <c r="I1" s="3559"/>
      <c r="J1" s="3559"/>
      <c r="K1" s="3559"/>
      <c r="L1" s="3559"/>
      <c r="M1" s="3559"/>
      <c r="N1" s="3559"/>
      <c r="O1" s="3559"/>
      <c r="P1" s="3559"/>
      <c r="Q1" s="3559"/>
      <c r="R1" s="3559"/>
      <c r="S1" s="3560"/>
      <c r="T1" s="2219" t="s">
        <v>2305</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1" t="str">
        <f>S3&amp;"(含)"&amp;"-"</f>
        <v>(含)-</v>
      </c>
      <c r="T2" s="95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3"/>
      <c r="C3" s="954"/>
      <c r="D3" s="955"/>
      <c r="E3" s="955"/>
      <c r="F3" s="955"/>
      <c r="G3" s="955"/>
      <c r="H3" s="955"/>
      <c r="I3" s="955"/>
      <c r="J3" s="956"/>
      <c r="K3" s="956"/>
      <c r="L3" s="957"/>
      <c r="M3" s="2224"/>
      <c r="N3" s="2225"/>
      <c r="O3" s="955"/>
      <c r="P3" s="955"/>
      <c r="Q3" s="955"/>
      <c r="R3" s="955"/>
      <c r="S3" s="2226"/>
      <c r="T3" s="958"/>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37" t="s">
        <v>2921</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39" t="s">
        <v>2920</v>
      </c>
      <c r="C7" s="1946"/>
      <c r="D7" s="1947"/>
      <c r="E7" s="1947"/>
      <c r="F7" s="1947"/>
      <c r="G7" s="1947"/>
      <c r="H7" s="1947"/>
      <c r="I7" s="1947"/>
      <c r="J7" s="1947"/>
      <c r="K7" s="1947"/>
      <c r="L7" s="1947"/>
      <c r="M7" s="2244"/>
      <c r="N7" s="2245"/>
      <c r="O7" s="2246"/>
      <c r="P7" s="2247"/>
      <c r="Q7" s="2248"/>
      <c r="R7" s="2249"/>
      <c r="S7" s="2250"/>
      <c r="T7" s="959"/>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39" t="s">
        <v>2919</v>
      </c>
      <c r="C9" s="1946"/>
      <c r="D9" s="1947"/>
      <c r="E9" s="1947"/>
      <c r="F9" s="1947"/>
      <c r="G9" s="1947"/>
      <c r="H9" s="1947"/>
      <c r="I9" s="1947"/>
      <c r="J9" s="1947"/>
      <c r="K9" s="1947"/>
      <c r="L9" s="1948"/>
      <c r="M9" s="2244"/>
      <c r="N9" s="2245"/>
      <c r="O9" s="2246"/>
      <c r="P9" s="2247"/>
      <c r="Q9" s="2248"/>
      <c r="R9" s="2249"/>
      <c r="S9" s="2250"/>
      <c r="T9" s="959"/>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38"/>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37" t="s">
        <v>2932</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37" t="s">
        <v>2918</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37" t="s">
        <v>2917</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2307</v>
      </c>
      <c r="B17" s="2263" t="s">
        <v>2308</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1"/>
      <c r="B19" s="948"/>
      <c r="C19" s="1975"/>
      <c r="D19" s="1975"/>
      <c r="E19" s="1975"/>
      <c r="F19" s="1975"/>
      <c r="G19" s="1975"/>
      <c r="H19" s="1975"/>
      <c r="I19" s="1975"/>
      <c r="J19" s="1975"/>
      <c r="K19" s="1975"/>
      <c r="L19" s="1975"/>
      <c r="M19" s="1975"/>
      <c r="N19" s="1975"/>
      <c r="O19" s="1975"/>
      <c r="P19" s="1975"/>
      <c r="Q19" s="1975"/>
      <c r="R19" s="2210"/>
      <c r="S19" s="2013"/>
    </row>
    <row r="20" spans="1:45" ht="15.75">
      <c r="A20" s="960" t="s">
        <v>828</v>
      </c>
      <c r="B20" s="775">
        <f>S22</f>
        <v>0</v>
      </c>
      <c r="C20" s="1975"/>
      <c r="D20" s="1975"/>
      <c r="E20" s="1975"/>
      <c r="F20" s="1975"/>
      <c r="G20" s="1975"/>
      <c r="H20" s="1975"/>
      <c r="I20" s="1975"/>
      <c r="J20" s="1975"/>
      <c r="K20" s="1975"/>
      <c r="L20" s="1975"/>
      <c r="M20" s="1975"/>
      <c r="N20" s="1975"/>
      <c r="O20" s="1975"/>
      <c r="P20" s="1975"/>
      <c r="Q20" s="1975"/>
      <c r="R20" s="2210"/>
      <c r="S20" s="2013"/>
    </row>
    <row r="21" spans="1:45" ht="15.75">
      <c r="A21" s="960" t="s">
        <v>829</v>
      </c>
      <c r="B21" s="775" t="e">
        <f>R22</f>
        <v>#DIV/0!</v>
      </c>
      <c r="C21" s="1975"/>
      <c r="D21" s="1975"/>
      <c r="E21" s="1975"/>
      <c r="F21" s="1975"/>
      <c r="G21" s="1975"/>
      <c r="H21" s="1975"/>
      <c r="I21" s="1975"/>
      <c r="J21" s="1975"/>
      <c r="K21" s="1975"/>
      <c r="L21" s="1975"/>
      <c r="M21" s="1975"/>
      <c r="N21" s="1975"/>
      <c r="O21" s="1975"/>
      <c r="P21" s="1975"/>
      <c r="Q21" s="1975"/>
      <c r="R21" s="2210"/>
      <c r="S21" s="2013"/>
    </row>
    <row r="22" spans="1:45">
      <c r="A22" s="799" t="s">
        <v>830</v>
      </c>
      <c r="B22" s="53">
        <f>SUM(B24:B10000)</f>
        <v>0</v>
      </c>
      <c r="C22" s="3555" t="s">
        <v>20</v>
      </c>
      <c r="D22" s="3556"/>
      <c r="E22" s="3556"/>
      <c r="F22" s="3556"/>
      <c r="G22" s="3556"/>
      <c r="H22" s="3556"/>
      <c r="I22" s="3556"/>
      <c r="J22" s="3556"/>
      <c r="K22" s="3556"/>
      <c r="L22" s="3556"/>
      <c r="M22" s="3556"/>
      <c r="N22" s="3556"/>
      <c r="O22" s="3556"/>
      <c r="P22" s="3556"/>
      <c r="Q22" s="3557"/>
      <c r="R22" s="490" t="e">
        <f>ROUND(S22*10000/B22,0)</f>
        <v>#DIV/0!</v>
      </c>
      <c r="S22" s="53">
        <f>SUM(S24:S10000)</f>
        <v>0</v>
      </c>
    </row>
    <row r="23" spans="1:45" s="1599"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0"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1"/>
      <c r="S525" s="257"/>
    </row>
    <row r="526" spans="1:19">
      <c r="A526" s="257"/>
      <c r="B526" s="57"/>
      <c r="C526" s="57"/>
      <c r="D526" s="57"/>
      <c r="E526" s="57"/>
      <c r="F526" s="57"/>
      <c r="G526" s="57"/>
      <c r="H526" s="57"/>
      <c r="I526" s="57"/>
      <c r="J526" s="57"/>
      <c r="K526" s="57"/>
      <c r="L526" s="57"/>
      <c r="M526" s="57"/>
      <c r="N526" s="57"/>
      <c r="O526" s="57"/>
      <c r="P526" s="57"/>
      <c r="Q526" s="57"/>
      <c r="R526" s="2211"/>
      <c r="S526" s="257"/>
    </row>
    <row r="527" spans="1:19">
      <c r="A527" s="257"/>
      <c r="B527" s="57"/>
      <c r="C527" s="57"/>
      <c r="D527" s="57"/>
      <c r="E527" s="57"/>
      <c r="F527" s="57"/>
      <c r="G527" s="57"/>
      <c r="H527" s="57"/>
      <c r="I527" s="57"/>
      <c r="J527" s="57"/>
      <c r="K527" s="57"/>
      <c r="L527" s="57"/>
      <c r="M527" s="57"/>
      <c r="N527" s="57"/>
      <c r="O527" s="57"/>
      <c r="P527" s="57"/>
      <c r="Q527" s="57"/>
      <c r="R527" s="2211"/>
      <c r="S527" s="257"/>
    </row>
    <row r="528" spans="1:19">
      <c r="A528" s="257"/>
      <c r="B528" s="57"/>
      <c r="C528" s="57"/>
      <c r="D528" s="57"/>
      <c r="E528" s="57"/>
      <c r="F528" s="57"/>
      <c r="G528" s="57"/>
      <c r="H528" s="57"/>
      <c r="I528" s="57"/>
      <c r="J528" s="57"/>
      <c r="K528" s="57"/>
      <c r="L528" s="57"/>
      <c r="M528" s="57"/>
      <c r="N528" s="57"/>
      <c r="O528" s="57"/>
      <c r="P528" s="57"/>
      <c r="Q528" s="57"/>
      <c r="R528" s="2211"/>
      <c r="S528" s="257"/>
    </row>
    <row r="529" spans="1:19">
      <c r="A529" s="257"/>
      <c r="B529" s="57"/>
      <c r="C529" s="57"/>
      <c r="D529" s="57"/>
      <c r="E529" s="57"/>
      <c r="F529" s="57"/>
      <c r="G529" s="57"/>
      <c r="H529" s="57"/>
      <c r="I529" s="57"/>
      <c r="J529" s="57"/>
      <c r="K529" s="57"/>
      <c r="L529" s="57"/>
      <c r="M529" s="57"/>
      <c r="N529" s="57"/>
      <c r="O529" s="57"/>
      <c r="P529" s="57"/>
      <c r="Q529" s="57"/>
      <c r="R529" s="2211"/>
      <c r="S529" s="257"/>
    </row>
    <row r="530" spans="1:19">
      <c r="A530" s="257"/>
      <c r="B530" s="57"/>
      <c r="C530" s="57"/>
      <c r="D530" s="57"/>
      <c r="E530" s="57"/>
      <c r="F530" s="57"/>
      <c r="G530" s="57"/>
      <c r="H530" s="57"/>
      <c r="I530" s="57"/>
      <c r="J530" s="57"/>
      <c r="K530" s="57"/>
      <c r="L530" s="57"/>
      <c r="M530" s="57"/>
      <c r="N530" s="57"/>
      <c r="O530" s="57"/>
      <c r="P530" s="57"/>
      <c r="Q530" s="57"/>
      <c r="R530" s="2211"/>
      <c r="S530" s="257"/>
    </row>
    <row r="531" spans="1:19">
      <c r="A531" s="257"/>
      <c r="B531" s="57"/>
      <c r="C531" s="57"/>
      <c r="D531" s="57"/>
      <c r="E531" s="57"/>
      <c r="F531" s="57"/>
      <c r="G531" s="57"/>
      <c r="H531" s="57"/>
      <c r="I531" s="57"/>
      <c r="J531" s="57"/>
      <c r="K531" s="57"/>
      <c r="L531" s="57"/>
      <c r="M531" s="57"/>
      <c r="N531" s="57"/>
      <c r="O531" s="57"/>
      <c r="P531" s="57"/>
      <c r="Q531" s="57"/>
      <c r="R531" s="2211"/>
      <c r="S531" s="257"/>
    </row>
    <row r="532" spans="1:19">
      <c r="A532" s="257"/>
      <c r="B532" s="57"/>
      <c r="C532" s="57"/>
      <c r="D532" s="57"/>
      <c r="E532" s="57"/>
      <c r="F532" s="57"/>
      <c r="G532" s="57"/>
      <c r="H532" s="57"/>
      <c r="I532" s="57"/>
      <c r="J532" s="57"/>
      <c r="K532" s="57"/>
      <c r="L532" s="57"/>
      <c r="M532" s="57"/>
      <c r="N532" s="57"/>
      <c r="O532" s="57"/>
      <c r="P532" s="57"/>
      <c r="Q532" s="57"/>
      <c r="R532" s="2211"/>
      <c r="S532" s="257"/>
    </row>
    <row r="533" spans="1:19">
      <c r="A533" s="257"/>
      <c r="B533" s="57"/>
      <c r="C533" s="57"/>
      <c r="D533" s="57"/>
      <c r="E533" s="57"/>
      <c r="F533" s="57"/>
      <c r="G533" s="57"/>
      <c r="H533" s="57"/>
      <c r="I533" s="57"/>
      <c r="J533" s="57"/>
      <c r="K533" s="57"/>
      <c r="L533" s="57"/>
      <c r="M533" s="57"/>
      <c r="N533" s="57"/>
      <c r="O533" s="57"/>
      <c r="P533" s="57"/>
      <c r="Q533" s="57"/>
      <c r="R533" s="2211"/>
      <c r="S533" s="257"/>
    </row>
    <row r="534" spans="1:19">
      <c r="A534" s="257"/>
      <c r="B534" s="57"/>
      <c r="C534" s="57"/>
      <c r="D534" s="57"/>
      <c r="E534" s="57"/>
      <c r="F534" s="57"/>
      <c r="G534" s="57"/>
      <c r="H534" s="57"/>
      <c r="I534" s="57"/>
      <c r="J534" s="57"/>
      <c r="K534" s="57"/>
      <c r="L534" s="57"/>
      <c r="M534" s="57"/>
      <c r="N534" s="57"/>
      <c r="O534" s="57"/>
      <c r="P534" s="57"/>
      <c r="Q534" s="57"/>
      <c r="R534" s="2211"/>
      <c r="S534" s="257"/>
    </row>
    <row r="535" spans="1:19">
      <c r="A535" s="257"/>
      <c r="B535" s="57"/>
      <c r="C535" s="57"/>
      <c r="D535" s="57"/>
      <c r="E535" s="57"/>
      <c r="F535" s="57"/>
      <c r="G535" s="57"/>
      <c r="H535" s="57"/>
      <c r="I535" s="57"/>
      <c r="J535" s="57"/>
      <c r="K535" s="57"/>
      <c r="L535" s="57"/>
      <c r="M535" s="57"/>
      <c r="N535" s="57"/>
      <c r="O535" s="57"/>
      <c r="P535" s="57"/>
      <c r="Q535" s="57"/>
      <c r="R535" s="2211"/>
      <c r="S535" s="257"/>
    </row>
    <row r="536" spans="1:19">
      <c r="A536" s="257"/>
      <c r="B536" s="57"/>
      <c r="C536" s="57"/>
      <c r="D536" s="57"/>
      <c r="E536" s="57"/>
      <c r="F536" s="57"/>
      <c r="G536" s="57"/>
      <c r="H536" s="57"/>
      <c r="I536" s="57"/>
      <c r="J536" s="57"/>
      <c r="K536" s="57"/>
      <c r="L536" s="57"/>
      <c r="M536" s="57"/>
      <c r="N536" s="57"/>
      <c r="O536" s="57"/>
      <c r="P536" s="57"/>
      <c r="Q536" s="57"/>
      <c r="R536" s="2211"/>
      <c r="S536" s="257"/>
    </row>
    <row r="537" spans="1:19">
      <c r="A537" s="257"/>
      <c r="B537" s="57"/>
      <c r="C537" s="57"/>
      <c r="D537" s="57"/>
      <c r="E537" s="57"/>
      <c r="F537" s="57"/>
      <c r="G537" s="57"/>
      <c r="H537" s="57"/>
      <c r="I537" s="57"/>
      <c r="J537" s="57"/>
      <c r="K537" s="57"/>
      <c r="L537" s="57"/>
      <c r="M537" s="57"/>
      <c r="N537" s="57"/>
      <c r="O537" s="57"/>
      <c r="P537" s="57"/>
      <c r="Q537" s="57"/>
      <c r="R537" s="2211"/>
      <c r="S537" s="257"/>
    </row>
    <row r="538" spans="1:19">
      <c r="A538" s="257"/>
      <c r="B538" s="57"/>
      <c r="C538" s="57"/>
      <c r="D538" s="57"/>
      <c r="E538" s="57"/>
      <c r="F538" s="57"/>
      <c r="G538" s="57"/>
      <c r="H538" s="57"/>
      <c r="I538" s="57"/>
      <c r="J538" s="57"/>
      <c r="K538" s="57"/>
      <c r="L538" s="57"/>
      <c r="M538" s="57"/>
      <c r="N538" s="57"/>
      <c r="O538" s="57"/>
      <c r="P538" s="57"/>
      <c r="Q538" s="57"/>
      <c r="R538" s="2211"/>
      <c r="S538" s="257"/>
    </row>
    <row r="539" spans="1:19">
      <c r="A539" s="257"/>
      <c r="B539" s="57"/>
      <c r="C539" s="57"/>
      <c r="D539" s="57"/>
      <c r="E539" s="57"/>
      <c r="F539" s="57"/>
      <c r="G539" s="57"/>
      <c r="H539" s="57"/>
      <c r="I539" s="57"/>
      <c r="J539" s="57"/>
      <c r="K539" s="57"/>
      <c r="L539" s="57"/>
      <c r="M539" s="57"/>
      <c r="N539" s="57"/>
      <c r="O539" s="57"/>
      <c r="P539" s="57"/>
      <c r="Q539" s="57"/>
      <c r="R539" s="2211"/>
      <c r="S539" s="257"/>
    </row>
    <row r="540" spans="1:19">
      <c r="A540" s="257"/>
      <c r="B540" s="57"/>
      <c r="C540" s="57"/>
      <c r="D540" s="57"/>
      <c r="E540" s="57"/>
      <c r="F540" s="57"/>
      <c r="G540" s="57"/>
      <c r="H540" s="57"/>
      <c r="I540" s="57"/>
      <c r="J540" s="57"/>
      <c r="K540" s="57"/>
      <c r="L540" s="57"/>
      <c r="M540" s="57"/>
      <c r="N540" s="57"/>
      <c r="O540" s="57"/>
      <c r="P540" s="57"/>
      <c r="Q540" s="57"/>
      <c r="R540" s="2211"/>
      <c r="S540" s="257"/>
    </row>
    <row r="541" spans="1:19">
      <c r="A541" s="257"/>
      <c r="B541" s="57"/>
      <c r="C541" s="57"/>
      <c r="D541" s="57"/>
      <c r="E541" s="57"/>
      <c r="F541" s="57"/>
      <c r="G541" s="57"/>
      <c r="H541" s="57"/>
      <c r="I541" s="57"/>
      <c r="J541" s="57"/>
      <c r="K541" s="57"/>
      <c r="L541" s="57"/>
      <c r="M541" s="57"/>
      <c r="N541" s="57"/>
      <c r="O541" s="57"/>
      <c r="P541" s="57"/>
      <c r="Q541" s="57"/>
      <c r="R541" s="2211"/>
      <c r="S541" s="257"/>
    </row>
    <row r="542" spans="1:19">
      <c r="A542" s="257"/>
      <c r="B542" s="57"/>
      <c r="C542" s="57"/>
      <c r="D542" s="57"/>
      <c r="E542" s="57"/>
      <c r="F542" s="57"/>
      <c r="G542" s="57"/>
      <c r="H542" s="57"/>
      <c r="I542" s="57"/>
      <c r="J542" s="57"/>
      <c r="K542" s="57"/>
      <c r="L542" s="57"/>
      <c r="M542" s="57"/>
      <c r="N542" s="57"/>
      <c r="O542" s="57"/>
      <c r="P542" s="57"/>
      <c r="Q542" s="57"/>
      <c r="R542" s="2211"/>
      <c r="S542" s="257"/>
    </row>
    <row r="543" spans="1:19">
      <c r="A543" s="257"/>
      <c r="B543" s="57"/>
      <c r="C543" s="57"/>
      <c r="D543" s="57"/>
      <c r="E543" s="57"/>
      <c r="F543" s="57"/>
      <c r="G543" s="57"/>
      <c r="H543" s="57"/>
      <c r="I543" s="57"/>
      <c r="J543" s="57"/>
      <c r="K543" s="57"/>
      <c r="L543" s="57"/>
      <c r="M543" s="57"/>
      <c r="N543" s="57"/>
      <c r="O543" s="57"/>
      <c r="P543" s="57"/>
      <c r="Q543" s="57"/>
      <c r="R543" s="2211"/>
      <c r="S543" s="257"/>
    </row>
    <row r="544" spans="1:19">
      <c r="A544" s="257"/>
      <c r="B544" s="57"/>
      <c r="C544" s="57"/>
      <c r="D544" s="57"/>
      <c r="E544" s="57"/>
      <c r="F544" s="57"/>
      <c r="G544" s="57"/>
      <c r="H544" s="57"/>
      <c r="I544" s="57"/>
      <c r="J544" s="57"/>
      <c r="K544" s="57"/>
      <c r="L544" s="57"/>
      <c r="M544" s="57"/>
      <c r="N544" s="57"/>
      <c r="O544" s="57"/>
      <c r="P544" s="57"/>
      <c r="Q544" s="57"/>
      <c r="R544" s="2211"/>
      <c r="S544" s="257"/>
    </row>
    <row r="545" spans="1:19">
      <c r="A545" s="257"/>
      <c r="B545" s="57"/>
      <c r="C545" s="57"/>
      <c r="D545" s="57"/>
      <c r="E545" s="57"/>
      <c r="F545" s="57"/>
      <c r="G545" s="57"/>
      <c r="H545" s="57"/>
      <c r="I545" s="57"/>
      <c r="J545" s="57"/>
      <c r="K545" s="57"/>
      <c r="L545" s="57"/>
      <c r="M545" s="57"/>
      <c r="N545" s="57"/>
      <c r="O545" s="57"/>
      <c r="P545" s="57"/>
      <c r="Q545" s="57"/>
      <c r="R545" s="2211"/>
      <c r="S545" s="257"/>
    </row>
    <row r="546" spans="1:19">
      <c r="A546" s="257"/>
      <c r="B546" s="57"/>
      <c r="C546" s="57"/>
      <c r="D546" s="57"/>
      <c r="E546" s="57"/>
      <c r="F546" s="57"/>
      <c r="G546" s="57"/>
      <c r="H546" s="57"/>
      <c r="I546" s="57"/>
      <c r="J546" s="57"/>
      <c r="K546" s="57"/>
      <c r="L546" s="57"/>
      <c r="M546" s="57"/>
      <c r="N546" s="57"/>
      <c r="O546" s="57"/>
      <c r="P546" s="57"/>
      <c r="Q546" s="57"/>
      <c r="R546" s="2211"/>
      <c r="S546" s="257"/>
    </row>
    <row r="547" spans="1:19">
      <c r="A547" s="257"/>
      <c r="B547" s="57"/>
      <c r="C547" s="57"/>
      <c r="D547" s="57"/>
      <c r="E547" s="57"/>
      <c r="F547" s="57"/>
      <c r="G547" s="57"/>
      <c r="H547" s="57"/>
      <c r="I547" s="57"/>
      <c r="J547" s="57"/>
      <c r="K547" s="57"/>
      <c r="L547" s="57"/>
      <c r="M547" s="57"/>
      <c r="N547" s="57"/>
      <c r="O547" s="57"/>
      <c r="P547" s="57"/>
      <c r="Q547" s="57"/>
      <c r="R547" s="2211"/>
      <c r="S547" s="257"/>
    </row>
    <row r="548" spans="1:19">
      <c r="A548" s="257"/>
      <c r="B548" s="57"/>
      <c r="C548" s="57"/>
      <c r="D548" s="57"/>
      <c r="E548" s="57"/>
      <c r="F548" s="57"/>
      <c r="G548" s="57"/>
      <c r="H548" s="57"/>
      <c r="I548" s="57"/>
      <c r="J548" s="57"/>
      <c r="K548" s="57"/>
      <c r="L548" s="57"/>
      <c r="M548" s="57"/>
      <c r="N548" s="57"/>
      <c r="O548" s="57"/>
      <c r="P548" s="57"/>
      <c r="Q548" s="57"/>
      <c r="R548" s="2211"/>
      <c r="S548" s="257"/>
    </row>
    <row r="549" spans="1:19">
      <c r="A549" s="257"/>
      <c r="B549" s="57"/>
      <c r="C549" s="57"/>
      <c r="D549" s="57"/>
      <c r="E549" s="57"/>
      <c r="F549" s="57"/>
      <c r="G549" s="57"/>
      <c r="H549" s="57"/>
      <c r="I549" s="57"/>
      <c r="J549" s="57"/>
      <c r="K549" s="57"/>
      <c r="L549" s="57"/>
      <c r="M549" s="57"/>
      <c r="N549" s="57"/>
      <c r="O549" s="57"/>
      <c r="P549" s="57"/>
      <c r="Q549" s="57"/>
      <c r="R549" s="2211"/>
      <c r="S549" s="257"/>
    </row>
    <row r="550" spans="1:19">
      <c r="A550" s="257"/>
      <c r="B550" s="57"/>
      <c r="C550" s="57"/>
      <c r="D550" s="57"/>
      <c r="E550" s="57"/>
      <c r="F550" s="57"/>
      <c r="G550" s="57"/>
      <c r="H550" s="57"/>
      <c r="I550" s="57"/>
      <c r="J550" s="57"/>
      <c r="K550" s="57"/>
      <c r="L550" s="57"/>
      <c r="M550" s="57"/>
      <c r="N550" s="57"/>
      <c r="O550" s="57"/>
      <c r="P550" s="57"/>
      <c r="Q550" s="57"/>
      <c r="R550" s="2211"/>
      <c r="S550" s="257"/>
    </row>
    <row r="551" spans="1:19">
      <c r="A551" s="257"/>
      <c r="B551" s="57"/>
      <c r="C551" s="57"/>
      <c r="D551" s="57"/>
      <c r="E551" s="57"/>
      <c r="F551" s="57"/>
      <c r="G551" s="57"/>
      <c r="H551" s="57"/>
      <c r="I551" s="57"/>
      <c r="J551" s="57"/>
      <c r="K551" s="57"/>
      <c r="L551" s="57"/>
      <c r="M551" s="57"/>
      <c r="N551" s="57"/>
      <c r="O551" s="57"/>
      <c r="P551" s="57"/>
      <c r="Q551" s="57"/>
      <c r="R551" s="2211"/>
      <c r="S551" s="257"/>
    </row>
    <row r="552" spans="1:19">
      <c r="A552" s="257"/>
      <c r="B552" s="57"/>
      <c r="C552" s="57"/>
      <c r="D552" s="57"/>
      <c r="E552" s="57"/>
      <c r="F552" s="57"/>
      <c r="G552" s="57"/>
      <c r="H552" s="57"/>
      <c r="I552" s="57"/>
      <c r="J552" s="57"/>
      <c r="K552" s="57"/>
      <c r="L552" s="57"/>
      <c r="M552" s="57"/>
      <c r="N552" s="57"/>
      <c r="O552" s="57"/>
      <c r="P552" s="57"/>
      <c r="Q552" s="57"/>
      <c r="R552" s="2211"/>
      <c r="S552" s="257"/>
    </row>
    <row r="553" spans="1:19">
      <c r="A553" s="257"/>
      <c r="B553" s="57"/>
      <c r="C553" s="57"/>
      <c r="D553" s="57"/>
      <c r="E553" s="57"/>
      <c r="F553" s="57"/>
      <c r="G553" s="57"/>
      <c r="H553" s="57"/>
      <c r="I553" s="57"/>
      <c r="J553" s="57"/>
      <c r="K553" s="57"/>
      <c r="L553" s="57"/>
      <c r="M553" s="57"/>
      <c r="N553" s="57"/>
      <c r="O553" s="57"/>
      <c r="P553" s="57"/>
      <c r="Q553" s="57"/>
      <c r="R553" s="2211"/>
      <c r="S553" s="257"/>
    </row>
    <row r="554" spans="1:19">
      <c r="A554" s="257"/>
      <c r="B554" s="57"/>
      <c r="C554" s="57"/>
      <c r="D554" s="57"/>
      <c r="E554" s="57"/>
      <c r="F554" s="57"/>
      <c r="G554" s="57"/>
      <c r="H554" s="57"/>
      <c r="I554" s="57"/>
      <c r="J554" s="57"/>
      <c r="K554" s="57"/>
      <c r="L554" s="57"/>
      <c r="M554" s="57"/>
      <c r="N554" s="57"/>
      <c r="O554" s="57"/>
      <c r="P554" s="57"/>
      <c r="Q554" s="57"/>
      <c r="R554" s="2211"/>
      <c r="S554" s="257"/>
    </row>
    <row r="555" spans="1:19">
      <c r="A555" s="257"/>
      <c r="B555" s="57"/>
      <c r="C555" s="57"/>
      <c r="D555" s="57"/>
      <c r="E555" s="57"/>
      <c r="F555" s="57"/>
      <c r="G555" s="57"/>
      <c r="H555" s="57"/>
      <c r="I555" s="57"/>
      <c r="J555" s="57"/>
      <c r="K555" s="57"/>
      <c r="L555" s="57"/>
      <c r="M555" s="57"/>
      <c r="N555" s="57"/>
      <c r="O555" s="57"/>
      <c r="P555" s="57"/>
      <c r="Q555" s="57"/>
      <c r="R555" s="2211"/>
      <c r="S555" s="257"/>
    </row>
    <row r="556" spans="1:19">
      <c r="A556" s="257"/>
      <c r="B556" s="57"/>
      <c r="C556" s="57"/>
      <c r="D556" s="57"/>
      <c r="E556" s="57"/>
      <c r="F556" s="57"/>
      <c r="G556" s="57"/>
      <c r="H556" s="57"/>
      <c r="I556" s="57"/>
      <c r="J556" s="57"/>
      <c r="K556" s="57"/>
      <c r="L556" s="57"/>
      <c r="M556" s="57"/>
      <c r="N556" s="57"/>
      <c r="O556" s="57"/>
      <c r="P556" s="57"/>
      <c r="Q556" s="57"/>
      <c r="R556" s="2211"/>
      <c r="S556" s="257"/>
    </row>
    <row r="557" spans="1:19">
      <c r="A557" s="257"/>
      <c r="B557" s="57"/>
      <c r="C557" s="57"/>
      <c r="D557" s="57"/>
      <c r="E557" s="57"/>
      <c r="F557" s="57"/>
      <c r="G557" s="57"/>
      <c r="H557" s="57"/>
      <c r="I557" s="57"/>
      <c r="J557" s="57"/>
      <c r="K557" s="57"/>
      <c r="L557" s="57"/>
      <c r="M557" s="57"/>
      <c r="N557" s="57"/>
      <c r="O557" s="57"/>
      <c r="P557" s="57"/>
      <c r="Q557" s="57"/>
      <c r="R557" s="2211"/>
      <c r="S557" s="257"/>
    </row>
    <row r="558" spans="1:19">
      <c r="A558" s="257"/>
      <c r="B558" s="57"/>
      <c r="C558" s="57"/>
      <c r="D558" s="57"/>
      <c r="E558" s="57"/>
      <c r="F558" s="57"/>
      <c r="G558" s="57"/>
      <c r="H558" s="57"/>
      <c r="I558" s="57"/>
      <c r="J558" s="57"/>
      <c r="K558" s="57"/>
      <c r="L558" s="57"/>
      <c r="M558" s="57"/>
      <c r="N558" s="57"/>
      <c r="O558" s="57"/>
      <c r="P558" s="57"/>
      <c r="Q558" s="57"/>
      <c r="R558" s="2211"/>
      <c r="S558" s="257"/>
    </row>
    <row r="559" spans="1:19">
      <c r="A559" s="257"/>
      <c r="B559" s="57"/>
      <c r="C559" s="57"/>
      <c r="D559" s="57"/>
      <c r="E559" s="57"/>
      <c r="F559" s="57"/>
      <c r="G559" s="57"/>
      <c r="H559" s="57"/>
      <c r="I559" s="57"/>
      <c r="J559" s="57"/>
      <c r="K559" s="57"/>
      <c r="L559" s="57"/>
      <c r="M559" s="57"/>
      <c r="N559" s="57"/>
      <c r="O559" s="57"/>
      <c r="P559" s="57"/>
      <c r="Q559" s="57"/>
      <c r="R559" s="2211"/>
      <c r="S559" s="257"/>
    </row>
    <row r="560" spans="1:19">
      <c r="A560" s="257"/>
      <c r="B560" s="57"/>
      <c r="C560" s="57"/>
      <c r="D560" s="57"/>
      <c r="E560" s="57"/>
      <c r="F560" s="57"/>
      <c r="G560" s="57"/>
      <c r="H560" s="57"/>
      <c r="I560" s="57"/>
      <c r="J560" s="57"/>
      <c r="K560" s="57"/>
      <c r="L560" s="57"/>
      <c r="M560" s="57"/>
      <c r="N560" s="57"/>
      <c r="O560" s="57"/>
      <c r="P560" s="57"/>
      <c r="Q560" s="57"/>
      <c r="R560" s="2211"/>
      <c r="S560" s="257"/>
    </row>
    <row r="561" spans="1:19">
      <c r="A561" s="257"/>
      <c r="B561" s="57"/>
      <c r="C561" s="57"/>
      <c r="D561" s="57"/>
      <c r="E561" s="57"/>
      <c r="F561" s="57"/>
      <c r="G561" s="57"/>
      <c r="H561" s="57"/>
      <c r="I561" s="57"/>
      <c r="J561" s="57"/>
      <c r="K561" s="57"/>
      <c r="L561" s="57"/>
      <c r="M561" s="57"/>
      <c r="N561" s="57"/>
      <c r="O561" s="57"/>
      <c r="P561" s="57"/>
      <c r="Q561" s="57"/>
      <c r="R561" s="2211"/>
      <c r="S561" s="257"/>
    </row>
    <row r="562" spans="1:19">
      <c r="A562" s="257"/>
      <c r="B562" s="57"/>
      <c r="C562" s="57"/>
      <c r="D562" s="57"/>
      <c r="E562" s="57"/>
      <c r="F562" s="57"/>
      <c r="G562" s="57"/>
      <c r="H562" s="57"/>
      <c r="I562" s="57"/>
      <c r="J562" s="57"/>
      <c r="K562" s="57"/>
      <c r="L562" s="57"/>
      <c r="M562" s="57"/>
      <c r="N562" s="57"/>
      <c r="O562" s="57"/>
      <c r="P562" s="57"/>
      <c r="Q562" s="57"/>
      <c r="R562" s="2211"/>
      <c r="S562" s="257"/>
    </row>
    <row r="563" spans="1:19">
      <c r="A563" s="257"/>
      <c r="B563" s="57"/>
      <c r="C563" s="57"/>
      <c r="D563" s="57"/>
      <c r="E563" s="57"/>
      <c r="F563" s="57"/>
      <c r="G563" s="57"/>
      <c r="H563" s="57"/>
      <c r="I563" s="57"/>
      <c r="J563" s="57"/>
      <c r="K563" s="57"/>
      <c r="L563" s="57"/>
      <c r="M563" s="57"/>
      <c r="N563" s="57"/>
      <c r="O563" s="57"/>
      <c r="P563" s="57"/>
      <c r="Q563" s="57"/>
      <c r="R563" s="2211"/>
      <c r="S563" s="257"/>
    </row>
    <row r="564" spans="1:19">
      <c r="A564" s="257"/>
      <c r="B564" s="57"/>
      <c r="C564" s="57"/>
      <c r="D564" s="57"/>
      <c r="E564" s="57"/>
      <c r="F564" s="57"/>
      <c r="G564" s="57"/>
      <c r="H564" s="57"/>
      <c r="I564" s="57"/>
      <c r="J564" s="57"/>
      <c r="K564" s="57"/>
      <c r="L564" s="57"/>
      <c r="M564" s="57"/>
      <c r="N564" s="57"/>
      <c r="O564" s="57"/>
      <c r="P564" s="57"/>
      <c r="Q564" s="57"/>
      <c r="R564" s="2211"/>
      <c r="S564" s="257"/>
    </row>
    <row r="565" spans="1:19">
      <c r="A565" s="257"/>
      <c r="B565" s="57"/>
      <c r="C565" s="57"/>
      <c r="D565" s="57"/>
      <c r="E565" s="57"/>
      <c r="F565" s="57"/>
      <c r="G565" s="57"/>
      <c r="H565" s="57"/>
      <c r="I565" s="57"/>
      <c r="J565" s="57"/>
      <c r="K565" s="57"/>
      <c r="L565" s="57"/>
      <c r="M565" s="57"/>
      <c r="N565" s="57"/>
      <c r="O565" s="57"/>
      <c r="P565" s="57"/>
      <c r="Q565" s="57"/>
      <c r="R565" s="2211"/>
      <c r="S565" s="257"/>
    </row>
    <row r="566" spans="1:19">
      <c r="A566" s="257"/>
      <c r="B566" s="57"/>
      <c r="C566" s="57"/>
      <c r="D566" s="57"/>
      <c r="E566" s="57"/>
      <c r="F566" s="57"/>
      <c r="G566" s="57"/>
      <c r="H566" s="57"/>
      <c r="I566" s="57"/>
      <c r="J566" s="57"/>
      <c r="K566" s="57"/>
      <c r="L566" s="57"/>
      <c r="M566" s="57"/>
      <c r="N566" s="57"/>
      <c r="O566" s="57"/>
      <c r="P566" s="57"/>
      <c r="Q566" s="57"/>
      <c r="R566" s="2211"/>
      <c r="S566" s="257"/>
    </row>
    <row r="567" spans="1:19">
      <c r="A567" s="257"/>
      <c r="B567" s="57"/>
      <c r="C567" s="57"/>
      <c r="D567" s="57"/>
      <c r="E567" s="57"/>
      <c r="F567" s="57"/>
      <c r="G567" s="57"/>
      <c r="H567" s="57"/>
      <c r="I567" s="57"/>
      <c r="J567" s="57"/>
      <c r="K567" s="57"/>
      <c r="L567" s="57"/>
      <c r="M567" s="57"/>
      <c r="N567" s="57"/>
      <c r="O567" s="57"/>
      <c r="P567" s="57"/>
      <c r="Q567" s="57"/>
      <c r="R567" s="2211"/>
      <c r="S567" s="257"/>
    </row>
    <row r="568" spans="1:19">
      <c r="A568" s="257"/>
      <c r="B568" s="57"/>
      <c r="C568" s="57"/>
      <c r="D568" s="57"/>
      <c r="E568" s="57"/>
      <c r="F568" s="57"/>
      <c r="G568" s="57"/>
      <c r="H568" s="57"/>
      <c r="I568" s="57"/>
      <c r="J568" s="57"/>
      <c r="K568" s="57"/>
      <c r="L568" s="57"/>
      <c r="M568" s="57"/>
      <c r="N568" s="57"/>
      <c r="O568" s="57"/>
      <c r="P568" s="57"/>
      <c r="Q568" s="57"/>
      <c r="R568" s="2211"/>
      <c r="S568" s="257"/>
    </row>
    <row r="569" spans="1:19">
      <c r="A569" s="257"/>
      <c r="B569" s="57"/>
      <c r="C569" s="57"/>
      <c r="D569" s="57"/>
      <c r="E569" s="57"/>
      <c r="F569" s="57"/>
      <c r="G569" s="57"/>
      <c r="H569" s="57"/>
      <c r="I569" s="57"/>
      <c r="J569" s="57"/>
      <c r="K569" s="57"/>
      <c r="L569" s="57"/>
      <c r="M569" s="57"/>
      <c r="N569" s="57"/>
      <c r="O569" s="57"/>
      <c r="P569" s="57"/>
      <c r="Q569" s="57"/>
      <c r="R569" s="2211"/>
      <c r="S569" s="257"/>
    </row>
    <row r="570" spans="1:19">
      <c r="A570" s="257"/>
      <c r="B570" s="57"/>
      <c r="C570" s="57"/>
      <c r="D570" s="57"/>
      <c r="E570" s="57"/>
      <c r="F570" s="57"/>
      <c r="G570" s="57"/>
      <c r="H570" s="57"/>
      <c r="I570" s="57"/>
      <c r="J570" s="57"/>
      <c r="K570" s="57"/>
      <c r="L570" s="57"/>
      <c r="M570" s="57"/>
      <c r="N570" s="57"/>
      <c r="O570" s="57"/>
      <c r="P570" s="57"/>
      <c r="Q570" s="57"/>
      <c r="R570" s="2211"/>
      <c r="S570" s="257"/>
    </row>
    <row r="571" spans="1:19">
      <c r="A571" s="257"/>
      <c r="B571" s="57"/>
      <c r="C571" s="57"/>
      <c r="D571" s="57"/>
      <c r="E571" s="57"/>
      <c r="F571" s="57"/>
      <c r="G571" s="57"/>
      <c r="H571" s="57"/>
      <c r="I571" s="57"/>
      <c r="J571" s="57"/>
      <c r="K571" s="57"/>
      <c r="L571" s="57"/>
      <c r="M571" s="57"/>
      <c r="N571" s="57"/>
      <c r="O571" s="57"/>
      <c r="P571" s="57"/>
      <c r="Q571" s="57"/>
      <c r="R571" s="2211"/>
      <c r="S571" s="257"/>
    </row>
    <row r="572" spans="1:19">
      <c r="A572" s="257"/>
      <c r="B572" s="57"/>
      <c r="C572" s="57"/>
      <c r="D572" s="57"/>
      <c r="E572" s="57"/>
      <c r="F572" s="57"/>
      <c r="G572" s="57"/>
      <c r="H572" s="57"/>
      <c r="I572" s="57"/>
      <c r="J572" s="57"/>
      <c r="K572" s="57"/>
      <c r="L572" s="57"/>
      <c r="M572" s="57"/>
      <c r="N572" s="57"/>
      <c r="O572" s="57"/>
      <c r="P572" s="57"/>
      <c r="Q572" s="57"/>
      <c r="R572" s="2211"/>
      <c r="S572" s="257"/>
    </row>
    <row r="573" spans="1:19">
      <c r="A573" s="257"/>
      <c r="B573" s="57"/>
      <c r="C573" s="57"/>
      <c r="D573" s="57"/>
      <c r="E573" s="57"/>
      <c r="F573" s="57"/>
      <c r="G573" s="57"/>
      <c r="H573" s="57"/>
      <c r="I573" s="57"/>
      <c r="J573" s="57"/>
      <c r="K573" s="57"/>
      <c r="L573" s="57"/>
      <c r="M573" s="57"/>
      <c r="N573" s="57"/>
      <c r="O573" s="57"/>
      <c r="P573" s="57"/>
      <c r="Q573" s="57"/>
      <c r="R573" s="2211"/>
      <c r="S573" s="257"/>
    </row>
    <row r="574" spans="1:19">
      <c r="A574" s="257"/>
      <c r="B574" s="57"/>
      <c r="C574" s="57"/>
      <c r="D574" s="57"/>
      <c r="E574" s="57"/>
      <c r="F574" s="57"/>
      <c r="G574" s="57"/>
      <c r="H574" s="57"/>
      <c r="I574" s="57"/>
      <c r="J574" s="57"/>
      <c r="K574" s="57"/>
      <c r="L574" s="57"/>
      <c r="M574" s="57"/>
      <c r="N574" s="57"/>
      <c r="O574" s="57"/>
      <c r="P574" s="57"/>
      <c r="Q574" s="57"/>
      <c r="R574" s="2211"/>
      <c r="S574" s="257"/>
    </row>
    <row r="575" spans="1:19">
      <c r="A575" s="257"/>
      <c r="B575" s="57"/>
      <c r="C575" s="57"/>
      <c r="D575" s="57"/>
      <c r="E575" s="57"/>
      <c r="F575" s="57"/>
      <c r="G575" s="57"/>
      <c r="H575" s="57"/>
      <c r="I575" s="57"/>
      <c r="J575" s="57"/>
      <c r="K575" s="57"/>
      <c r="L575" s="57"/>
      <c r="M575" s="57"/>
      <c r="N575" s="57"/>
      <c r="O575" s="57"/>
      <c r="P575" s="57"/>
      <c r="Q575" s="57"/>
      <c r="R575" s="2211"/>
      <c r="S575" s="257"/>
    </row>
    <row r="576" spans="1:19">
      <c r="A576" s="257"/>
      <c r="B576" s="57"/>
      <c r="C576" s="57"/>
      <c r="D576" s="57"/>
      <c r="E576" s="57"/>
      <c r="F576" s="57"/>
      <c r="G576" s="57"/>
      <c r="H576" s="57"/>
      <c r="I576" s="57"/>
      <c r="J576" s="57"/>
      <c r="K576" s="57"/>
      <c r="L576" s="57"/>
      <c r="M576" s="57"/>
      <c r="N576" s="57"/>
      <c r="O576" s="57"/>
      <c r="P576" s="57"/>
      <c r="Q576" s="57"/>
      <c r="R576" s="2211"/>
      <c r="S576" s="257"/>
    </row>
    <row r="577" spans="1:19">
      <c r="A577" s="257"/>
      <c r="B577" s="57"/>
      <c r="C577" s="57"/>
      <c r="D577" s="57"/>
      <c r="E577" s="57"/>
      <c r="F577" s="57"/>
      <c r="G577" s="57"/>
      <c r="H577" s="57"/>
      <c r="I577" s="57"/>
      <c r="J577" s="57"/>
      <c r="K577" s="57"/>
      <c r="L577" s="57"/>
      <c r="M577" s="57"/>
      <c r="N577" s="57"/>
      <c r="O577" s="57"/>
      <c r="P577" s="57"/>
      <c r="Q577" s="57"/>
      <c r="R577" s="2211"/>
      <c r="S577" s="257"/>
    </row>
    <row r="578" spans="1:19">
      <c r="A578" s="257"/>
      <c r="B578" s="57"/>
      <c r="C578" s="57"/>
      <c r="D578" s="57"/>
      <c r="E578" s="57"/>
      <c r="F578" s="57"/>
      <c r="G578" s="57"/>
      <c r="H578" s="57"/>
      <c r="I578" s="57"/>
      <c r="J578" s="57"/>
      <c r="K578" s="57"/>
      <c r="L578" s="57"/>
      <c r="M578" s="57"/>
      <c r="N578" s="57"/>
      <c r="O578" s="57"/>
      <c r="P578" s="57"/>
      <c r="Q578" s="57"/>
      <c r="R578" s="2211"/>
      <c r="S578" s="257"/>
    </row>
    <row r="579" spans="1:19">
      <c r="A579" s="257"/>
      <c r="B579" s="57"/>
      <c r="C579" s="57"/>
      <c r="D579" s="57"/>
      <c r="E579" s="57"/>
      <c r="F579" s="57"/>
      <c r="G579" s="57"/>
      <c r="H579" s="57"/>
      <c r="I579" s="57"/>
      <c r="J579" s="57"/>
      <c r="K579" s="57"/>
      <c r="L579" s="57"/>
      <c r="M579" s="57"/>
      <c r="N579" s="57"/>
      <c r="O579" s="57"/>
      <c r="P579" s="57"/>
      <c r="Q579" s="57"/>
      <c r="R579" s="2211"/>
      <c r="S579" s="257"/>
    </row>
    <row r="580" spans="1:19">
      <c r="A580" s="257"/>
      <c r="B580" s="57"/>
      <c r="C580" s="57"/>
      <c r="D580" s="57"/>
      <c r="E580" s="57"/>
      <c r="F580" s="57"/>
      <c r="G580" s="57"/>
      <c r="H580" s="57"/>
      <c r="I580" s="57"/>
      <c r="J580" s="57"/>
      <c r="K580" s="57"/>
      <c r="L580" s="57"/>
      <c r="M580" s="57"/>
      <c r="N580" s="57"/>
      <c r="O580" s="57"/>
      <c r="P580" s="57"/>
      <c r="Q580" s="57"/>
      <c r="R580" s="2211"/>
      <c r="S580" s="257"/>
    </row>
    <row r="581" spans="1:19">
      <c r="A581" s="257"/>
      <c r="B581" s="57"/>
      <c r="C581" s="57"/>
      <c r="D581" s="57"/>
      <c r="E581" s="57"/>
      <c r="F581" s="57"/>
      <c r="G581" s="57"/>
      <c r="H581" s="57"/>
      <c r="I581" s="57"/>
      <c r="J581" s="57"/>
      <c r="K581" s="57"/>
      <c r="L581" s="57"/>
      <c r="M581" s="57"/>
      <c r="N581" s="57"/>
      <c r="O581" s="57"/>
      <c r="P581" s="57"/>
      <c r="Q581" s="57"/>
      <c r="R581" s="2211"/>
      <c r="S581" s="257"/>
    </row>
    <row r="582" spans="1:19">
      <c r="A582" s="257"/>
      <c r="B582" s="57"/>
      <c r="C582" s="57"/>
      <c r="D582" s="57"/>
      <c r="E582" s="57"/>
      <c r="F582" s="57"/>
      <c r="G582" s="57"/>
      <c r="H582" s="57"/>
      <c r="I582" s="57"/>
      <c r="J582" s="57"/>
      <c r="K582" s="57"/>
      <c r="L582" s="57"/>
      <c r="M582" s="57"/>
      <c r="N582" s="57"/>
      <c r="O582" s="57"/>
      <c r="P582" s="57"/>
      <c r="Q582" s="57"/>
      <c r="R582" s="2211"/>
      <c r="S582" s="257"/>
    </row>
    <row r="583" spans="1:19">
      <c r="A583" s="257"/>
      <c r="B583" s="57"/>
      <c r="C583" s="57"/>
      <c r="D583" s="57"/>
      <c r="E583" s="57"/>
      <c r="F583" s="57"/>
      <c r="G583" s="57"/>
      <c r="H583" s="57"/>
      <c r="I583" s="57"/>
      <c r="J583" s="57"/>
      <c r="K583" s="57"/>
      <c r="L583" s="57"/>
      <c r="M583" s="57"/>
      <c r="N583" s="57"/>
      <c r="O583" s="57"/>
      <c r="P583" s="57"/>
      <c r="Q583" s="57"/>
      <c r="R583" s="2211"/>
      <c r="S583" s="257"/>
    </row>
    <row r="584" spans="1:19">
      <c r="A584" s="257"/>
      <c r="B584" s="57"/>
      <c r="C584" s="57"/>
      <c r="D584" s="57"/>
      <c r="E584" s="57"/>
      <c r="F584" s="57"/>
      <c r="G584" s="57"/>
      <c r="H584" s="57"/>
      <c r="I584" s="57"/>
      <c r="J584" s="57"/>
      <c r="K584" s="57"/>
      <c r="L584" s="57"/>
      <c r="M584" s="57"/>
      <c r="N584" s="57"/>
      <c r="O584" s="57"/>
      <c r="P584" s="57"/>
      <c r="Q584" s="57"/>
      <c r="R584" s="2211"/>
      <c r="S584" s="257"/>
    </row>
    <row r="585" spans="1:19">
      <c r="A585" s="257"/>
      <c r="B585" s="57"/>
      <c r="C585" s="57"/>
      <c r="D585" s="57"/>
      <c r="E585" s="57"/>
      <c r="F585" s="57"/>
      <c r="G585" s="57"/>
      <c r="H585" s="57"/>
      <c r="I585" s="57"/>
      <c r="J585" s="57"/>
      <c r="K585" s="57"/>
      <c r="L585" s="57"/>
      <c r="M585" s="57"/>
      <c r="N585" s="57"/>
      <c r="O585" s="57"/>
      <c r="P585" s="57"/>
      <c r="Q585" s="57"/>
      <c r="R585" s="2211"/>
      <c r="S585" s="257"/>
    </row>
    <row r="586" spans="1:19">
      <c r="A586" s="257"/>
      <c r="B586" s="57"/>
      <c r="C586" s="57"/>
      <c r="D586" s="57"/>
      <c r="E586" s="57"/>
      <c r="F586" s="57"/>
      <c r="G586" s="57"/>
      <c r="H586" s="57"/>
      <c r="I586" s="57"/>
      <c r="J586" s="57"/>
      <c r="K586" s="57"/>
      <c r="L586" s="57"/>
      <c r="M586" s="57"/>
      <c r="N586" s="57"/>
      <c r="O586" s="57"/>
      <c r="P586" s="57"/>
      <c r="Q586" s="57"/>
      <c r="R586" s="2211"/>
      <c r="S586" s="257"/>
    </row>
    <row r="587" spans="1:19">
      <c r="A587" s="257"/>
      <c r="B587" s="57"/>
      <c r="C587" s="57"/>
      <c r="D587" s="57"/>
      <c r="E587" s="57"/>
      <c r="F587" s="57"/>
      <c r="G587" s="57"/>
      <c r="H587" s="57"/>
      <c r="I587" s="57"/>
      <c r="J587" s="57"/>
      <c r="K587" s="57"/>
      <c r="L587" s="57"/>
      <c r="M587" s="57"/>
      <c r="N587" s="57"/>
      <c r="O587" s="57"/>
      <c r="P587" s="57"/>
      <c r="Q587" s="57"/>
      <c r="R587" s="2211"/>
      <c r="S587" s="257"/>
    </row>
    <row r="588" spans="1:19">
      <c r="A588" s="257"/>
      <c r="B588" s="57"/>
      <c r="C588" s="57"/>
      <c r="D588" s="57"/>
      <c r="E588" s="57"/>
      <c r="F588" s="57"/>
      <c r="G588" s="57"/>
      <c r="H588" s="57"/>
      <c r="I588" s="57"/>
      <c r="J588" s="57"/>
      <c r="K588" s="57"/>
      <c r="L588" s="57"/>
      <c r="M588" s="57"/>
      <c r="N588" s="57"/>
      <c r="O588" s="57"/>
      <c r="P588" s="57"/>
      <c r="Q588" s="57"/>
      <c r="R588" s="2211"/>
      <c r="S588" s="257"/>
    </row>
    <row r="589" spans="1:19">
      <c r="A589" s="257"/>
      <c r="B589" s="57"/>
      <c r="C589" s="57"/>
      <c r="D589" s="57"/>
      <c r="E589" s="57"/>
      <c r="F589" s="57"/>
      <c r="G589" s="57"/>
      <c r="H589" s="57"/>
      <c r="I589" s="57"/>
      <c r="J589" s="57"/>
      <c r="K589" s="57"/>
      <c r="L589" s="57"/>
      <c r="M589" s="57"/>
      <c r="N589" s="57"/>
      <c r="O589" s="57"/>
      <c r="P589" s="57"/>
      <c r="Q589" s="57"/>
      <c r="R589" s="2211"/>
      <c r="S589" s="257"/>
    </row>
    <row r="590" spans="1:19">
      <c r="A590" s="257"/>
      <c r="B590" s="57"/>
      <c r="C590" s="57"/>
      <c r="D590" s="57"/>
      <c r="E590" s="57"/>
      <c r="F590" s="57"/>
      <c r="G590" s="57"/>
      <c r="H590" s="57"/>
      <c r="I590" s="57"/>
      <c r="J590" s="57"/>
      <c r="K590" s="57"/>
      <c r="L590" s="57"/>
      <c r="M590" s="57"/>
      <c r="N590" s="57"/>
      <c r="O590" s="57"/>
      <c r="P590" s="57"/>
      <c r="Q590" s="57"/>
      <c r="R590" s="2211"/>
      <c r="S590" s="257"/>
    </row>
    <row r="591" spans="1:19">
      <c r="A591" s="257"/>
      <c r="B591" s="57"/>
      <c r="C591" s="57"/>
      <c r="D591" s="57"/>
      <c r="E591" s="57"/>
      <c r="F591" s="57"/>
      <c r="G591" s="57"/>
      <c r="H591" s="57"/>
      <c r="I591" s="57"/>
      <c r="J591" s="57"/>
      <c r="K591" s="57"/>
      <c r="L591" s="57"/>
      <c r="M591" s="57"/>
      <c r="N591" s="57"/>
      <c r="O591" s="57"/>
      <c r="P591" s="57"/>
      <c r="Q591" s="57"/>
      <c r="R591" s="2211"/>
      <c r="S591" s="257"/>
    </row>
    <row r="592" spans="1:19">
      <c r="A592" s="257"/>
      <c r="B592" s="57"/>
      <c r="C592" s="57"/>
      <c r="D592" s="57"/>
      <c r="E592" s="57"/>
      <c r="F592" s="57"/>
      <c r="G592" s="57"/>
      <c r="H592" s="57"/>
      <c r="I592" s="57"/>
      <c r="J592" s="57"/>
      <c r="K592" s="57"/>
      <c r="L592" s="57"/>
      <c r="M592" s="57"/>
      <c r="N592" s="57"/>
      <c r="O592" s="57"/>
      <c r="P592" s="57"/>
      <c r="Q592" s="57"/>
      <c r="R592" s="2211"/>
      <c r="S592" s="257"/>
    </row>
    <row r="593" spans="1:19">
      <c r="A593" s="257"/>
      <c r="B593" s="57"/>
      <c r="C593" s="57"/>
      <c r="D593" s="57"/>
      <c r="E593" s="57"/>
      <c r="F593" s="57"/>
      <c r="G593" s="57"/>
      <c r="H593" s="57"/>
      <c r="I593" s="57"/>
      <c r="J593" s="57"/>
      <c r="K593" s="57"/>
      <c r="L593" s="57"/>
      <c r="M593" s="57"/>
      <c r="N593" s="57"/>
      <c r="O593" s="57"/>
      <c r="P593" s="57"/>
      <c r="Q593" s="57"/>
      <c r="R593" s="2211"/>
      <c r="S593" s="257"/>
    </row>
    <row r="594" spans="1:19">
      <c r="A594" s="257"/>
      <c r="B594" s="57"/>
      <c r="C594" s="57"/>
      <c r="D594" s="57"/>
      <c r="E594" s="57"/>
      <c r="F594" s="57"/>
      <c r="G594" s="57"/>
      <c r="H594" s="57"/>
      <c r="I594" s="57"/>
      <c r="J594" s="57"/>
      <c r="K594" s="57"/>
      <c r="L594" s="57"/>
      <c r="M594" s="57"/>
      <c r="N594" s="57"/>
      <c r="O594" s="57"/>
      <c r="P594" s="57"/>
      <c r="Q594" s="57"/>
      <c r="R594" s="2211"/>
      <c r="S594" s="257"/>
    </row>
    <row r="595" spans="1:19">
      <c r="A595" s="257"/>
      <c r="B595" s="57"/>
      <c r="C595" s="57"/>
      <c r="D595" s="57"/>
      <c r="E595" s="57"/>
      <c r="F595" s="57"/>
      <c r="G595" s="57"/>
      <c r="H595" s="57"/>
      <c r="I595" s="57"/>
      <c r="J595" s="57"/>
      <c r="K595" s="57"/>
      <c r="L595" s="57"/>
      <c r="M595" s="57"/>
      <c r="N595" s="57"/>
      <c r="O595" s="57"/>
      <c r="P595" s="57"/>
      <c r="Q595" s="57"/>
      <c r="R595" s="2211"/>
      <c r="S595" s="257"/>
    </row>
    <row r="596" spans="1:19">
      <c r="A596" s="257"/>
      <c r="B596" s="57"/>
      <c r="C596" s="57"/>
      <c r="D596" s="57"/>
      <c r="E596" s="57"/>
      <c r="F596" s="57"/>
      <c r="G596" s="57"/>
      <c r="H596" s="57"/>
      <c r="I596" s="57"/>
      <c r="J596" s="57"/>
      <c r="K596" s="57"/>
      <c r="L596" s="57"/>
      <c r="M596" s="57"/>
      <c r="N596" s="57"/>
      <c r="O596" s="57"/>
      <c r="P596" s="57"/>
      <c r="Q596" s="57"/>
      <c r="R596" s="2211"/>
      <c r="S596" s="257"/>
    </row>
    <row r="597" spans="1:19">
      <c r="A597" s="257"/>
      <c r="B597" s="57"/>
      <c r="C597" s="57"/>
      <c r="D597" s="57"/>
      <c r="E597" s="57"/>
      <c r="F597" s="57"/>
      <c r="G597" s="57"/>
      <c r="H597" s="57"/>
      <c r="I597" s="57"/>
      <c r="J597" s="57"/>
      <c r="K597" s="57"/>
      <c r="L597" s="57"/>
      <c r="M597" s="57"/>
      <c r="N597" s="57"/>
      <c r="O597" s="57"/>
      <c r="P597" s="57"/>
      <c r="Q597" s="57"/>
      <c r="R597" s="2211"/>
      <c r="S597" s="257"/>
    </row>
    <row r="598" spans="1:19">
      <c r="A598" s="257"/>
      <c r="B598" s="57"/>
      <c r="C598" s="57"/>
      <c r="D598" s="57"/>
      <c r="E598" s="57"/>
      <c r="F598" s="57"/>
      <c r="G598" s="57"/>
      <c r="H598" s="57"/>
      <c r="I598" s="57"/>
      <c r="J598" s="57"/>
      <c r="K598" s="57"/>
      <c r="L598" s="57"/>
      <c r="M598" s="57"/>
      <c r="N598" s="57"/>
      <c r="O598" s="57"/>
      <c r="P598" s="57"/>
      <c r="Q598" s="57"/>
      <c r="R598" s="2211"/>
      <c r="S598" s="257"/>
    </row>
    <row r="599" spans="1:19">
      <c r="A599" s="257"/>
      <c r="B599" s="57"/>
      <c r="C599" s="57"/>
      <c r="D599" s="57"/>
      <c r="E599" s="57"/>
      <c r="F599" s="57"/>
      <c r="G599" s="57"/>
      <c r="H599" s="57"/>
      <c r="I599" s="57"/>
      <c r="J599" s="57"/>
      <c r="K599" s="57"/>
      <c r="L599" s="57"/>
      <c r="M599" s="57"/>
      <c r="N599" s="57"/>
      <c r="O599" s="57"/>
      <c r="P599" s="57"/>
      <c r="Q599" s="57"/>
      <c r="R599" s="2211"/>
      <c r="S599" s="257"/>
    </row>
    <row r="600" spans="1:19">
      <c r="A600" s="257"/>
      <c r="B600" s="57"/>
      <c r="C600" s="57"/>
      <c r="D600" s="57"/>
      <c r="E600" s="57"/>
      <c r="F600" s="57"/>
      <c r="G600" s="57"/>
      <c r="H600" s="57"/>
      <c r="I600" s="57"/>
      <c r="J600" s="57"/>
      <c r="K600" s="57"/>
      <c r="L600" s="57"/>
      <c r="M600" s="57"/>
      <c r="N600" s="57"/>
      <c r="O600" s="57"/>
      <c r="P600" s="57"/>
      <c r="Q600" s="57"/>
      <c r="R600" s="2211"/>
      <c r="S600" s="257"/>
    </row>
    <row r="601" spans="1:19">
      <c r="A601" s="257"/>
      <c r="B601" s="57"/>
      <c r="C601" s="57"/>
      <c r="D601" s="57"/>
      <c r="E601" s="57"/>
      <c r="F601" s="57"/>
      <c r="G601" s="57"/>
      <c r="H601" s="57"/>
      <c r="I601" s="57"/>
      <c r="J601" s="57"/>
      <c r="K601" s="57"/>
      <c r="L601" s="57"/>
      <c r="M601" s="57"/>
      <c r="N601" s="57"/>
      <c r="O601" s="57"/>
      <c r="P601" s="57"/>
      <c r="Q601" s="57"/>
      <c r="R601" s="2211"/>
      <c r="S601" s="257"/>
    </row>
    <row r="602" spans="1:19">
      <c r="A602" s="257"/>
      <c r="B602" s="57"/>
      <c r="C602" s="57"/>
      <c r="D602" s="57"/>
      <c r="E602" s="57"/>
      <c r="F602" s="57"/>
      <c r="G602" s="57"/>
      <c r="H602" s="57"/>
      <c r="I602" s="57"/>
      <c r="J602" s="57"/>
      <c r="K602" s="57"/>
      <c r="L602" s="57"/>
      <c r="M602" s="57"/>
      <c r="N602" s="57"/>
      <c r="O602" s="57"/>
      <c r="P602" s="57"/>
      <c r="Q602" s="57"/>
      <c r="R602" s="2211"/>
      <c r="S602" s="257"/>
    </row>
    <row r="603" spans="1:19">
      <c r="A603" s="257"/>
      <c r="B603" s="57"/>
      <c r="C603" s="57"/>
      <c r="D603" s="57"/>
      <c r="E603" s="57"/>
      <c r="F603" s="57"/>
      <c r="G603" s="57"/>
      <c r="H603" s="57"/>
      <c r="I603" s="57"/>
      <c r="J603" s="57"/>
      <c r="K603" s="57"/>
      <c r="L603" s="57"/>
      <c r="M603" s="57"/>
      <c r="N603" s="57"/>
      <c r="O603" s="57"/>
      <c r="P603" s="57"/>
      <c r="Q603" s="57"/>
      <c r="R603" s="2211"/>
      <c r="S603" s="257"/>
    </row>
    <row r="604" spans="1:19">
      <c r="A604" s="257"/>
      <c r="B604" s="57"/>
      <c r="C604" s="57"/>
      <c r="D604" s="57"/>
      <c r="E604" s="57"/>
      <c r="F604" s="57"/>
      <c r="G604" s="57"/>
      <c r="H604" s="57"/>
      <c r="I604" s="57"/>
      <c r="J604" s="57"/>
      <c r="K604" s="57"/>
      <c r="L604" s="57"/>
      <c r="M604" s="57"/>
      <c r="N604" s="57"/>
      <c r="O604" s="57"/>
      <c r="P604" s="57"/>
      <c r="Q604" s="57"/>
      <c r="R604" s="2211"/>
      <c r="S604" s="257"/>
    </row>
    <row r="605" spans="1:19">
      <c r="A605" s="257"/>
      <c r="B605" s="57"/>
      <c r="C605" s="57"/>
      <c r="D605" s="57"/>
      <c r="E605" s="57"/>
      <c r="F605" s="57"/>
      <c r="G605" s="57"/>
      <c r="H605" s="57"/>
      <c r="I605" s="57"/>
      <c r="J605" s="57"/>
      <c r="K605" s="57"/>
      <c r="L605" s="57"/>
      <c r="M605" s="57"/>
      <c r="N605" s="57"/>
      <c r="O605" s="57"/>
      <c r="P605" s="57"/>
      <c r="Q605" s="57"/>
      <c r="R605" s="2211"/>
      <c r="S605" s="257"/>
    </row>
    <row r="606" spans="1:19">
      <c r="A606" s="257"/>
      <c r="B606" s="57"/>
      <c r="C606" s="57"/>
      <c r="D606" s="57"/>
      <c r="E606" s="57"/>
      <c r="F606" s="57"/>
      <c r="G606" s="57"/>
      <c r="H606" s="57"/>
      <c r="I606" s="57"/>
      <c r="J606" s="57"/>
      <c r="K606" s="57"/>
      <c r="L606" s="57"/>
      <c r="M606" s="57"/>
      <c r="N606" s="57"/>
      <c r="O606" s="57"/>
      <c r="P606" s="57"/>
      <c r="Q606" s="57"/>
      <c r="R606" s="2211"/>
      <c r="S606" s="257"/>
    </row>
    <row r="607" spans="1:19">
      <c r="A607" s="257"/>
      <c r="B607" s="57"/>
      <c r="C607" s="57"/>
      <c r="D607" s="57"/>
      <c r="E607" s="57"/>
      <c r="F607" s="57"/>
      <c r="G607" s="57"/>
      <c r="H607" s="57"/>
      <c r="I607" s="57"/>
      <c r="J607" s="57"/>
      <c r="K607" s="57"/>
      <c r="L607" s="57"/>
      <c r="M607" s="57"/>
      <c r="N607" s="57"/>
      <c r="O607" s="57"/>
      <c r="P607" s="57"/>
      <c r="Q607" s="57"/>
      <c r="R607" s="2211"/>
      <c r="S607" s="257"/>
    </row>
    <row r="608" spans="1:19">
      <c r="A608" s="257"/>
      <c r="B608" s="57"/>
      <c r="C608" s="57"/>
      <c r="D608" s="57"/>
      <c r="E608" s="57"/>
      <c r="F608" s="57"/>
      <c r="G608" s="57"/>
      <c r="H608" s="57"/>
      <c r="I608" s="57"/>
      <c r="J608" s="57"/>
      <c r="K608" s="57"/>
      <c r="L608" s="57"/>
      <c r="M608" s="57"/>
      <c r="N608" s="57"/>
      <c r="O608" s="57"/>
      <c r="P608" s="57"/>
      <c r="Q608" s="57"/>
      <c r="R608" s="2211"/>
      <c r="S608" s="257"/>
    </row>
    <row r="609" spans="1:19">
      <c r="A609" s="257"/>
      <c r="B609" s="57"/>
      <c r="C609" s="57"/>
      <c r="D609" s="57"/>
      <c r="E609" s="57"/>
      <c r="F609" s="57"/>
      <c r="G609" s="57"/>
      <c r="H609" s="57"/>
      <c r="I609" s="57"/>
      <c r="J609" s="57"/>
      <c r="K609" s="57"/>
      <c r="L609" s="57"/>
      <c r="M609" s="57"/>
      <c r="N609" s="57"/>
      <c r="O609" s="57"/>
      <c r="P609" s="57"/>
      <c r="Q609" s="57"/>
      <c r="R609" s="2211"/>
      <c r="S609" s="257"/>
    </row>
    <row r="610" spans="1:19">
      <c r="A610" s="257"/>
      <c r="B610" s="57"/>
      <c r="C610" s="57"/>
      <c r="D610" s="57"/>
      <c r="E610" s="57"/>
      <c r="F610" s="57"/>
      <c r="G610" s="57"/>
      <c r="H610" s="57"/>
      <c r="I610" s="57"/>
      <c r="J610" s="57"/>
      <c r="K610" s="57"/>
      <c r="L610" s="57"/>
      <c r="M610" s="57"/>
      <c r="N610" s="57"/>
      <c r="O610" s="57"/>
      <c r="P610" s="57"/>
      <c r="Q610" s="57"/>
      <c r="R610" s="2211"/>
      <c r="S610" s="257"/>
    </row>
    <row r="611" spans="1:19">
      <c r="A611" s="257"/>
      <c r="B611" s="57"/>
      <c r="C611" s="57"/>
      <c r="D611" s="57"/>
      <c r="E611" s="57"/>
      <c r="F611" s="57"/>
      <c r="G611" s="57"/>
      <c r="H611" s="57"/>
      <c r="I611" s="57"/>
      <c r="J611" s="57"/>
      <c r="K611" s="57"/>
      <c r="L611" s="57"/>
      <c r="M611" s="57"/>
      <c r="N611" s="57"/>
      <c r="O611" s="57"/>
      <c r="P611" s="57"/>
      <c r="Q611" s="57"/>
      <c r="R611" s="2211"/>
      <c r="S611" s="257"/>
    </row>
    <row r="612" spans="1:19">
      <c r="A612" s="257"/>
      <c r="B612" s="57"/>
      <c r="C612" s="57"/>
      <c r="D612" s="57"/>
      <c r="E612" s="57"/>
      <c r="F612" s="57"/>
      <c r="G612" s="57"/>
      <c r="H612" s="57"/>
      <c r="I612" s="57"/>
      <c r="J612" s="57"/>
      <c r="K612" s="57"/>
      <c r="L612" s="57"/>
      <c r="M612" s="57"/>
      <c r="N612" s="57"/>
      <c r="O612" s="57"/>
      <c r="P612" s="57"/>
      <c r="Q612" s="57"/>
      <c r="R612" s="2211"/>
      <c r="S612" s="257"/>
    </row>
    <row r="613" spans="1:19">
      <c r="A613" s="257"/>
      <c r="B613" s="57"/>
      <c r="C613" s="57"/>
      <c r="D613" s="57"/>
      <c r="E613" s="57"/>
      <c r="F613" s="57"/>
      <c r="G613" s="57"/>
      <c r="H613" s="57"/>
      <c r="I613" s="57"/>
      <c r="J613" s="57"/>
      <c r="K613" s="57"/>
      <c r="L613" s="57"/>
      <c r="M613" s="57"/>
      <c r="N613" s="57"/>
      <c r="O613" s="57"/>
      <c r="P613" s="57"/>
      <c r="Q613" s="57"/>
      <c r="R613" s="2211"/>
      <c r="S613" s="257"/>
    </row>
    <row r="614" spans="1:19">
      <c r="A614" s="257"/>
      <c r="B614" s="57"/>
      <c r="C614" s="57"/>
      <c r="D614" s="57"/>
      <c r="E614" s="57"/>
      <c r="F614" s="57"/>
      <c r="G614" s="57"/>
      <c r="H614" s="57"/>
      <c r="I614" s="57"/>
      <c r="J614" s="57"/>
      <c r="K614" s="57"/>
      <c r="L614" s="57"/>
      <c r="M614" s="57"/>
      <c r="N614" s="57"/>
      <c r="O614" s="57"/>
      <c r="P614" s="57"/>
      <c r="Q614" s="57"/>
      <c r="R614" s="2211"/>
      <c r="S614" s="257"/>
    </row>
    <row r="615" spans="1:19">
      <c r="A615" s="257"/>
      <c r="B615" s="57"/>
      <c r="C615" s="57"/>
      <c r="D615" s="57"/>
      <c r="E615" s="57"/>
      <c r="F615" s="57"/>
      <c r="G615" s="57"/>
      <c r="H615" s="57"/>
      <c r="I615" s="57"/>
      <c r="J615" s="57"/>
      <c r="K615" s="57"/>
      <c r="L615" s="57"/>
      <c r="M615" s="57"/>
      <c r="N615" s="57"/>
      <c r="O615" s="57"/>
      <c r="P615" s="57"/>
      <c r="Q615" s="57"/>
      <c r="R615" s="2211"/>
      <c r="S615" s="257"/>
    </row>
    <row r="616" spans="1:19">
      <c r="A616" s="257"/>
      <c r="B616" s="57"/>
      <c r="C616" s="57"/>
      <c r="D616" s="57"/>
      <c r="E616" s="57"/>
      <c r="F616" s="57"/>
      <c r="G616" s="57"/>
      <c r="H616" s="57"/>
      <c r="I616" s="57"/>
      <c r="J616" s="57"/>
      <c r="K616" s="57"/>
      <c r="L616" s="57"/>
      <c r="M616" s="57"/>
      <c r="N616" s="57"/>
      <c r="O616" s="57"/>
      <c r="P616" s="57"/>
      <c r="Q616" s="57"/>
      <c r="R616" s="2211"/>
      <c r="S616" s="257"/>
    </row>
    <row r="617" spans="1:19">
      <c r="A617" s="257"/>
      <c r="B617" s="57"/>
      <c r="C617" s="57"/>
      <c r="D617" s="57"/>
      <c r="E617" s="57"/>
      <c r="F617" s="57"/>
      <c r="G617" s="57"/>
      <c r="H617" s="57"/>
      <c r="I617" s="57"/>
      <c r="J617" s="57"/>
      <c r="K617" s="57"/>
      <c r="L617" s="57"/>
      <c r="M617" s="57"/>
      <c r="N617" s="57"/>
      <c r="O617" s="57"/>
      <c r="P617" s="57"/>
      <c r="Q617" s="57"/>
      <c r="R617" s="2211"/>
      <c r="S617" s="257"/>
    </row>
    <row r="618" spans="1:19">
      <c r="A618" s="257"/>
      <c r="B618" s="57"/>
      <c r="C618" s="57"/>
      <c r="D618" s="57"/>
      <c r="E618" s="57"/>
      <c r="F618" s="57"/>
      <c r="G618" s="57"/>
      <c r="H618" s="57"/>
      <c r="I618" s="57"/>
      <c r="J618" s="57"/>
      <c r="K618" s="57"/>
      <c r="L618" s="57"/>
      <c r="M618" s="57"/>
      <c r="N618" s="57"/>
      <c r="O618" s="57"/>
      <c r="P618" s="57"/>
      <c r="Q618" s="57"/>
      <c r="R618" s="2211"/>
      <c r="S618" s="257"/>
    </row>
    <row r="619" spans="1:19">
      <c r="A619" s="257"/>
      <c r="B619" s="57"/>
      <c r="C619" s="57"/>
      <c r="D619" s="57"/>
      <c r="E619" s="57"/>
      <c r="F619" s="57"/>
      <c r="G619" s="57"/>
      <c r="H619" s="57"/>
      <c r="I619" s="57"/>
      <c r="J619" s="57"/>
      <c r="K619" s="57"/>
      <c r="L619" s="57"/>
      <c r="M619" s="57"/>
      <c r="N619" s="57"/>
      <c r="O619" s="57"/>
      <c r="P619" s="57"/>
      <c r="Q619" s="57"/>
      <c r="R619" s="2211"/>
      <c r="S619" s="257"/>
    </row>
    <row r="620" spans="1:19">
      <c r="A620" s="257"/>
      <c r="B620" s="57"/>
      <c r="C620" s="57"/>
      <c r="D620" s="57"/>
      <c r="E620" s="57"/>
      <c r="F620" s="57"/>
      <c r="G620" s="57"/>
      <c r="H620" s="57"/>
      <c r="I620" s="57"/>
      <c r="J620" s="57"/>
      <c r="K620" s="57"/>
      <c r="L620" s="57"/>
      <c r="M620" s="57"/>
      <c r="N620" s="57"/>
      <c r="O620" s="57"/>
      <c r="P620" s="57"/>
      <c r="Q620" s="57"/>
      <c r="R620" s="2211"/>
      <c r="S620" s="257"/>
    </row>
    <row r="621" spans="1:19">
      <c r="A621" s="257"/>
      <c r="B621" s="57"/>
      <c r="C621" s="57"/>
      <c r="D621" s="57"/>
      <c r="E621" s="57"/>
      <c r="F621" s="57"/>
      <c r="G621" s="57"/>
      <c r="H621" s="57"/>
      <c r="I621" s="57"/>
      <c r="J621" s="57"/>
      <c r="K621" s="57"/>
      <c r="L621" s="57"/>
      <c r="M621" s="57"/>
      <c r="N621" s="57"/>
      <c r="O621" s="57"/>
      <c r="P621" s="57"/>
      <c r="Q621" s="57"/>
      <c r="R621" s="2211"/>
      <c r="S621" s="257"/>
    </row>
    <row r="622" spans="1:19">
      <c r="A622" s="257"/>
      <c r="B622" s="57"/>
      <c r="C622" s="57"/>
      <c r="D622" s="57"/>
      <c r="E622" s="57"/>
      <c r="F622" s="57"/>
      <c r="G622" s="57"/>
      <c r="H622" s="57"/>
      <c r="I622" s="57"/>
      <c r="J622" s="57"/>
      <c r="K622" s="57"/>
      <c r="L622" s="57"/>
      <c r="M622" s="57"/>
      <c r="N622" s="57"/>
      <c r="O622" s="57"/>
      <c r="P622" s="57"/>
      <c r="Q622" s="57"/>
      <c r="R622" s="2211"/>
      <c r="S622" s="257"/>
    </row>
    <row r="623" spans="1:19">
      <c r="A623" s="257"/>
      <c r="B623" s="57"/>
      <c r="C623" s="57"/>
      <c r="D623" s="57"/>
      <c r="E623" s="57"/>
      <c r="F623" s="57"/>
      <c r="G623" s="57"/>
      <c r="H623" s="57"/>
      <c r="I623" s="57"/>
      <c r="J623" s="57"/>
      <c r="K623" s="57"/>
      <c r="L623" s="57"/>
      <c r="M623" s="57"/>
      <c r="N623" s="57"/>
      <c r="O623" s="57"/>
      <c r="P623" s="57"/>
      <c r="Q623" s="57"/>
      <c r="R623" s="2211"/>
      <c r="S623" s="257"/>
    </row>
    <row r="624" spans="1:19">
      <c r="A624" s="257"/>
      <c r="B624" s="57"/>
      <c r="C624" s="57"/>
      <c r="D624" s="57"/>
      <c r="E624" s="57"/>
      <c r="F624" s="57"/>
      <c r="G624" s="57"/>
      <c r="H624" s="57"/>
      <c r="I624" s="57"/>
      <c r="J624" s="57"/>
      <c r="K624" s="57"/>
      <c r="L624" s="57"/>
      <c r="M624" s="57"/>
      <c r="N624" s="57"/>
      <c r="O624" s="57"/>
      <c r="P624" s="57"/>
      <c r="Q624" s="57"/>
      <c r="R624" s="2211"/>
      <c r="S624" s="257"/>
    </row>
    <row r="625" spans="1:19">
      <c r="A625" s="257"/>
      <c r="B625" s="57"/>
      <c r="C625" s="57"/>
      <c r="D625" s="57"/>
      <c r="E625" s="57"/>
      <c r="F625" s="57"/>
      <c r="G625" s="57"/>
      <c r="H625" s="57"/>
      <c r="I625" s="57"/>
      <c r="J625" s="57"/>
      <c r="K625" s="57"/>
      <c r="L625" s="57"/>
      <c r="M625" s="57"/>
      <c r="N625" s="57"/>
      <c r="O625" s="57"/>
      <c r="P625" s="57"/>
      <c r="Q625" s="57"/>
      <c r="R625" s="2211"/>
      <c r="S625" s="257"/>
    </row>
    <row r="626" spans="1:19">
      <c r="A626" s="257"/>
      <c r="B626" s="57"/>
      <c r="C626" s="57"/>
      <c r="D626" s="57"/>
      <c r="E626" s="57"/>
      <c r="F626" s="57"/>
      <c r="G626" s="57"/>
      <c r="H626" s="57"/>
      <c r="I626" s="57"/>
      <c r="J626" s="57"/>
      <c r="K626" s="57"/>
      <c r="L626" s="57"/>
      <c r="M626" s="57"/>
      <c r="N626" s="57"/>
      <c r="O626" s="57"/>
      <c r="P626" s="57"/>
      <c r="Q626" s="57"/>
      <c r="R626" s="2211"/>
      <c r="S626" s="257"/>
    </row>
    <row r="627" spans="1:19">
      <c r="A627" s="257"/>
      <c r="B627" s="57"/>
      <c r="C627" s="57"/>
      <c r="D627" s="57"/>
      <c r="E627" s="57"/>
      <c r="F627" s="57"/>
      <c r="G627" s="57"/>
      <c r="H627" s="57"/>
      <c r="I627" s="57"/>
      <c r="J627" s="57"/>
      <c r="K627" s="57"/>
      <c r="L627" s="57"/>
      <c r="M627" s="57"/>
      <c r="N627" s="57"/>
      <c r="O627" s="57"/>
      <c r="P627" s="57"/>
      <c r="Q627" s="57"/>
      <c r="R627" s="2211"/>
      <c r="S627" s="257"/>
    </row>
    <row r="628" spans="1:19">
      <c r="A628" s="257"/>
      <c r="B628" s="57"/>
      <c r="C628" s="57"/>
      <c r="D628" s="57"/>
      <c r="E628" s="57"/>
      <c r="F628" s="57"/>
      <c r="G628" s="57"/>
      <c r="H628" s="57"/>
      <c r="I628" s="57"/>
      <c r="J628" s="57"/>
      <c r="K628" s="57"/>
      <c r="L628" s="57"/>
      <c r="M628" s="57"/>
      <c r="N628" s="57"/>
      <c r="O628" s="57"/>
      <c r="P628" s="57"/>
      <c r="Q628" s="57"/>
      <c r="R628" s="2211"/>
      <c r="S628" s="257"/>
    </row>
    <row r="629" spans="1:19">
      <c r="A629" s="257"/>
      <c r="B629" s="57"/>
      <c r="C629" s="57"/>
      <c r="D629" s="57"/>
      <c r="E629" s="57"/>
      <c r="F629" s="57"/>
      <c r="G629" s="57"/>
      <c r="H629" s="57"/>
      <c r="I629" s="57"/>
      <c r="J629" s="57"/>
      <c r="K629" s="57"/>
      <c r="L629" s="57"/>
      <c r="M629" s="57"/>
      <c r="N629" s="57"/>
      <c r="O629" s="57"/>
      <c r="P629" s="57"/>
      <c r="Q629" s="57"/>
      <c r="R629" s="2211"/>
      <c r="S629" s="257"/>
    </row>
    <row r="630" spans="1:19">
      <c r="A630" s="257"/>
      <c r="B630" s="57"/>
      <c r="C630" s="57"/>
      <c r="D630" s="57"/>
      <c r="E630" s="57"/>
      <c r="F630" s="57"/>
      <c r="G630" s="57"/>
      <c r="H630" s="57"/>
      <c r="I630" s="57"/>
      <c r="J630" s="57"/>
      <c r="K630" s="57"/>
      <c r="L630" s="57"/>
      <c r="M630" s="57"/>
      <c r="N630" s="57"/>
      <c r="O630" s="57"/>
      <c r="P630" s="57"/>
      <c r="Q630" s="57"/>
      <c r="R630" s="2211"/>
      <c r="S630" s="257"/>
    </row>
    <row r="631" spans="1:19">
      <c r="A631" s="257"/>
      <c r="B631" s="57"/>
      <c r="C631" s="57"/>
      <c r="D631" s="57"/>
      <c r="E631" s="57"/>
      <c r="F631" s="57"/>
      <c r="G631" s="57"/>
      <c r="H631" s="57"/>
      <c r="I631" s="57"/>
      <c r="J631" s="57"/>
      <c r="K631" s="57"/>
      <c r="L631" s="57"/>
      <c r="M631" s="57"/>
      <c r="N631" s="57"/>
      <c r="O631" s="57"/>
      <c r="P631" s="57"/>
      <c r="Q631" s="57"/>
      <c r="R631" s="2211"/>
      <c r="S631" s="257"/>
    </row>
    <row r="632" spans="1:19">
      <c r="A632" s="257"/>
      <c r="B632" s="57"/>
      <c r="C632" s="57"/>
      <c r="D632" s="57"/>
      <c r="E632" s="57"/>
      <c r="F632" s="57"/>
      <c r="G632" s="57"/>
      <c r="H632" s="57"/>
      <c r="I632" s="57"/>
      <c r="J632" s="57"/>
      <c r="K632" s="57"/>
      <c r="L632" s="57"/>
      <c r="M632" s="57"/>
      <c r="N632" s="57"/>
      <c r="O632" s="57"/>
      <c r="P632" s="57"/>
      <c r="Q632" s="57"/>
      <c r="R632" s="2211"/>
      <c r="S632" s="257"/>
    </row>
    <row r="633" spans="1:19">
      <c r="A633" s="257"/>
      <c r="B633" s="57"/>
      <c r="C633" s="57"/>
      <c r="D633" s="57"/>
      <c r="E633" s="57"/>
      <c r="F633" s="57"/>
      <c r="G633" s="57"/>
      <c r="H633" s="57"/>
      <c r="I633" s="57"/>
      <c r="J633" s="57"/>
      <c r="K633" s="57"/>
      <c r="L633" s="57"/>
      <c r="M633" s="57"/>
      <c r="N633" s="57"/>
      <c r="O633" s="57"/>
      <c r="P633" s="57"/>
      <c r="Q633" s="57"/>
      <c r="R633" s="2211"/>
      <c r="S633" s="257"/>
    </row>
    <row r="634" spans="1:19">
      <c r="A634" s="257"/>
      <c r="B634" s="57"/>
      <c r="C634" s="57"/>
      <c r="D634" s="57"/>
      <c r="E634" s="57"/>
      <c r="F634" s="57"/>
      <c r="G634" s="57"/>
      <c r="H634" s="57"/>
      <c r="I634" s="57"/>
      <c r="J634" s="57"/>
      <c r="K634" s="57"/>
      <c r="L634" s="57"/>
      <c r="M634" s="57"/>
      <c r="N634" s="57"/>
      <c r="O634" s="57"/>
      <c r="P634" s="57"/>
      <c r="Q634" s="57"/>
      <c r="R634" s="2211"/>
      <c r="S634" s="257"/>
    </row>
    <row r="635" spans="1:19">
      <c r="A635" s="257"/>
      <c r="B635" s="57"/>
      <c r="C635" s="57"/>
      <c r="D635" s="57"/>
      <c r="E635" s="57"/>
      <c r="F635" s="57"/>
      <c r="G635" s="57"/>
      <c r="H635" s="57"/>
      <c r="I635" s="57"/>
      <c r="J635" s="57"/>
      <c r="K635" s="57"/>
      <c r="L635" s="57"/>
      <c r="M635" s="57"/>
      <c r="N635" s="57"/>
      <c r="O635" s="57"/>
      <c r="P635" s="57"/>
      <c r="Q635" s="57"/>
      <c r="R635" s="2211"/>
      <c r="S635" s="257"/>
    </row>
    <row r="636" spans="1:19">
      <c r="A636" s="257"/>
      <c r="B636" s="57"/>
      <c r="C636" s="57"/>
      <c r="D636" s="57"/>
      <c r="E636" s="57"/>
      <c r="F636" s="57"/>
      <c r="G636" s="57"/>
      <c r="H636" s="57"/>
      <c r="I636" s="57"/>
      <c r="J636" s="57"/>
      <c r="K636" s="57"/>
      <c r="L636" s="57"/>
      <c r="M636" s="57"/>
      <c r="N636" s="57"/>
      <c r="O636" s="57"/>
      <c r="P636" s="57"/>
      <c r="Q636" s="57"/>
      <c r="R636" s="2211"/>
      <c r="S636" s="257"/>
    </row>
    <row r="637" spans="1:19">
      <c r="A637" s="257"/>
      <c r="B637" s="57"/>
      <c r="C637" s="57"/>
      <c r="D637" s="57"/>
      <c r="E637" s="57"/>
      <c r="F637" s="57"/>
      <c r="G637" s="57"/>
      <c r="H637" s="57"/>
      <c r="I637" s="57"/>
      <c r="J637" s="57"/>
      <c r="K637" s="57"/>
      <c r="L637" s="57"/>
      <c r="M637" s="57"/>
      <c r="N637" s="57"/>
      <c r="O637" s="57"/>
      <c r="P637" s="57"/>
      <c r="Q637" s="57"/>
      <c r="R637" s="2211"/>
      <c r="S637" s="257"/>
    </row>
    <row r="638" spans="1:19">
      <c r="A638" s="257"/>
      <c r="B638" s="57"/>
      <c r="C638" s="57"/>
      <c r="D638" s="57"/>
      <c r="E638" s="57"/>
      <c r="F638" s="57"/>
      <c r="G638" s="57"/>
      <c r="H638" s="57"/>
      <c r="I638" s="57"/>
      <c r="J638" s="57"/>
      <c r="K638" s="57"/>
      <c r="L638" s="57"/>
      <c r="M638" s="57"/>
      <c r="N638" s="57"/>
      <c r="O638" s="57"/>
      <c r="P638" s="57"/>
      <c r="Q638" s="57"/>
      <c r="R638" s="2211"/>
      <c r="S638" s="257"/>
    </row>
    <row r="639" spans="1:19">
      <c r="A639" s="257"/>
      <c r="B639" s="57"/>
      <c r="C639" s="57"/>
      <c r="D639" s="57"/>
      <c r="E639" s="57"/>
      <c r="F639" s="57"/>
      <c r="G639" s="57"/>
      <c r="H639" s="57"/>
      <c r="I639" s="57"/>
      <c r="J639" s="57"/>
      <c r="K639" s="57"/>
      <c r="L639" s="57"/>
      <c r="M639" s="57"/>
      <c r="N639" s="57"/>
      <c r="O639" s="57"/>
      <c r="P639" s="57"/>
      <c r="Q639" s="57"/>
      <c r="R639" s="2211"/>
      <c r="S639" s="257"/>
    </row>
    <row r="640" spans="1:19">
      <c r="A640" s="257"/>
      <c r="B640" s="57"/>
      <c r="C640" s="57"/>
      <c r="D640" s="57"/>
      <c r="E640" s="57"/>
      <c r="F640" s="57"/>
      <c r="G640" s="57"/>
      <c r="H640" s="57"/>
      <c r="I640" s="57"/>
      <c r="J640" s="57"/>
      <c r="K640" s="57"/>
      <c r="L640" s="57"/>
      <c r="M640" s="57"/>
      <c r="N640" s="57"/>
      <c r="O640" s="57"/>
      <c r="P640" s="57"/>
      <c r="Q640" s="57"/>
      <c r="R640" s="2211"/>
      <c r="S640" s="257"/>
    </row>
    <row r="641" spans="1:19">
      <c r="A641" s="257"/>
      <c r="B641" s="57"/>
      <c r="C641" s="57"/>
      <c r="D641" s="57"/>
      <c r="E641" s="57"/>
      <c r="F641" s="57"/>
      <c r="G641" s="57"/>
      <c r="H641" s="57"/>
      <c r="I641" s="57"/>
      <c r="J641" s="57"/>
      <c r="K641" s="57"/>
      <c r="L641" s="57"/>
      <c r="M641" s="57"/>
      <c r="N641" s="57"/>
      <c r="O641" s="57"/>
      <c r="P641" s="57"/>
      <c r="Q641" s="57"/>
      <c r="R641" s="2211"/>
      <c r="S641" s="257"/>
    </row>
    <row r="642" spans="1:19">
      <c r="A642" s="257"/>
      <c r="B642" s="57"/>
      <c r="C642" s="57"/>
      <c r="D642" s="57"/>
      <c r="E642" s="57"/>
      <c r="F642" s="57"/>
      <c r="G642" s="57"/>
      <c r="H642" s="57"/>
      <c r="I642" s="57"/>
      <c r="J642" s="57"/>
      <c r="K642" s="57"/>
      <c r="L642" s="57"/>
      <c r="M642" s="57"/>
      <c r="N642" s="57"/>
      <c r="O642" s="57"/>
      <c r="P642" s="57"/>
      <c r="Q642" s="57"/>
      <c r="R642" s="2211"/>
      <c r="S642" s="257"/>
    </row>
    <row r="643" spans="1:19">
      <c r="A643" s="257"/>
      <c r="B643" s="57"/>
      <c r="C643" s="57"/>
      <c r="D643" s="57"/>
      <c r="E643" s="57"/>
      <c r="F643" s="57"/>
      <c r="G643" s="57"/>
      <c r="H643" s="57"/>
      <c r="I643" s="57"/>
      <c r="J643" s="57"/>
      <c r="K643" s="57"/>
      <c r="L643" s="57"/>
      <c r="M643" s="57"/>
      <c r="N643" s="57"/>
      <c r="O643" s="57"/>
      <c r="P643" s="57"/>
      <c r="Q643" s="57"/>
      <c r="R643" s="2211"/>
      <c r="S643" s="257"/>
    </row>
    <row r="644" spans="1:19">
      <c r="A644" s="257"/>
      <c r="B644" s="57"/>
      <c r="C644" s="57"/>
      <c r="D644" s="57"/>
      <c r="E644" s="57"/>
      <c r="F644" s="57"/>
      <c r="G644" s="57"/>
      <c r="H644" s="57"/>
      <c r="I644" s="57"/>
      <c r="J644" s="57"/>
      <c r="K644" s="57"/>
      <c r="L644" s="57"/>
      <c r="M644" s="57"/>
      <c r="N644" s="57"/>
      <c r="O644" s="57"/>
      <c r="P644" s="57"/>
      <c r="Q644" s="57"/>
      <c r="R644" s="2211"/>
      <c r="S644" s="257"/>
    </row>
    <row r="645" spans="1:19">
      <c r="A645" s="257"/>
      <c r="B645" s="57"/>
      <c r="C645" s="57"/>
      <c r="D645" s="57"/>
      <c r="E645" s="57"/>
      <c r="F645" s="57"/>
      <c r="G645" s="57"/>
      <c r="H645" s="57"/>
      <c r="I645" s="57"/>
      <c r="J645" s="57"/>
      <c r="K645" s="57"/>
      <c r="L645" s="57"/>
      <c r="M645" s="57"/>
      <c r="N645" s="57"/>
      <c r="O645" s="57"/>
      <c r="P645" s="57"/>
      <c r="Q645" s="57"/>
      <c r="R645" s="2211"/>
      <c r="S645" s="257"/>
    </row>
    <row r="646" spans="1:19">
      <c r="A646" s="257"/>
      <c r="B646" s="57"/>
      <c r="C646" s="57"/>
      <c r="D646" s="57"/>
      <c r="E646" s="57"/>
      <c r="F646" s="57"/>
      <c r="G646" s="57"/>
      <c r="H646" s="57"/>
      <c r="I646" s="57"/>
      <c r="J646" s="57"/>
      <c r="K646" s="57"/>
      <c r="L646" s="57"/>
      <c r="M646" s="57"/>
      <c r="N646" s="57"/>
      <c r="O646" s="57"/>
      <c r="P646" s="57"/>
      <c r="Q646" s="57"/>
      <c r="R646" s="2211"/>
      <c r="S646" s="257"/>
    </row>
    <row r="647" spans="1:19">
      <c r="A647" s="257"/>
      <c r="B647" s="57"/>
      <c r="C647" s="57"/>
      <c r="D647" s="57"/>
      <c r="E647" s="57"/>
      <c r="F647" s="57"/>
      <c r="G647" s="57"/>
      <c r="H647" s="57"/>
      <c r="I647" s="57"/>
      <c r="J647" s="57"/>
      <c r="K647" s="57"/>
      <c r="L647" s="57"/>
      <c r="M647" s="57"/>
      <c r="N647" s="57"/>
      <c r="O647" s="57"/>
      <c r="P647" s="57"/>
      <c r="Q647" s="57"/>
      <c r="R647" s="2211"/>
      <c r="S647" s="257"/>
    </row>
    <row r="648" spans="1:19">
      <c r="A648" s="257"/>
      <c r="B648" s="57"/>
      <c r="C648" s="57"/>
      <c r="D648" s="57"/>
      <c r="E648" s="57"/>
      <c r="F648" s="57"/>
      <c r="G648" s="57"/>
      <c r="H648" s="57"/>
      <c r="I648" s="57"/>
      <c r="J648" s="57"/>
      <c r="K648" s="57"/>
      <c r="L648" s="57"/>
      <c r="M648" s="57"/>
      <c r="N648" s="57"/>
      <c r="O648" s="57"/>
      <c r="P648" s="57"/>
      <c r="Q648" s="57"/>
      <c r="R648" s="2211"/>
      <c r="S648" s="257"/>
    </row>
    <row r="649" spans="1:19">
      <c r="A649" s="257"/>
      <c r="B649" s="57"/>
      <c r="C649" s="57"/>
      <c r="D649" s="57"/>
      <c r="E649" s="57"/>
      <c r="F649" s="57"/>
      <c r="G649" s="57"/>
      <c r="H649" s="57"/>
      <c r="I649" s="57"/>
      <c r="J649" s="57"/>
      <c r="K649" s="57"/>
      <c r="L649" s="57"/>
      <c r="M649" s="57"/>
      <c r="N649" s="57"/>
      <c r="O649" s="57"/>
      <c r="P649" s="57"/>
      <c r="Q649" s="57"/>
      <c r="R649" s="2211"/>
      <c r="S649" s="257"/>
    </row>
    <row r="650" spans="1:19">
      <c r="A650" s="257"/>
      <c r="B650" s="57"/>
      <c r="C650" s="57"/>
      <c r="D650" s="57"/>
      <c r="E650" s="57"/>
      <c r="F650" s="57"/>
      <c r="G650" s="57"/>
      <c r="H650" s="57"/>
      <c r="I650" s="57"/>
      <c r="J650" s="57"/>
      <c r="K650" s="57"/>
      <c r="L650" s="57"/>
      <c r="M650" s="57"/>
      <c r="N650" s="57"/>
      <c r="O650" s="57"/>
      <c r="P650" s="57"/>
      <c r="Q650" s="57"/>
      <c r="R650" s="2211"/>
      <c r="S650" s="257"/>
    </row>
    <row r="651" spans="1:19">
      <c r="A651" s="257"/>
      <c r="B651" s="57"/>
      <c r="C651" s="57"/>
      <c r="D651" s="57"/>
      <c r="E651" s="57"/>
      <c r="F651" s="57"/>
      <c r="G651" s="57"/>
      <c r="H651" s="57"/>
      <c r="I651" s="57"/>
      <c r="J651" s="57"/>
      <c r="K651" s="57"/>
      <c r="L651" s="57"/>
      <c r="M651" s="57"/>
      <c r="N651" s="57"/>
      <c r="O651" s="57"/>
      <c r="P651" s="57"/>
      <c r="Q651" s="57"/>
      <c r="R651" s="2211"/>
      <c r="S651" s="257"/>
    </row>
    <row r="652" spans="1:19">
      <c r="A652" s="257"/>
      <c r="B652" s="57"/>
      <c r="C652" s="57"/>
      <c r="D652" s="57"/>
      <c r="E652" s="57"/>
      <c r="F652" s="57"/>
      <c r="G652" s="57"/>
      <c r="H652" s="57"/>
      <c r="I652" s="57"/>
      <c r="J652" s="57"/>
      <c r="K652" s="57"/>
      <c r="L652" s="57"/>
      <c r="M652" s="57"/>
      <c r="N652" s="57"/>
      <c r="O652" s="57"/>
      <c r="P652" s="57"/>
      <c r="Q652" s="57"/>
      <c r="R652" s="2211"/>
      <c r="S652" s="257"/>
    </row>
    <row r="653" spans="1:19">
      <c r="A653" s="257"/>
      <c r="B653" s="57"/>
      <c r="C653" s="57"/>
      <c r="D653" s="57"/>
      <c r="E653" s="57"/>
      <c r="F653" s="57"/>
      <c r="G653" s="57"/>
      <c r="H653" s="57"/>
      <c r="I653" s="57"/>
      <c r="J653" s="57"/>
      <c r="K653" s="57"/>
      <c r="L653" s="57"/>
      <c r="M653" s="57"/>
      <c r="N653" s="57"/>
      <c r="O653" s="57"/>
      <c r="P653" s="57"/>
      <c r="Q653" s="57"/>
      <c r="R653" s="2211"/>
      <c r="S653" s="257"/>
    </row>
    <row r="654" spans="1:19">
      <c r="A654" s="257"/>
      <c r="B654" s="57"/>
      <c r="C654" s="57"/>
      <c r="D654" s="57"/>
      <c r="E654" s="57"/>
      <c r="F654" s="57"/>
      <c r="G654" s="57"/>
      <c r="H654" s="57"/>
      <c r="I654" s="57"/>
      <c r="J654" s="57"/>
      <c r="K654" s="57"/>
      <c r="L654" s="57"/>
      <c r="M654" s="57"/>
      <c r="N654" s="57"/>
      <c r="O654" s="57"/>
      <c r="P654" s="57"/>
      <c r="Q654" s="57"/>
      <c r="R654" s="2211"/>
      <c r="S654" s="257"/>
    </row>
    <row r="655" spans="1:19">
      <c r="A655" s="257"/>
      <c r="B655" s="57"/>
      <c r="C655" s="57"/>
      <c r="D655" s="57"/>
      <c r="E655" s="57"/>
      <c r="F655" s="57"/>
      <c r="G655" s="57"/>
      <c r="H655" s="57"/>
      <c r="I655" s="57"/>
      <c r="J655" s="57"/>
      <c r="K655" s="57"/>
      <c r="L655" s="57"/>
      <c r="M655" s="57"/>
      <c r="N655" s="57"/>
      <c r="O655" s="57"/>
      <c r="P655" s="57"/>
      <c r="Q655" s="57"/>
      <c r="R655" s="2211"/>
      <c r="S655" s="257"/>
    </row>
    <row r="656" spans="1:19">
      <c r="A656" s="257"/>
      <c r="B656" s="57"/>
      <c r="C656" s="57"/>
      <c r="D656" s="57"/>
      <c r="E656" s="57"/>
      <c r="F656" s="57"/>
      <c r="G656" s="57"/>
      <c r="H656" s="57"/>
      <c r="I656" s="57"/>
      <c r="J656" s="57"/>
      <c r="K656" s="57"/>
      <c r="L656" s="57"/>
      <c r="M656" s="57"/>
      <c r="N656" s="57"/>
      <c r="O656" s="57"/>
      <c r="P656" s="57"/>
      <c r="Q656" s="57"/>
      <c r="R656" s="2211"/>
      <c r="S656" s="257"/>
    </row>
    <row r="657" spans="1:19">
      <c r="A657" s="257"/>
      <c r="B657" s="57"/>
      <c r="C657" s="57"/>
      <c r="D657" s="57"/>
      <c r="E657" s="57"/>
      <c r="F657" s="57"/>
      <c r="G657" s="57"/>
      <c r="H657" s="57"/>
      <c r="I657" s="57"/>
      <c r="J657" s="57"/>
      <c r="K657" s="57"/>
      <c r="L657" s="57"/>
      <c r="M657" s="57"/>
      <c r="N657" s="57"/>
      <c r="O657" s="57"/>
      <c r="P657" s="57"/>
      <c r="Q657" s="57"/>
      <c r="R657" s="2211"/>
      <c r="S657" s="257"/>
    </row>
    <row r="658" spans="1:19">
      <c r="A658" s="257"/>
      <c r="B658" s="57"/>
      <c r="C658" s="57"/>
      <c r="D658" s="57"/>
      <c r="E658" s="57"/>
      <c r="F658" s="57"/>
      <c r="G658" s="57"/>
      <c r="H658" s="57"/>
      <c r="I658" s="57"/>
      <c r="J658" s="57"/>
      <c r="K658" s="57"/>
      <c r="L658" s="57"/>
      <c r="M658" s="57"/>
      <c r="N658" s="57"/>
      <c r="O658" s="57"/>
      <c r="P658" s="57"/>
      <c r="Q658" s="57"/>
      <c r="R658" s="2211"/>
      <c r="S658" s="257"/>
    </row>
    <row r="659" spans="1:19">
      <c r="A659" s="257"/>
      <c r="B659" s="57"/>
      <c r="C659" s="57"/>
      <c r="D659" s="57"/>
      <c r="E659" s="57"/>
      <c r="F659" s="57"/>
      <c r="G659" s="57"/>
      <c r="H659" s="57"/>
      <c r="I659" s="57"/>
      <c r="J659" s="57"/>
      <c r="K659" s="57"/>
      <c r="L659" s="57"/>
      <c r="M659" s="57"/>
      <c r="N659" s="57"/>
      <c r="O659" s="57"/>
      <c r="P659" s="57"/>
      <c r="Q659" s="57"/>
      <c r="R659" s="2211"/>
      <c r="S659" s="257"/>
    </row>
    <row r="660" spans="1:19">
      <c r="A660" s="257"/>
      <c r="B660" s="57"/>
      <c r="C660" s="57"/>
      <c r="D660" s="57"/>
      <c r="E660" s="57"/>
      <c r="F660" s="57"/>
      <c r="G660" s="57"/>
      <c r="H660" s="57"/>
      <c r="I660" s="57"/>
      <c r="J660" s="57"/>
      <c r="K660" s="57"/>
      <c r="L660" s="57"/>
      <c r="M660" s="57"/>
      <c r="N660" s="57"/>
      <c r="O660" s="57"/>
      <c r="P660" s="57"/>
      <c r="Q660" s="57"/>
      <c r="R660" s="2211"/>
      <c r="S660" s="257"/>
    </row>
    <row r="661" spans="1:19">
      <c r="A661" s="257"/>
      <c r="B661" s="57"/>
      <c r="C661" s="57"/>
      <c r="D661" s="57"/>
      <c r="E661" s="57"/>
      <c r="F661" s="57"/>
      <c r="G661" s="57"/>
      <c r="H661" s="57"/>
      <c r="I661" s="57"/>
      <c r="J661" s="57"/>
      <c r="K661" s="57"/>
      <c r="L661" s="57"/>
      <c r="M661" s="57"/>
      <c r="N661" s="57"/>
      <c r="O661" s="57"/>
      <c r="P661" s="57"/>
      <c r="Q661" s="57"/>
      <c r="R661" s="2211"/>
      <c r="S661" s="257"/>
    </row>
    <row r="662" spans="1:19">
      <c r="A662" s="257"/>
      <c r="B662" s="57"/>
      <c r="C662" s="57"/>
      <c r="D662" s="57"/>
      <c r="E662" s="57"/>
      <c r="F662" s="57"/>
      <c r="G662" s="57"/>
      <c r="H662" s="57"/>
      <c r="I662" s="57"/>
      <c r="J662" s="57"/>
      <c r="K662" s="57"/>
      <c r="L662" s="57"/>
      <c r="M662" s="57"/>
      <c r="N662" s="57"/>
      <c r="O662" s="57"/>
      <c r="P662" s="57"/>
      <c r="Q662" s="57"/>
      <c r="R662" s="2211"/>
      <c r="S662" s="257"/>
    </row>
    <row r="663" spans="1:19">
      <c r="A663" s="257"/>
      <c r="B663" s="57"/>
      <c r="C663" s="57"/>
      <c r="D663" s="57"/>
      <c r="E663" s="57"/>
      <c r="F663" s="57"/>
      <c r="G663" s="57"/>
      <c r="H663" s="57"/>
      <c r="I663" s="57"/>
      <c r="J663" s="57"/>
      <c r="K663" s="57"/>
      <c r="L663" s="57"/>
      <c r="M663" s="57"/>
      <c r="N663" s="57"/>
      <c r="O663" s="57"/>
      <c r="P663" s="57"/>
      <c r="Q663" s="57"/>
      <c r="R663" s="2211"/>
      <c r="S663" s="257"/>
    </row>
    <row r="664" spans="1:19">
      <c r="A664" s="257"/>
      <c r="B664" s="57"/>
      <c r="C664" s="57"/>
      <c r="D664" s="57"/>
      <c r="E664" s="57"/>
      <c r="F664" s="57"/>
      <c r="G664" s="57"/>
      <c r="H664" s="57"/>
      <c r="I664" s="57"/>
      <c r="J664" s="57"/>
      <c r="K664" s="57"/>
      <c r="L664" s="57"/>
      <c r="M664" s="57"/>
      <c r="N664" s="57"/>
      <c r="O664" s="57"/>
      <c r="P664" s="57"/>
      <c r="Q664" s="57"/>
      <c r="R664" s="2211"/>
      <c r="S664" s="257"/>
    </row>
    <row r="665" spans="1:19">
      <c r="A665" s="257"/>
      <c r="B665" s="57"/>
      <c r="C665" s="57"/>
      <c r="D665" s="57"/>
      <c r="E665" s="57"/>
      <c r="F665" s="57"/>
      <c r="G665" s="57"/>
      <c r="H665" s="57"/>
      <c r="I665" s="57"/>
      <c r="J665" s="57"/>
      <c r="K665" s="57"/>
      <c r="L665" s="57"/>
      <c r="M665" s="57"/>
      <c r="N665" s="57"/>
      <c r="O665" s="57"/>
      <c r="P665" s="57"/>
      <c r="Q665" s="57"/>
      <c r="R665" s="2211"/>
      <c r="S665" s="257"/>
    </row>
    <row r="666" spans="1:19">
      <c r="A666" s="257"/>
      <c r="B666" s="57"/>
      <c r="C666" s="57"/>
      <c r="D666" s="57"/>
      <c r="E666" s="57"/>
      <c r="F666" s="57"/>
      <c r="G666" s="57"/>
      <c r="H666" s="57"/>
      <c r="I666" s="57"/>
      <c r="J666" s="57"/>
      <c r="K666" s="57"/>
      <c r="L666" s="57"/>
      <c r="M666" s="57"/>
      <c r="N666" s="57"/>
      <c r="O666" s="57"/>
      <c r="P666" s="57"/>
      <c r="Q666" s="57"/>
      <c r="R666" s="2211"/>
      <c r="S666" s="257"/>
    </row>
    <row r="667" spans="1:19">
      <c r="A667" s="257"/>
      <c r="B667" s="57"/>
      <c r="C667" s="57"/>
      <c r="D667" s="57"/>
      <c r="E667" s="57"/>
      <c r="F667" s="57"/>
      <c r="G667" s="57"/>
      <c r="H667" s="57"/>
      <c r="I667" s="57"/>
      <c r="J667" s="57"/>
      <c r="K667" s="57"/>
      <c r="L667" s="57"/>
      <c r="M667" s="57"/>
      <c r="N667" s="57"/>
      <c r="O667" s="57"/>
      <c r="P667" s="57"/>
      <c r="Q667" s="57"/>
      <c r="R667" s="2211"/>
      <c r="S667" s="257"/>
    </row>
    <row r="668" spans="1:19">
      <c r="A668" s="257"/>
      <c r="B668" s="57"/>
      <c r="C668" s="57"/>
      <c r="D668" s="57"/>
      <c r="E668" s="57"/>
      <c r="F668" s="57"/>
      <c r="G668" s="57"/>
      <c r="H668" s="57"/>
      <c r="I668" s="57"/>
      <c r="J668" s="57"/>
      <c r="K668" s="57"/>
      <c r="L668" s="57"/>
      <c r="M668" s="57"/>
      <c r="N668" s="57"/>
      <c r="O668" s="57"/>
      <c r="P668" s="57"/>
      <c r="Q668" s="57"/>
      <c r="R668" s="2211"/>
      <c r="S668" s="257"/>
    </row>
    <row r="669" spans="1:19">
      <c r="A669" s="257"/>
      <c r="B669" s="57"/>
      <c r="C669" s="57"/>
      <c r="D669" s="57"/>
      <c r="E669" s="57"/>
      <c r="F669" s="57"/>
      <c r="G669" s="57"/>
      <c r="H669" s="57"/>
      <c r="I669" s="57"/>
      <c r="J669" s="57"/>
      <c r="K669" s="57"/>
      <c r="L669" s="57"/>
      <c r="M669" s="57"/>
      <c r="N669" s="57"/>
      <c r="O669" s="57"/>
      <c r="P669" s="57"/>
      <c r="Q669" s="57"/>
      <c r="R669" s="2211"/>
      <c r="S669" s="257"/>
    </row>
    <row r="670" spans="1:19">
      <c r="A670" s="257"/>
      <c r="B670" s="57"/>
      <c r="C670" s="57"/>
      <c r="D670" s="57"/>
      <c r="E670" s="57"/>
      <c r="F670" s="57"/>
      <c r="G670" s="57"/>
      <c r="H670" s="57"/>
      <c r="I670" s="57"/>
      <c r="J670" s="57"/>
      <c r="K670" s="57"/>
      <c r="L670" s="57"/>
      <c r="M670" s="57"/>
      <c r="N670" s="57"/>
      <c r="O670" s="57"/>
      <c r="P670" s="57"/>
      <c r="Q670" s="57"/>
      <c r="R670" s="2211"/>
      <c r="S670" s="257"/>
    </row>
    <row r="671" spans="1:19">
      <c r="A671" s="257"/>
      <c r="B671" s="57"/>
      <c r="C671" s="57"/>
      <c r="D671" s="57"/>
      <c r="E671" s="57"/>
      <c r="F671" s="57"/>
      <c r="G671" s="57"/>
      <c r="H671" s="57"/>
      <c r="I671" s="57"/>
      <c r="J671" s="57"/>
      <c r="K671" s="57"/>
      <c r="L671" s="57"/>
      <c r="M671" s="57"/>
      <c r="N671" s="57"/>
      <c r="O671" s="57"/>
      <c r="P671" s="57"/>
      <c r="Q671" s="57"/>
      <c r="R671" s="2211"/>
      <c r="S671" s="257"/>
    </row>
    <row r="672" spans="1:19">
      <c r="A672" s="257"/>
      <c r="B672" s="57"/>
      <c r="C672" s="57"/>
      <c r="D672" s="57"/>
      <c r="E672" s="57"/>
      <c r="F672" s="57"/>
      <c r="G672" s="57"/>
      <c r="H672" s="57"/>
      <c r="I672" s="57"/>
      <c r="J672" s="57"/>
      <c r="K672" s="57"/>
      <c r="L672" s="57"/>
      <c r="M672" s="57"/>
      <c r="N672" s="57"/>
      <c r="O672" s="57"/>
      <c r="P672" s="57"/>
      <c r="Q672" s="57"/>
      <c r="R672" s="2211"/>
      <c r="S672" s="257"/>
    </row>
    <row r="673" spans="1:19">
      <c r="A673" s="257"/>
      <c r="B673" s="57"/>
      <c r="C673" s="57"/>
      <c r="D673" s="57"/>
      <c r="E673" s="57"/>
      <c r="F673" s="57"/>
      <c r="G673" s="57"/>
      <c r="H673" s="57"/>
      <c r="I673" s="57"/>
      <c r="J673" s="57"/>
      <c r="K673" s="57"/>
      <c r="L673" s="57"/>
      <c r="M673" s="57"/>
      <c r="N673" s="57"/>
      <c r="O673" s="57"/>
      <c r="P673" s="57"/>
      <c r="Q673" s="57"/>
      <c r="R673" s="2211"/>
      <c r="S673" s="257"/>
    </row>
    <row r="674" spans="1:19">
      <c r="A674" s="257"/>
      <c r="B674" s="57"/>
      <c r="C674" s="57"/>
      <c r="D674" s="57"/>
      <c r="E674" s="57"/>
      <c r="F674" s="57"/>
      <c r="G674" s="57"/>
      <c r="H674" s="57"/>
      <c r="I674" s="57"/>
      <c r="J674" s="57"/>
      <c r="K674" s="57"/>
      <c r="L674" s="57"/>
      <c r="M674" s="57"/>
      <c r="N674" s="57"/>
      <c r="O674" s="57"/>
      <c r="P674" s="57"/>
      <c r="Q674" s="57"/>
      <c r="R674" s="2211"/>
      <c r="S674" s="257"/>
    </row>
    <row r="675" spans="1:19">
      <c r="A675" s="257"/>
      <c r="B675" s="57"/>
      <c r="C675" s="57"/>
      <c r="D675" s="57"/>
      <c r="E675" s="57"/>
      <c r="F675" s="57"/>
      <c r="G675" s="57"/>
      <c r="H675" s="57"/>
      <c r="I675" s="57"/>
      <c r="J675" s="57"/>
      <c r="K675" s="57"/>
      <c r="L675" s="57"/>
      <c r="M675" s="57"/>
      <c r="N675" s="57"/>
      <c r="O675" s="57"/>
      <c r="P675" s="57"/>
      <c r="Q675" s="57"/>
      <c r="R675" s="2211"/>
      <c r="S675" s="257"/>
    </row>
    <row r="676" spans="1:19">
      <c r="A676" s="257"/>
      <c r="B676" s="57"/>
      <c r="C676" s="57"/>
      <c r="D676" s="57"/>
      <c r="E676" s="57"/>
      <c r="F676" s="57"/>
      <c r="G676" s="57"/>
      <c r="H676" s="57"/>
      <c r="I676" s="57"/>
      <c r="J676" s="57"/>
      <c r="K676" s="57"/>
      <c r="L676" s="57"/>
      <c r="M676" s="57"/>
      <c r="N676" s="57"/>
      <c r="O676" s="57"/>
      <c r="P676" s="57"/>
      <c r="Q676" s="57"/>
      <c r="R676" s="2211"/>
      <c r="S676" s="257"/>
    </row>
    <row r="677" spans="1:19">
      <c r="A677" s="257"/>
      <c r="B677" s="57"/>
      <c r="C677" s="57"/>
      <c r="D677" s="57"/>
      <c r="E677" s="57"/>
      <c r="F677" s="57"/>
      <c r="G677" s="57"/>
      <c r="H677" s="57"/>
      <c r="I677" s="57"/>
      <c r="J677" s="57"/>
      <c r="K677" s="57"/>
      <c r="L677" s="57"/>
      <c r="M677" s="57"/>
      <c r="N677" s="57"/>
      <c r="O677" s="57"/>
      <c r="P677" s="57"/>
      <c r="Q677" s="57"/>
      <c r="R677" s="2211"/>
      <c r="S677" s="257"/>
    </row>
    <row r="678" spans="1:19">
      <c r="A678" s="257"/>
      <c r="B678" s="57"/>
      <c r="C678" s="57"/>
      <c r="D678" s="57"/>
      <c r="E678" s="57"/>
      <c r="F678" s="57"/>
      <c r="G678" s="57"/>
      <c r="H678" s="57"/>
      <c r="I678" s="57"/>
      <c r="J678" s="57"/>
      <c r="K678" s="57"/>
      <c r="L678" s="57"/>
      <c r="M678" s="57"/>
      <c r="N678" s="57"/>
      <c r="O678" s="57"/>
      <c r="P678" s="57"/>
      <c r="Q678" s="57"/>
      <c r="R678" s="2211"/>
      <c r="S678" s="257"/>
    </row>
    <row r="679" spans="1:19">
      <c r="A679" s="257"/>
      <c r="B679" s="57"/>
      <c r="C679" s="57"/>
      <c r="D679" s="57"/>
      <c r="E679" s="57"/>
      <c r="F679" s="57"/>
      <c r="G679" s="57"/>
      <c r="H679" s="57"/>
      <c r="I679" s="57"/>
      <c r="J679" s="57"/>
      <c r="K679" s="57"/>
      <c r="L679" s="57"/>
      <c r="M679" s="57"/>
      <c r="N679" s="57"/>
      <c r="O679" s="57"/>
      <c r="P679" s="57"/>
      <c r="Q679" s="57"/>
      <c r="R679" s="2211"/>
      <c r="S679" s="257"/>
    </row>
    <row r="680" spans="1:19">
      <c r="A680" s="257"/>
      <c r="B680" s="57"/>
      <c r="C680" s="57"/>
      <c r="D680" s="57"/>
      <c r="E680" s="57"/>
      <c r="F680" s="57"/>
      <c r="G680" s="57"/>
      <c r="H680" s="57"/>
      <c r="I680" s="57"/>
      <c r="J680" s="57"/>
      <c r="K680" s="57"/>
      <c r="L680" s="57"/>
      <c r="M680" s="57"/>
      <c r="N680" s="57"/>
      <c r="O680" s="57"/>
      <c r="P680" s="57"/>
      <c r="Q680" s="57"/>
      <c r="R680" s="2211"/>
      <c r="S680" s="257"/>
    </row>
    <row r="681" spans="1:19">
      <c r="A681" s="257"/>
      <c r="B681" s="57"/>
      <c r="C681" s="57"/>
      <c r="D681" s="57"/>
      <c r="E681" s="57"/>
      <c r="F681" s="57"/>
      <c r="G681" s="57"/>
      <c r="H681" s="57"/>
      <c r="I681" s="57"/>
      <c r="J681" s="57"/>
      <c r="K681" s="57"/>
      <c r="L681" s="57"/>
      <c r="M681" s="57"/>
      <c r="N681" s="57"/>
      <c r="O681" s="57"/>
      <c r="P681" s="57"/>
      <c r="Q681" s="57"/>
      <c r="R681" s="2211"/>
      <c r="S681" s="257"/>
    </row>
    <row r="682" spans="1:19">
      <c r="A682" s="257"/>
      <c r="B682" s="57"/>
      <c r="C682" s="57"/>
      <c r="D682" s="57"/>
      <c r="E682" s="57"/>
      <c r="F682" s="57"/>
      <c r="G682" s="57"/>
      <c r="H682" s="57"/>
      <c r="I682" s="57"/>
      <c r="J682" s="57"/>
      <c r="K682" s="57"/>
      <c r="L682" s="57"/>
      <c r="M682" s="57"/>
      <c r="N682" s="57"/>
      <c r="O682" s="57"/>
      <c r="P682" s="57"/>
      <c r="Q682" s="57"/>
      <c r="R682" s="221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6" customWidth="1"/>
    <col min="2" max="2" width="13.25" style="2902" customWidth="1"/>
    <col min="3" max="3" width="15.625" style="2902" customWidth="1"/>
    <col min="4" max="4" width="9.375" style="2902" bestFit="1" customWidth="1"/>
    <col min="5" max="5" width="13.5" style="2902" customWidth="1"/>
    <col min="6" max="6" width="9" style="2902"/>
    <col min="7" max="7" width="9.375" style="2902" bestFit="1" customWidth="1"/>
    <col min="8" max="9" width="9" style="2902"/>
    <col min="10" max="10" width="9.375" style="2902" bestFit="1" customWidth="1"/>
    <col min="11" max="11" width="4" style="2896" customWidth="1"/>
    <col min="12" max="12" width="5.125" style="2902" customWidth="1"/>
    <col min="13" max="13" width="13.75" style="2902" customWidth="1"/>
    <col min="14" max="256" width="9" style="2902"/>
    <col min="257" max="257" width="4.875" style="2894" customWidth="1"/>
    <col min="258" max="258" width="13.25" style="2894" customWidth="1"/>
    <col min="259" max="259" width="15.625" style="2894" customWidth="1"/>
    <col min="260" max="260" width="9.375" style="2894" bestFit="1" customWidth="1"/>
    <col min="261" max="261" width="13.5" style="2894" customWidth="1"/>
    <col min="262" max="262" width="9" style="2894"/>
    <col min="263" max="263" width="9.375" style="2894" bestFit="1" customWidth="1"/>
    <col min="264" max="265" width="9" style="2894"/>
    <col min="266" max="266" width="9.375" style="2894" bestFit="1" customWidth="1"/>
    <col min="267" max="267" width="4" style="2894" customWidth="1"/>
    <col min="268" max="268" width="5.125" style="2894" customWidth="1"/>
    <col min="269" max="269" width="13.75" style="2894" customWidth="1"/>
    <col min="270" max="512" width="9" style="2894"/>
    <col min="513" max="513" width="4.875" style="2894" customWidth="1"/>
    <col min="514" max="514" width="13.25" style="2894" customWidth="1"/>
    <col min="515" max="515" width="15.625" style="2894" customWidth="1"/>
    <col min="516" max="516" width="9.375" style="2894" bestFit="1" customWidth="1"/>
    <col min="517" max="517" width="13.5" style="2894" customWidth="1"/>
    <col min="518" max="518" width="9" style="2894"/>
    <col min="519" max="519" width="9.375" style="2894" bestFit="1" customWidth="1"/>
    <col min="520" max="521" width="9" style="2894"/>
    <col min="522" max="522" width="9.375" style="2894" bestFit="1" customWidth="1"/>
    <col min="523" max="523" width="4" style="2894" customWidth="1"/>
    <col min="524" max="524" width="5.125" style="2894" customWidth="1"/>
    <col min="525" max="525" width="13.75" style="2894" customWidth="1"/>
    <col min="526" max="768" width="9" style="2894"/>
    <col min="769" max="769" width="4.875" style="2894" customWidth="1"/>
    <col min="770" max="770" width="13.25" style="2894" customWidth="1"/>
    <col min="771" max="771" width="15.625" style="2894" customWidth="1"/>
    <col min="772" max="772" width="9.375" style="2894" bestFit="1" customWidth="1"/>
    <col min="773" max="773" width="13.5" style="2894" customWidth="1"/>
    <col min="774" max="774" width="9" style="2894"/>
    <col min="775" max="775" width="9.375" style="2894" bestFit="1" customWidth="1"/>
    <col min="776" max="777" width="9" style="2894"/>
    <col min="778" max="778" width="9.375" style="2894" bestFit="1" customWidth="1"/>
    <col min="779" max="779" width="4" style="2894" customWidth="1"/>
    <col min="780" max="780" width="5.125" style="2894" customWidth="1"/>
    <col min="781" max="781" width="13.75" style="2894" customWidth="1"/>
    <col min="782" max="1024" width="9" style="2894"/>
    <col min="1025" max="1025" width="4.875" style="2894" customWidth="1"/>
    <col min="1026" max="1026" width="13.25" style="2894" customWidth="1"/>
    <col min="1027" max="1027" width="15.625" style="2894" customWidth="1"/>
    <col min="1028" max="1028" width="9.375" style="2894" bestFit="1" customWidth="1"/>
    <col min="1029" max="1029" width="13.5" style="2894" customWidth="1"/>
    <col min="1030" max="1030" width="9" style="2894"/>
    <col min="1031" max="1031" width="9.375" style="2894" bestFit="1" customWidth="1"/>
    <col min="1032" max="1033" width="9" style="2894"/>
    <col min="1034" max="1034" width="9.375" style="2894" bestFit="1" customWidth="1"/>
    <col min="1035" max="1035" width="4" style="2894" customWidth="1"/>
    <col min="1036" max="1036" width="5.125" style="2894" customWidth="1"/>
    <col min="1037" max="1037" width="13.75" style="2894" customWidth="1"/>
    <col min="1038" max="1280" width="9" style="2894"/>
    <col min="1281" max="1281" width="4.875" style="2894" customWidth="1"/>
    <col min="1282" max="1282" width="13.25" style="2894" customWidth="1"/>
    <col min="1283" max="1283" width="15.625" style="2894" customWidth="1"/>
    <col min="1284" max="1284" width="9.375" style="2894" bestFit="1" customWidth="1"/>
    <col min="1285" max="1285" width="13.5" style="2894" customWidth="1"/>
    <col min="1286" max="1286" width="9" style="2894"/>
    <col min="1287" max="1287" width="9.375" style="2894" bestFit="1" customWidth="1"/>
    <col min="1288" max="1289" width="9" style="2894"/>
    <col min="1290" max="1290" width="9.375" style="2894" bestFit="1" customWidth="1"/>
    <col min="1291" max="1291" width="4" style="2894" customWidth="1"/>
    <col min="1292" max="1292" width="5.125" style="2894" customWidth="1"/>
    <col min="1293" max="1293" width="13.75" style="2894" customWidth="1"/>
    <col min="1294" max="1536" width="9" style="2894"/>
    <col min="1537" max="1537" width="4.875" style="2894" customWidth="1"/>
    <col min="1538" max="1538" width="13.25" style="2894" customWidth="1"/>
    <col min="1539" max="1539" width="15.625" style="2894" customWidth="1"/>
    <col min="1540" max="1540" width="9.375" style="2894" bestFit="1" customWidth="1"/>
    <col min="1541" max="1541" width="13.5" style="2894" customWidth="1"/>
    <col min="1542" max="1542" width="9" style="2894"/>
    <col min="1543" max="1543" width="9.375" style="2894" bestFit="1" customWidth="1"/>
    <col min="1544" max="1545" width="9" style="2894"/>
    <col min="1546" max="1546" width="9.375" style="2894" bestFit="1" customWidth="1"/>
    <col min="1547" max="1547" width="4" style="2894" customWidth="1"/>
    <col min="1548" max="1548" width="5.125" style="2894" customWidth="1"/>
    <col min="1549" max="1549" width="13.75" style="2894" customWidth="1"/>
    <col min="1550" max="1792" width="9" style="2894"/>
    <col min="1793" max="1793" width="4.875" style="2894" customWidth="1"/>
    <col min="1794" max="1794" width="13.25" style="2894" customWidth="1"/>
    <col min="1795" max="1795" width="15.625" style="2894" customWidth="1"/>
    <col min="1796" max="1796" width="9.375" style="2894" bestFit="1" customWidth="1"/>
    <col min="1797" max="1797" width="13.5" style="2894" customWidth="1"/>
    <col min="1798" max="1798" width="9" style="2894"/>
    <col min="1799" max="1799" width="9.375" style="2894" bestFit="1" customWidth="1"/>
    <col min="1800" max="1801" width="9" style="2894"/>
    <col min="1802" max="1802" width="9.375" style="2894" bestFit="1" customWidth="1"/>
    <col min="1803" max="1803" width="4" style="2894" customWidth="1"/>
    <col min="1804" max="1804" width="5.125" style="2894" customWidth="1"/>
    <col min="1805" max="1805" width="13.75" style="2894" customWidth="1"/>
    <col min="1806" max="2048" width="9" style="2894"/>
    <col min="2049" max="2049" width="4.875" style="2894" customWidth="1"/>
    <col min="2050" max="2050" width="13.25" style="2894" customWidth="1"/>
    <col min="2051" max="2051" width="15.625" style="2894" customWidth="1"/>
    <col min="2052" max="2052" width="9.375" style="2894" bestFit="1" customWidth="1"/>
    <col min="2053" max="2053" width="13.5" style="2894" customWidth="1"/>
    <col min="2054" max="2054" width="9" style="2894"/>
    <col min="2055" max="2055" width="9.375" style="2894" bestFit="1" customWidth="1"/>
    <col min="2056" max="2057" width="9" style="2894"/>
    <col min="2058" max="2058" width="9.375" style="2894" bestFit="1" customWidth="1"/>
    <col min="2059" max="2059" width="4" style="2894" customWidth="1"/>
    <col min="2060" max="2060" width="5.125" style="2894" customWidth="1"/>
    <col min="2061" max="2061" width="13.75" style="2894" customWidth="1"/>
    <col min="2062" max="2304" width="9" style="2894"/>
    <col min="2305" max="2305" width="4.875" style="2894" customWidth="1"/>
    <col min="2306" max="2306" width="13.25" style="2894" customWidth="1"/>
    <col min="2307" max="2307" width="15.625" style="2894" customWidth="1"/>
    <col min="2308" max="2308" width="9.375" style="2894" bestFit="1" customWidth="1"/>
    <col min="2309" max="2309" width="13.5" style="2894" customWidth="1"/>
    <col min="2310" max="2310" width="9" style="2894"/>
    <col min="2311" max="2311" width="9.375" style="2894" bestFit="1" customWidth="1"/>
    <col min="2312" max="2313" width="9" style="2894"/>
    <col min="2314" max="2314" width="9.375" style="2894" bestFit="1" customWidth="1"/>
    <col min="2315" max="2315" width="4" style="2894" customWidth="1"/>
    <col min="2316" max="2316" width="5.125" style="2894" customWidth="1"/>
    <col min="2317" max="2317" width="13.75" style="2894" customWidth="1"/>
    <col min="2318" max="2560" width="9" style="2894"/>
    <col min="2561" max="2561" width="4.875" style="2894" customWidth="1"/>
    <col min="2562" max="2562" width="13.25" style="2894" customWidth="1"/>
    <col min="2563" max="2563" width="15.625" style="2894" customWidth="1"/>
    <col min="2564" max="2564" width="9.375" style="2894" bestFit="1" customWidth="1"/>
    <col min="2565" max="2565" width="13.5" style="2894" customWidth="1"/>
    <col min="2566" max="2566" width="9" style="2894"/>
    <col min="2567" max="2567" width="9.375" style="2894" bestFit="1" customWidth="1"/>
    <col min="2568" max="2569" width="9" style="2894"/>
    <col min="2570" max="2570" width="9.375" style="2894" bestFit="1" customWidth="1"/>
    <col min="2571" max="2571" width="4" style="2894" customWidth="1"/>
    <col min="2572" max="2572" width="5.125" style="2894" customWidth="1"/>
    <col min="2573" max="2573" width="13.75" style="2894" customWidth="1"/>
    <col min="2574" max="2816" width="9" style="2894"/>
    <col min="2817" max="2817" width="4.875" style="2894" customWidth="1"/>
    <col min="2818" max="2818" width="13.25" style="2894" customWidth="1"/>
    <col min="2819" max="2819" width="15.625" style="2894" customWidth="1"/>
    <col min="2820" max="2820" width="9.375" style="2894" bestFit="1" customWidth="1"/>
    <col min="2821" max="2821" width="13.5" style="2894" customWidth="1"/>
    <col min="2822" max="2822" width="9" style="2894"/>
    <col min="2823" max="2823" width="9.375" style="2894" bestFit="1" customWidth="1"/>
    <col min="2824" max="2825" width="9" style="2894"/>
    <col min="2826" max="2826" width="9.375" style="2894" bestFit="1" customWidth="1"/>
    <col min="2827" max="2827" width="4" style="2894" customWidth="1"/>
    <col min="2828" max="2828" width="5.125" style="2894" customWidth="1"/>
    <col min="2829" max="2829" width="13.75" style="2894" customWidth="1"/>
    <col min="2830" max="3072" width="9" style="2894"/>
    <col min="3073" max="3073" width="4.875" style="2894" customWidth="1"/>
    <col min="3074" max="3074" width="13.25" style="2894" customWidth="1"/>
    <col min="3075" max="3075" width="15.625" style="2894" customWidth="1"/>
    <col min="3076" max="3076" width="9.375" style="2894" bestFit="1" customWidth="1"/>
    <col min="3077" max="3077" width="13.5" style="2894" customWidth="1"/>
    <col min="3078" max="3078" width="9" style="2894"/>
    <col min="3079" max="3079" width="9.375" style="2894" bestFit="1" customWidth="1"/>
    <col min="3080" max="3081" width="9" style="2894"/>
    <col min="3082" max="3082" width="9.375" style="2894" bestFit="1" customWidth="1"/>
    <col min="3083" max="3083" width="4" style="2894" customWidth="1"/>
    <col min="3084" max="3084" width="5.125" style="2894" customWidth="1"/>
    <col min="3085" max="3085" width="13.75" style="2894" customWidth="1"/>
    <col min="3086" max="3328" width="9" style="2894"/>
    <col min="3329" max="3329" width="4.875" style="2894" customWidth="1"/>
    <col min="3330" max="3330" width="13.25" style="2894" customWidth="1"/>
    <col min="3331" max="3331" width="15.625" style="2894" customWidth="1"/>
    <col min="3332" max="3332" width="9.375" style="2894" bestFit="1" customWidth="1"/>
    <col min="3333" max="3333" width="13.5" style="2894" customWidth="1"/>
    <col min="3334" max="3334" width="9" style="2894"/>
    <col min="3335" max="3335" width="9.375" style="2894" bestFit="1" customWidth="1"/>
    <col min="3336" max="3337" width="9" style="2894"/>
    <col min="3338" max="3338" width="9.375" style="2894" bestFit="1" customWidth="1"/>
    <col min="3339" max="3339" width="4" style="2894" customWidth="1"/>
    <col min="3340" max="3340" width="5.125" style="2894" customWidth="1"/>
    <col min="3341" max="3341" width="13.75" style="2894" customWidth="1"/>
    <col min="3342" max="3584" width="9" style="2894"/>
    <col min="3585" max="3585" width="4.875" style="2894" customWidth="1"/>
    <col min="3586" max="3586" width="13.25" style="2894" customWidth="1"/>
    <col min="3587" max="3587" width="15.625" style="2894" customWidth="1"/>
    <col min="3588" max="3588" width="9.375" style="2894" bestFit="1" customWidth="1"/>
    <col min="3589" max="3589" width="13.5" style="2894" customWidth="1"/>
    <col min="3590" max="3590" width="9" style="2894"/>
    <col min="3591" max="3591" width="9.375" style="2894" bestFit="1" customWidth="1"/>
    <col min="3592" max="3593" width="9" style="2894"/>
    <col min="3594" max="3594" width="9.375" style="2894" bestFit="1" customWidth="1"/>
    <col min="3595" max="3595" width="4" style="2894" customWidth="1"/>
    <col min="3596" max="3596" width="5.125" style="2894" customWidth="1"/>
    <col min="3597" max="3597" width="13.75" style="2894" customWidth="1"/>
    <col min="3598" max="3840" width="9" style="2894"/>
    <col min="3841" max="3841" width="4.875" style="2894" customWidth="1"/>
    <col min="3842" max="3842" width="13.25" style="2894" customWidth="1"/>
    <col min="3843" max="3843" width="15.625" style="2894" customWidth="1"/>
    <col min="3844" max="3844" width="9.375" style="2894" bestFit="1" customWidth="1"/>
    <col min="3845" max="3845" width="13.5" style="2894" customWidth="1"/>
    <col min="3846" max="3846" width="9" style="2894"/>
    <col min="3847" max="3847" width="9.375" style="2894" bestFit="1" customWidth="1"/>
    <col min="3848" max="3849" width="9" style="2894"/>
    <col min="3850" max="3850" width="9.375" style="2894" bestFit="1" customWidth="1"/>
    <col min="3851" max="3851" width="4" style="2894" customWidth="1"/>
    <col min="3852" max="3852" width="5.125" style="2894" customWidth="1"/>
    <col min="3853" max="3853" width="13.75" style="2894" customWidth="1"/>
    <col min="3854" max="4096" width="9" style="2894"/>
    <col min="4097" max="4097" width="4.875" style="2894" customWidth="1"/>
    <col min="4098" max="4098" width="13.25" style="2894" customWidth="1"/>
    <col min="4099" max="4099" width="15.625" style="2894" customWidth="1"/>
    <col min="4100" max="4100" width="9.375" style="2894" bestFit="1" customWidth="1"/>
    <col min="4101" max="4101" width="13.5" style="2894" customWidth="1"/>
    <col min="4102" max="4102" width="9" style="2894"/>
    <col min="4103" max="4103" width="9.375" style="2894" bestFit="1" customWidth="1"/>
    <col min="4104" max="4105" width="9" style="2894"/>
    <col min="4106" max="4106" width="9.375" style="2894" bestFit="1" customWidth="1"/>
    <col min="4107" max="4107" width="4" style="2894" customWidth="1"/>
    <col min="4108" max="4108" width="5.125" style="2894" customWidth="1"/>
    <col min="4109" max="4109" width="13.75" style="2894" customWidth="1"/>
    <col min="4110" max="4352" width="9" style="2894"/>
    <col min="4353" max="4353" width="4.875" style="2894" customWidth="1"/>
    <col min="4354" max="4354" width="13.25" style="2894" customWidth="1"/>
    <col min="4355" max="4355" width="15.625" style="2894" customWidth="1"/>
    <col min="4356" max="4356" width="9.375" style="2894" bestFit="1" customWidth="1"/>
    <col min="4357" max="4357" width="13.5" style="2894" customWidth="1"/>
    <col min="4358" max="4358" width="9" style="2894"/>
    <col min="4359" max="4359" width="9.375" style="2894" bestFit="1" customWidth="1"/>
    <col min="4360" max="4361" width="9" style="2894"/>
    <col min="4362" max="4362" width="9.375" style="2894" bestFit="1" customWidth="1"/>
    <col min="4363" max="4363" width="4" style="2894" customWidth="1"/>
    <col min="4364" max="4364" width="5.125" style="2894" customWidth="1"/>
    <col min="4365" max="4365" width="13.75" style="2894" customWidth="1"/>
    <col min="4366" max="4608" width="9" style="2894"/>
    <col min="4609" max="4609" width="4.875" style="2894" customWidth="1"/>
    <col min="4610" max="4610" width="13.25" style="2894" customWidth="1"/>
    <col min="4611" max="4611" width="15.625" style="2894" customWidth="1"/>
    <col min="4612" max="4612" width="9.375" style="2894" bestFit="1" customWidth="1"/>
    <col min="4613" max="4613" width="13.5" style="2894" customWidth="1"/>
    <col min="4614" max="4614" width="9" style="2894"/>
    <col min="4615" max="4615" width="9.375" style="2894" bestFit="1" customWidth="1"/>
    <col min="4616" max="4617" width="9" style="2894"/>
    <col min="4618" max="4618" width="9.375" style="2894" bestFit="1" customWidth="1"/>
    <col min="4619" max="4619" width="4" style="2894" customWidth="1"/>
    <col min="4620" max="4620" width="5.125" style="2894" customWidth="1"/>
    <col min="4621" max="4621" width="13.75" style="2894" customWidth="1"/>
    <col min="4622" max="4864" width="9" style="2894"/>
    <col min="4865" max="4865" width="4.875" style="2894" customWidth="1"/>
    <col min="4866" max="4866" width="13.25" style="2894" customWidth="1"/>
    <col min="4867" max="4867" width="15.625" style="2894" customWidth="1"/>
    <col min="4868" max="4868" width="9.375" style="2894" bestFit="1" customWidth="1"/>
    <col min="4869" max="4869" width="13.5" style="2894" customWidth="1"/>
    <col min="4870" max="4870" width="9" style="2894"/>
    <col min="4871" max="4871" width="9.375" style="2894" bestFit="1" customWidth="1"/>
    <col min="4872" max="4873" width="9" style="2894"/>
    <col min="4874" max="4874" width="9.375" style="2894" bestFit="1" customWidth="1"/>
    <col min="4875" max="4875" width="4" style="2894" customWidth="1"/>
    <col min="4876" max="4876" width="5.125" style="2894" customWidth="1"/>
    <col min="4877" max="4877" width="13.75" style="2894" customWidth="1"/>
    <col min="4878" max="5120" width="9" style="2894"/>
    <col min="5121" max="5121" width="4.875" style="2894" customWidth="1"/>
    <col min="5122" max="5122" width="13.25" style="2894" customWidth="1"/>
    <col min="5123" max="5123" width="15.625" style="2894" customWidth="1"/>
    <col min="5124" max="5124" width="9.375" style="2894" bestFit="1" customWidth="1"/>
    <col min="5125" max="5125" width="13.5" style="2894" customWidth="1"/>
    <col min="5126" max="5126" width="9" style="2894"/>
    <col min="5127" max="5127" width="9.375" style="2894" bestFit="1" customWidth="1"/>
    <col min="5128" max="5129" width="9" style="2894"/>
    <col min="5130" max="5130" width="9.375" style="2894" bestFit="1" customWidth="1"/>
    <col min="5131" max="5131" width="4" style="2894" customWidth="1"/>
    <col min="5132" max="5132" width="5.125" style="2894" customWidth="1"/>
    <col min="5133" max="5133" width="13.75" style="2894" customWidth="1"/>
    <col min="5134" max="5376" width="9" style="2894"/>
    <col min="5377" max="5377" width="4.875" style="2894" customWidth="1"/>
    <col min="5378" max="5378" width="13.25" style="2894" customWidth="1"/>
    <col min="5379" max="5379" width="15.625" style="2894" customWidth="1"/>
    <col min="5380" max="5380" width="9.375" style="2894" bestFit="1" customWidth="1"/>
    <col min="5381" max="5381" width="13.5" style="2894" customWidth="1"/>
    <col min="5382" max="5382" width="9" style="2894"/>
    <col min="5383" max="5383" width="9.375" style="2894" bestFit="1" customWidth="1"/>
    <col min="5384" max="5385" width="9" style="2894"/>
    <col min="5386" max="5386" width="9.375" style="2894" bestFit="1" customWidth="1"/>
    <col min="5387" max="5387" width="4" style="2894" customWidth="1"/>
    <col min="5388" max="5388" width="5.125" style="2894" customWidth="1"/>
    <col min="5389" max="5389" width="13.75" style="2894" customWidth="1"/>
    <col min="5390" max="5632" width="9" style="2894"/>
    <col min="5633" max="5633" width="4.875" style="2894" customWidth="1"/>
    <col min="5634" max="5634" width="13.25" style="2894" customWidth="1"/>
    <col min="5635" max="5635" width="15.625" style="2894" customWidth="1"/>
    <col min="5636" max="5636" width="9.375" style="2894" bestFit="1" customWidth="1"/>
    <col min="5637" max="5637" width="13.5" style="2894" customWidth="1"/>
    <col min="5638" max="5638" width="9" style="2894"/>
    <col min="5639" max="5639" width="9.375" style="2894" bestFit="1" customWidth="1"/>
    <col min="5640" max="5641" width="9" style="2894"/>
    <col min="5642" max="5642" width="9.375" style="2894" bestFit="1" customWidth="1"/>
    <col min="5643" max="5643" width="4" style="2894" customWidth="1"/>
    <col min="5644" max="5644" width="5.125" style="2894" customWidth="1"/>
    <col min="5645" max="5645" width="13.75" style="2894" customWidth="1"/>
    <col min="5646" max="5888" width="9" style="2894"/>
    <col min="5889" max="5889" width="4.875" style="2894" customWidth="1"/>
    <col min="5890" max="5890" width="13.25" style="2894" customWidth="1"/>
    <col min="5891" max="5891" width="15.625" style="2894" customWidth="1"/>
    <col min="5892" max="5892" width="9.375" style="2894" bestFit="1" customWidth="1"/>
    <col min="5893" max="5893" width="13.5" style="2894" customWidth="1"/>
    <col min="5894" max="5894" width="9" style="2894"/>
    <col min="5895" max="5895" width="9.375" style="2894" bestFit="1" customWidth="1"/>
    <col min="5896" max="5897" width="9" style="2894"/>
    <col min="5898" max="5898" width="9.375" style="2894" bestFit="1" customWidth="1"/>
    <col min="5899" max="5899" width="4" style="2894" customWidth="1"/>
    <col min="5900" max="5900" width="5.125" style="2894" customWidth="1"/>
    <col min="5901" max="5901" width="13.75" style="2894" customWidth="1"/>
    <col min="5902" max="6144" width="9" style="2894"/>
    <col min="6145" max="6145" width="4.875" style="2894" customWidth="1"/>
    <col min="6146" max="6146" width="13.25" style="2894" customWidth="1"/>
    <col min="6147" max="6147" width="15.625" style="2894" customWidth="1"/>
    <col min="6148" max="6148" width="9.375" style="2894" bestFit="1" customWidth="1"/>
    <col min="6149" max="6149" width="13.5" style="2894" customWidth="1"/>
    <col min="6150" max="6150" width="9" style="2894"/>
    <col min="6151" max="6151" width="9.375" style="2894" bestFit="1" customWidth="1"/>
    <col min="6152" max="6153" width="9" style="2894"/>
    <col min="6154" max="6154" width="9.375" style="2894" bestFit="1" customWidth="1"/>
    <col min="6155" max="6155" width="4" style="2894" customWidth="1"/>
    <col min="6156" max="6156" width="5.125" style="2894" customWidth="1"/>
    <col min="6157" max="6157" width="13.75" style="2894" customWidth="1"/>
    <col min="6158" max="6400" width="9" style="2894"/>
    <col min="6401" max="6401" width="4.875" style="2894" customWidth="1"/>
    <col min="6402" max="6402" width="13.25" style="2894" customWidth="1"/>
    <col min="6403" max="6403" width="15.625" style="2894" customWidth="1"/>
    <col min="6404" max="6404" width="9.375" style="2894" bestFit="1" customWidth="1"/>
    <col min="6405" max="6405" width="13.5" style="2894" customWidth="1"/>
    <col min="6406" max="6406" width="9" style="2894"/>
    <col min="6407" max="6407" width="9.375" style="2894" bestFit="1" customWidth="1"/>
    <col min="6408" max="6409" width="9" style="2894"/>
    <col min="6410" max="6410" width="9.375" style="2894" bestFit="1" customWidth="1"/>
    <col min="6411" max="6411" width="4" style="2894" customWidth="1"/>
    <col min="6412" max="6412" width="5.125" style="2894" customWidth="1"/>
    <col min="6413" max="6413" width="13.75" style="2894" customWidth="1"/>
    <col min="6414" max="6656" width="9" style="2894"/>
    <col min="6657" max="6657" width="4.875" style="2894" customWidth="1"/>
    <col min="6658" max="6658" width="13.25" style="2894" customWidth="1"/>
    <col min="6659" max="6659" width="15.625" style="2894" customWidth="1"/>
    <col min="6660" max="6660" width="9.375" style="2894" bestFit="1" customWidth="1"/>
    <col min="6661" max="6661" width="13.5" style="2894" customWidth="1"/>
    <col min="6662" max="6662" width="9" style="2894"/>
    <col min="6663" max="6663" width="9.375" style="2894" bestFit="1" customWidth="1"/>
    <col min="6664" max="6665" width="9" style="2894"/>
    <col min="6666" max="6666" width="9.375" style="2894" bestFit="1" customWidth="1"/>
    <col min="6667" max="6667" width="4" style="2894" customWidth="1"/>
    <col min="6668" max="6668" width="5.125" style="2894" customWidth="1"/>
    <col min="6669" max="6669" width="13.75" style="2894" customWidth="1"/>
    <col min="6670" max="6912" width="9" style="2894"/>
    <col min="6913" max="6913" width="4.875" style="2894" customWidth="1"/>
    <col min="6914" max="6914" width="13.25" style="2894" customWidth="1"/>
    <col min="6915" max="6915" width="15.625" style="2894" customWidth="1"/>
    <col min="6916" max="6916" width="9.375" style="2894" bestFit="1" customWidth="1"/>
    <col min="6917" max="6917" width="13.5" style="2894" customWidth="1"/>
    <col min="6918" max="6918" width="9" style="2894"/>
    <col min="6919" max="6919" width="9.375" style="2894" bestFit="1" customWidth="1"/>
    <col min="6920" max="6921" width="9" style="2894"/>
    <col min="6922" max="6922" width="9.375" style="2894" bestFit="1" customWidth="1"/>
    <col min="6923" max="6923" width="4" style="2894" customWidth="1"/>
    <col min="6924" max="6924" width="5.125" style="2894" customWidth="1"/>
    <col min="6925" max="6925" width="13.75" style="2894" customWidth="1"/>
    <col min="6926" max="7168" width="9" style="2894"/>
    <col min="7169" max="7169" width="4.875" style="2894" customWidth="1"/>
    <col min="7170" max="7170" width="13.25" style="2894" customWidth="1"/>
    <col min="7171" max="7171" width="15.625" style="2894" customWidth="1"/>
    <col min="7172" max="7172" width="9.375" style="2894" bestFit="1" customWidth="1"/>
    <col min="7173" max="7173" width="13.5" style="2894" customWidth="1"/>
    <col min="7174" max="7174" width="9" style="2894"/>
    <col min="7175" max="7175" width="9.375" style="2894" bestFit="1" customWidth="1"/>
    <col min="7176" max="7177" width="9" style="2894"/>
    <col min="7178" max="7178" width="9.375" style="2894" bestFit="1" customWidth="1"/>
    <col min="7179" max="7179" width="4" style="2894" customWidth="1"/>
    <col min="7180" max="7180" width="5.125" style="2894" customWidth="1"/>
    <col min="7181" max="7181" width="13.75" style="2894" customWidth="1"/>
    <col min="7182" max="7424" width="9" style="2894"/>
    <col min="7425" max="7425" width="4.875" style="2894" customWidth="1"/>
    <col min="7426" max="7426" width="13.25" style="2894" customWidth="1"/>
    <col min="7427" max="7427" width="15.625" style="2894" customWidth="1"/>
    <col min="7428" max="7428" width="9.375" style="2894" bestFit="1" customWidth="1"/>
    <col min="7429" max="7429" width="13.5" style="2894" customWidth="1"/>
    <col min="7430" max="7430" width="9" style="2894"/>
    <col min="7431" max="7431" width="9.375" style="2894" bestFit="1" customWidth="1"/>
    <col min="7432" max="7433" width="9" style="2894"/>
    <col min="7434" max="7434" width="9.375" style="2894" bestFit="1" customWidth="1"/>
    <col min="7435" max="7435" width="4" style="2894" customWidth="1"/>
    <col min="7436" max="7436" width="5.125" style="2894" customWidth="1"/>
    <col min="7437" max="7437" width="13.75" style="2894" customWidth="1"/>
    <col min="7438" max="7680" width="9" style="2894"/>
    <col min="7681" max="7681" width="4.875" style="2894" customWidth="1"/>
    <col min="7682" max="7682" width="13.25" style="2894" customWidth="1"/>
    <col min="7683" max="7683" width="15.625" style="2894" customWidth="1"/>
    <col min="7684" max="7684" width="9.375" style="2894" bestFit="1" customWidth="1"/>
    <col min="7685" max="7685" width="13.5" style="2894" customWidth="1"/>
    <col min="7686" max="7686" width="9" style="2894"/>
    <col min="7687" max="7687" width="9.375" style="2894" bestFit="1" customWidth="1"/>
    <col min="7688" max="7689" width="9" style="2894"/>
    <col min="7690" max="7690" width="9.375" style="2894" bestFit="1" customWidth="1"/>
    <col min="7691" max="7691" width="4" style="2894" customWidth="1"/>
    <col min="7692" max="7692" width="5.125" style="2894" customWidth="1"/>
    <col min="7693" max="7693" width="13.75" style="2894" customWidth="1"/>
    <col min="7694" max="7936" width="9" style="2894"/>
    <col min="7937" max="7937" width="4.875" style="2894" customWidth="1"/>
    <col min="7938" max="7938" width="13.25" style="2894" customWidth="1"/>
    <col min="7939" max="7939" width="15.625" style="2894" customWidth="1"/>
    <col min="7940" max="7940" width="9.375" style="2894" bestFit="1" customWidth="1"/>
    <col min="7941" max="7941" width="13.5" style="2894" customWidth="1"/>
    <col min="7942" max="7942" width="9" style="2894"/>
    <col min="7943" max="7943" width="9.375" style="2894" bestFit="1" customWidth="1"/>
    <col min="7944" max="7945" width="9" style="2894"/>
    <col min="7946" max="7946" width="9.375" style="2894" bestFit="1" customWidth="1"/>
    <col min="7947" max="7947" width="4" style="2894" customWidth="1"/>
    <col min="7948" max="7948" width="5.125" style="2894" customWidth="1"/>
    <col min="7949" max="7949" width="13.75" style="2894" customWidth="1"/>
    <col min="7950" max="8192" width="9" style="2894"/>
    <col min="8193" max="8193" width="4.875" style="2894" customWidth="1"/>
    <col min="8194" max="8194" width="13.25" style="2894" customWidth="1"/>
    <col min="8195" max="8195" width="15.625" style="2894" customWidth="1"/>
    <col min="8196" max="8196" width="9.375" style="2894" bestFit="1" customWidth="1"/>
    <col min="8197" max="8197" width="13.5" style="2894" customWidth="1"/>
    <col min="8198" max="8198" width="9" style="2894"/>
    <col min="8199" max="8199" width="9.375" style="2894" bestFit="1" customWidth="1"/>
    <col min="8200" max="8201" width="9" style="2894"/>
    <col min="8202" max="8202" width="9.375" style="2894" bestFit="1" customWidth="1"/>
    <col min="8203" max="8203" width="4" style="2894" customWidth="1"/>
    <col min="8204" max="8204" width="5.125" style="2894" customWidth="1"/>
    <col min="8205" max="8205" width="13.75" style="2894" customWidth="1"/>
    <col min="8206" max="8448" width="9" style="2894"/>
    <col min="8449" max="8449" width="4.875" style="2894" customWidth="1"/>
    <col min="8450" max="8450" width="13.25" style="2894" customWidth="1"/>
    <col min="8451" max="8451" width="15.625" style="2894" customWidth="1"/>
    <col min="8452" max="8452" width="9.375" style="2894" bestFit="1" customWidth="1"/>
    <col min="8453" max="8453" width="13.5" style="2894" customWidth="1"/>
    <col min="8454" max="8454" width="9" style="2894"/>
    <col min="8455" max="8455" width="9.375" style="2894" bestFit="1" customWidth="1"/>
    <col min="8456" max="8457" width="9" style="2894"/>
    <col min="8458" max="8458" width="9.375" style="2894" bestFit="1" customWidth="1"/>
    <col min="8459" max="8459" width="4" style="2894" customWidth="1"/>
    <col min="8460" max="8460" width="5.125" style="2894" customWidth="1"/>
    <col min="8461" max="8461" width="13.75" style="2894" customWidth="1"/>
    <col min="8462" max="8704" width="9" style="2894"/>
    <col min="8705" max="8705" width="4.875" style="2894" customWidth="1"/>
    <col min="8706" max="8706" width="13.25" style="2894" customWidth="1"/>
    <col min="8707" max="8707" width="15.625" style="2894" customWidth="1"/>
    <col min="8708" max="8708" width="9.375" style="2894" bestFit="1" customWidth="1"/>
    <col min="8709" max="8709" width="13.5" style="2894" customWidth="1"/>
    <col min="8710" max="8710" width="9" style="2894"/>
    <col min="8711" max="8711" width="9.375" style="2894" bestFit="1" customWidth="1"/>
    <col min="8712" max="8713" width="9" style="2894"/>
    <col min="8714" max="8714" width="9.375" style="2894" bestFit="1" customWidth="1"/>
    <col min="8715" max="8715" width="4" style="2894" customWidth="1"/>
    <col min="8716" max="8716" width="5.125" style="2894" customWidth="1"/>
    <col min="8717" max="8717" width="13.75" style="2894" customWidth="1"/>
    <col min="8718" max="8960" width="9" style="2894"/>
    <col min="8961" max="8961" width="4.875" style="2894" customWidth="1"/>
    <col min="8962" max="8962" width="13.25" style="2894" customWidth="1"/>
    <col min="8963" max="8963" width="15.625" style="2894" customWidth="1"/>
    <col min="8964" max="8964" width="9.375" style="2894" bestFit="1" customWidth="1"/>
    <col min="8965" max="8965" width="13.5" style="2894" customWidth="1"/>
    <col min="8966" max="8966" width="9" style="2894"/>
    <col min="8967" max="8967" width="9.375" style="2894" bestFit="1" customWidth="1"/>
    <col min="8968" max="8969" width="9" style="2894"/>
    <col min="8970" max="8970" width="9.375" style="2894" bestFit="1" customWidth="1"/>
    <col min="8971" max="8971" width="4" style="2894" customWidth="1"/>
    <col min="8972" max="8972" width="5.125" style="2894" customWidth="1"/>
    <col min="8973" max="8973" width="13.75" style="2894" customWidth="1"/>
    <col min="8974" max="9216" width="9" style="2894"/>
    <col min="9217" max="9217" width="4.875" style="2894" customWidth="1"/>
    <col min="9218" max="9218" width="13.25" style="2894" customWidth="1"/>
    <col min="9219" max="9219" width="15.625" style="2894" customWidth="1"/>
    <col min="9220" max="9220" width="9.375" style="2894" bestFit="1" customWidth="1"/>
    <col min="9221" max="9221" width="13.5" style="2894" customWidth="1"/>
    <col min="9222" max="9222" width="9" style="2894"/>
    <col min="9223" max="9223" width="9.375" style="2894" bestFit="1" customWidth="1"/>
    <col min="9224" max="9225" width="9" style="2894"/>
    <col min="9226" max="9226" width="9.375" style="2894" bestFit="1" customWidth="1"/>
    <col min="9227" max="9227" width="4" style="2894" customWidth="1"/>
    <col min="9228" max="9228" width="5.125" style="2894" customWidth="1"/>
    <col min="9229" max="9229" width="13.75" style="2894" customWidth="1"/>
    <col min="9230" max="9472" width="9" style="2894"/>
    <col min="9473" max="9473" width="4.875" style="2894" customWidth="1"/>
    <col min="9474" max="9474" width="13.25" style="2894" customWidth="1"/>
    <col min="9475" max="9475" width="15.625" style="2894" customWidth="1"/>
    <col min="9476" max="9476" width="9.375" style="2894" bestFit="1" customWidth="1"/>
    <col min="9477" max="9477" width="13.5" style="2894" customWidth="1"/>
    <col min="9478" max="9478" width="9" style="2894"/>
    <col min="9479" max="9479" width="9.375" style="2894" bestFit="1" customWidth="1"/>
    <col min="9480" max="9481" width="9" style="2894"/>
    <col min="9482" max="9482" width="9.375" style="2894" bestFit="1" customWidth="1"/>
    <col min="9483" max="9483" width="4" style="2894" customWidth="1"/>
    <col min="9484" max="9484" width="5.125" style="2894" customWidth="1"/>
    <col min="9485" max="9485" width="13.75" style="2894" customWidth="1"/>
    <col min="9486" max="9728" width="9" style="2894"/>
    <col min="9729" max="9729" width="4.875" style="2894" customWidth="1"/>
    <col min="9730" max="9730" width="13.25" style="2894" customWidth="1"/>
    <col min="9731" max="9731" width="15.625" style="2894" customWidth="1"/>
    <col min="9732" max="9732" width="9.375" style="2894" bestFit="1" customWidth="1"/>
    <col min="9733" max="9733" width="13.5" style="2894" customWidth="1"/>
    <col min="9734" max="9734" width="9" style="2894"/>
    <col min="9735" max="9735" width="9.375" style="2894" bestFit="1" customWidth="1"/>
    <col min="9736" max="9737" width="9" style="2894"/>
    <col min="9738" max="9738" width="9.375" style="2894" bestFit="1" customWidth="1"/>
    <col min="9739" max="9739" width="4" style="2894" customWidth="1"/>
    <col min="9740" max="9740" width="5.125" style="2894" customWidth="1"/>
    <col min="9741" max="9741" width="13.75" style="2894" customWidth="1"/>
    <col min="9742" max="9984" width="9" style="2894"/>
    <col min="9985" max="9985" width="4.875" style="2894" customWidth="1"/>
    <col min="9986" max="9986" width="13.25" style="2894" customWidth="1"/>
    <col min="9987" max="9987" width="15.625" style="2894" customWidth="1"/>
    <col min="9988" max="9988" width="9.375" style="2894" bestFit="1" customWidth="1"/>
    <col min="9989" max="9989" width="13.5" style="2894" customWidth="1"/>
    <col min="9990" max="9990" width="9" style="2894"/>
    <col min="9991" max="9991" width="9.375" style="2894" bestFit="1" customWidth="1"/>
    <col min="9992" max="9993" width="9" style="2894"/>
    <col min="9994" max="9994" width="9.375" style="2894" bestFit="1" customWidth="1"/>
    <col min="9995" max="9995" width="4" style="2894" customWidth="1"/>
    <col min="9996" max="9996" width="5.125" style="2894" customWidth="1"/>
    <col min="9997" max="9997" width="13.75" style="2894" customWidth="1"/>
    <col min="9998" max="10240" width="9" style="2894"/>
    <col min="10241" max="10241" width="4.875" style="2894" customWidth="1"/>
    <col min="10242" max="10242" width="13.25" style="2894" customWidth="1"/>
    <col min="10243" max="10243" width="15.625" style="2894" customWidth="1"/>
    <col min="10244" max="10244" width="9.375" style="2894" bestFit="1" customWidth="1"/>
    <col min="10245" max="10245" width="13.5" style="2894" customWidth="1"/>
    <col min="10246" max="10246" width="9" style="2894"/>
    <col min="10247" max="10247" width="9.375" style="2894" bestFit="1" customWidth="1"/>
    <col min="10248" max="10249" width="9" style="2894"/>
    <col min="10250" max="10250" width="9.375" style="2894" bestFit="1" customWidth="1"/>
    <col min="10251" max="10251" width="4" style="2894" customWidth="1"/>
    <col min="10252" max="10252" width="5.125" style="2894" customWidth="1"/>
    <col min="10253" max="10253" width="13.75" style="2894" customWidth="1"/>
    <col min="10254" max="10496" width="9" style="2894"/>
    <col min="10497" max="10497" width="4.875" style="2894" customWidth="1"/>
    <col min="10498" max="10498" width="13.25" style="2894" customWidth="1"/>
    <col min="10499" max="10499" width="15.625" style="2894" customWidth="1"/>
    <col min="10500" max="10500" width="9.375" style="2894" bestFit="1" customWidth="1"/>
    <col min="10501" max="10501" width="13.5" style="2894" customWidth="1"/>
    <col min="10502" max="10502" width="9" style="2894"/>
    <col min="10503" max="10503" width="9.375" style="2894" bestFit="1" customWidth="1"/>
    <col min="10504" max="10505" width="9" style="2894"/>
    <col min="10506" max="10506" width="9.375" style="2894" bestFit="1" customWidth="1"/>
    <col min="10507" max="10507" width="4" style="2894" customWidth="1"/>
    <col min="10508" max="10508" width="5.125" style="2894" customWidth="1"/>
    <col min="10509" max="10509" width="13.75" style="2894" customWidth="1"/>
    <col min="10510" max="10752" width="9" style="2894"/>
    <col min="10753" max="10753" width="4.875" style="2894" customWidth="1"/>
    <col min="10754" max="10754" width="13.25" style="2894" customWidth="1"/>
    <col min="10755" max="10755" width="15.625" style="2894" customWidth="1"/>
    <col min="10756" max="10756" width="9.375" style="2894" bestFit="1" customWidth="1"/>
    <col min="10757" max="10757" width="13.5" style="2894" customWidth="1"/>
    <col min="10758" max="10758" width="9" style="2894"/>
    <col min="10759" max="10759" width="9.375" style="2894" bestFit="1" customWidth="1"/>
    <col min="10760" max="10761" width="9" style="2894"/>
    <col min="10762" max="10762" width="9.375" style="2894" bestFit="1" customWidth="1"/>
    <col min="10763" max="10763" width="4" style="2894" customWidth="1"/>
    <col min="10764" max="10764" width="5.125" style="2894" customWidth="1"/>
    <col min="10765" max="10765" width="13.75" style="2894" customWidth="1"/>
    <col min="10766" max="11008" width="9" style="2894"/>
    <col min="11009" max="11009" width="4.875" style="2894" customWidth="1"/>
    <col min="11010" max="11010" width="13.25" style="2894" customWidth="1"/>
    <col min="11011" max="11011" width="15.625" style="2894" customWidth="1"/>
    <col min="11012" max="11012" width="9.375" style="2894" bestFit="1" customWidth="1"/>
    <col min="11013" max="11013" width="13.5" style="2894" customWidth="1"/>
    <col min="11014" max="11014" width="9" style="2894"/>
    <col min="11015" max="11015" width="9.375" style="2894" bestFit="1" customWidth="1"/>
    <col min="11016" max="11017" width="9" style="2894"/>
    <col min="11018" max="11018" width="9.375" style="2894" bestFit="1" customWidth="1"/>
    <col min="11019" max="11019" width="4" style="2894" customWidth="1"/>
    <col min="11020" max="11020" width="5.125" style="2894" customWidth="1"/>
    <col min="11021" max="11021" width="13.75" style="2894" customWidth="1"/>
    <col min="11022" max="11264" width="9" style="2894"/>
    <col min="11265" max="11265" width="4.875" style="2894" customWidth="1"/>
    <col min="11266" max="11266" width="13.25" style="2894" customWidth="1"/>
    <col min="11267" max="11267" width="15.625" style="2894" customWidth="1"/>
    <col min="11268" max="11268" width="9.375" style="2894" bestFit="1" customWidth="1"/>
    <col min="11269" max="11269" width="13.5" style="2894" customWidth="1"/>
    <col min="11270" max="11270" width="9" style="2894"/>
    <col min="11271" max="11271" width="9.375" style="2894" bestFit="1" customWidth="1"/>
    <col min="11272" max="11273" width="9" style="2894"/>
    <col min="11274" max="11274" width="9.375" style="2894" bestFit="1" customWidth="1"/>
    <col min="11275" max="11275" width="4" style="2894" customWidth="1"/>
    <col min="11276" max="11276" width="5.125" style="2894" customWidth="1"/>
    <col min="11277" max="11277" width="13.75" style="2894" customWidth="1"/>
    <col min="11278" max="11520" width="9" style="2894"/>
    <col min="11521" max="11521" width="4.875" style="2894" customWidth="1"/>
    <col min="11522" max="11522" width="13.25" style="2894" customWidth="1"/>
    <col min="11523" max="11523" width="15.625" style="2894" customWidth="1"/>
    <col min="11524" max="11524" width="9.375" style="2894" bestFit="1" customWidth="1"/>
    <col min="11525" max="11525" width="13.5" style="2894" customWidth="1"/>
    <col min="11526" max="11526" width="9" style="2894"/>
    <col min="11527" max="11527" width="9.375" style="2894" bestFit="1" customWidth="1"/>
    <col min="11528" max="11529" width="9" style="2894"/>
    <col min="11530" max="11530" width="9.375" style="2894" bestFit="1" customWidth="1"/>
    <col min="11531" max="11531" width="4" style="2894" customWidth="1"/>
    <col min="11532" max="11532" width="5.125" style="2894" customWidth="1"/>
    <col min="11533" max="11533" width="13.75" style="2894" customWidth="1"/>
    <col min="11534" max="11776" width="9" style="2894"/>
    <col min="11777" max="11777" width="4.875" style="2894" customWidth="1"/>
    <col min="11778" max="11778" width="13.25" style="2894" customWidth="1"/>
    <col min="11779" max="11779" width="15.625" style="2894" customWidth="1"/>
    <col min="11780" max="11780" width="9.375" style="2894" bestFit="1" customWidth="1"/>
    <col min="11781" max="11781" width="13.5" style="2894" customWidth="1"/>
    <col min="11782" max="11782" width="9" style="2894"/>
    <col min="11783" max="11783" width="9.375" style="2894" bestFit="1" customWidth="1"/>
    <col min="11784" max="11785" width="9" style="2894"/>
    <col min="11786" max="11786" width="9.375" style="2894" bestFit="1" customWidth="1"/>
    <col min="11787" max="11787" width="4" style="2894" customWidth="1"/>
    <col min="11788" max="11788" width="5.125" style="2894" customWidth="1"/>
    <col min="11789" max="11789" width="13.75" style="2894" customWidth="1"/>
    <col min="11790" max="12032" width="9" style="2894"/>
    <col min="12033" max="12033" width="4.875" style="2894" customWidth="1"/>
    <col min="12034" max="12034" width="13.25" style="2894" customWidth="1"/>
    <col min="12035" max="12035" width="15.625" style="2894" customWidth="1"/>
    <col min="12036" max="12036" width="9.375" style="2894" bestFit="1" customWidth="1"/>
    <col min="12037" max="12037" width="13.5" style="2894" customWidth="1"/>
    <col min="12038" max="12038" width="9" style="2894"/>
    <col min="12039" max="12039" width="9.375" style="2894" bestFit="1" customWidth="1"/>
    <col min="12040" max="12041" width="9" style="2894"/>
    <col min="12042" max="12042" width="9.375" style="2894" bestFit="1" customWidth="1"/>
    <col min="12043" max="12043" width="4" style="2894" customWidth="1"/>
    <col min="12044" max="12044" width="5.125" style="2894" customWidth="1"/>
    <col min="12045" max="12045" width="13.75" style="2894" customWidth="1"/>
    <col min="12046" max="12288" width="9" style="2894"/>
    <col min="12289" max="12289" width="4.875" style="2894" customWidth="1"/>
    <col min="12290" max="12290" width="13.25" style="2894" customWidth="1"/>
    <col min="12291" max="12291" width="15.625" style="2894" customWidth="1"/>
    <col min="12292" max="12292" width="9.375" style="2894" bestFit="1" customWidth="1"/>
    <col min="12293" max="12293" width="13.5" style="2894" customWidth="1"/>
    <col min="12294" max="12294" width="9" style="2894"/>
    <col min="12295" max="12295" width="9.375" style="2894" bestFit="1" customWidth="1"/>
    <col min="12296" max="12297" width="9" style="2894"/>
    <col min="12298" max="12298" width="9.375" style="2894" bestFit="1" customWidth="1"/>
    <col min="12299" max="12299" width="4" style="2894" customWidth="1"/>
    <col min="12300" max="12300" width="5.125" style="2894" customWidth="1"/>
    <col min="12301" max="12301" width="13.75" style="2894" customWidth="1"/>
    <col min="12302" max="12544" width="9" style="2894"/>
    <col min="12545" max="12545" width="4.875" style="2894" customWidth="1"/>
    <col min="12546" max="12546" width="13.25" style="2894" customWidth="1"/>
    <col min="12547" max="12547" width="15.625" style="2894" customWidth="1"/>
    <col min="12548" max="12548" width="9.375" style="2894" bestFit="1" customWidth="1"/>
    <col min="12549" max="12549" width="13.5" style="2894" customWidth="1"/>
    <col min="12550" max="12550" width="9" style="2894"/>
    <col min="12551" max="12551" width="9.375" style="2894" bestFit="1" customWidth="1"/>
    <col min="12552" max="12553" width="9" style="2894"/>
    <col min="12554" max="12554" width="9.375" style="2894" bestFit="1" customWidth="1"/>
    <col min="12555" max="12555" width="4" style="2894" customWidth="1"/>
    <col min="12556" max="12556" width="5.125" style="2894" customWidth="1"/>
    <col min="12557" max="12557" width="13.75" style="2894" customWidth="1"/>
    <col min="12558" max="12800" width="9" style="2894"/>
    <col min="12801" max="12801" width="4.875" style="2894" customWidth="1"/>
    <col min="12802" max="12802" width="13.25" style="2894" customWidth="1"/>
    <col min="12803" max="12803" width="15.625" style="2894" customWidth="1"/>
    <col min="12804" max="12804" width="9.375" style="2894" bestFit="1" customWidth="1"/>
    <col min="12805" max="12805" width="13.5" style="2894" customWidth="1"/>
    <col min="12806" max="12806" width="9" style="2894"/>
    <col min="12807" max="12807" width="9.375" style="2894" bestFit="1" customWidth="1"/>
    <col min="12808" max="12809" width="9" style="2894"/>
    <col min="12810" max="12810" width="9.375" style="2894" bestFit="1" customWidth="1"/>
    <col min="12811" max="12811" width="4" style="2894" customWidth="1"/>
    <col min="12812" max="12812" width="5.125" style="2894" customWidth="1"/>
    <col min="12813" max="12813" width="13.75" style="2894" customWidth="1"/>
    <col min="12814" max="13056" width="9" style="2894"/>
    <col min="13057" max="13057" width="4.875" style="2894" customWidth="1"/>
    <col min="13058" max="13058" width="13.25" style="2894" customWidth="1"/>
    <col min="13059" max="13059" width="15.625" style="2894" customWidth="1"/>
    <col min="13060" max="13060" width="9.375" style="2894" bestFit="1" customWidth="1"/>
    <col min="13061" max="13061" width="13.5" style="2894" customWidth="1"/>
    <col min="13062" max="13062" width="9" style="2894"/>
    <col min="13063" max="13063" width="9.375" style="2894" bestFit="1" customWidth="1"/>
    <col min="13064" max="13065" width="9" style="2894"/>
    <col min="13066" max="13066" width="9.375" style="2894" bestFit="1" customWidth="1"/>
    <col min="13067" max="13067" width="4" style="2894" customWidth="1"/>
    <col min="13068" max="13068" width="5.125" style="2894" customWidth="1"/>
    <col min="13069" max="13069" width="13.75" style="2894" customWidth="1"/>
    <col min="13070" max="13312" width="9" style="2894"/>
    <col min="13313" max="13313" width="4.875" style="2894" customWidth="1"/>
    <col min="13314" max="13314" width="13.25" style="2894" customWidth="1"/>
    <col min="13315" max="13315" width="15.625" style="2894" customWidth="1"/>
    <col min="13316" max="13316" width="9.375" style="2894" bestFit="1" customWidth="1"/>
    <col min="13317" max="13317" width="13.5" style="2894" customWidth="1"/>
    <col min="13318" max="13318" width="9" style="2894"/>
    <col min="13319" max="13319" width="9.375" style="2894" bestFit="1" customWidth="1"/>
    <col min="13320" max="13321" width="9" style="2894"/>
    <col min="13322" max="13322" width="9.375" style="2894" bestFit="1" customWidth="1"/>
    <col min="13323" max="13323" width="4" style="2894" customWidth="1"/>
    <col min="13324" max="13324" width="5.125" style="2894" customWidth="1"/>
    <col min="13325" max="13325" width="13.75" style="2894" customWidth="1"/>
    <col min="13326" max="13568" width="9" style="2894"/>
    <col min="13569" max="13569" width="4.875" style="2894" customWidth="1"/>
    <col min="13570" max="13570" width="13.25" style="2894" customWidth="1"/>
    <col min="13571" max="13571" width="15.625" style="2894" customWidth="1"/>
    <col min="13572" max="13572" width="9.375" style="2894" bestFit="1" customWidth="1"/>
    <col min="13573" max="13573" width="13.5" style="2894" customWidth="1"/>
    <col min="13574" max="13574" width="9" style="2894"/>
    <col min="13575" max="13575" width="9.375" style="2894" bestFit="1" customWidth="1"/>
    <col min="13576" max="13577" width="9" style="2894"/>
    <col min="13578" max="13578" width="9.375" style="2894" bestFit="1" customWidth="1"/>
    <col min="13579" max="13579" width="4" style="2894" customWidth="1"/>
    <col min="13580" max="13580" width="5.125" style="2894" customWidth="1"/>
    <col min="13581" max="13581" width="13.75" style="2894" customWidth="1"/>
    <col min="13582" max="13824" width="9" style="2894"/>
    <col min="13825" max="13825" width="4.875" style="2894" customWidth="1"/>
    <col min="13826" max="13826" width="13.25" style="2894" customWidth="1"/>
    <col min="13827" max="13827" width="15.625" style="2894" customWidth="1"/>
    <col min="13828" max="13828" width="9.375" style="2894" bestFit="1" customWidth="1"/>
    <col min="13829" max="13829" width="13.5" style="2894" customWidth="1"/>
    <col min="13830" max="13830" width="9" style="2894"/>
    <col min="13831" max="13831" width="9.375" style="2894" bestFit="1" customWidth="1"/>
    <col min="13832" max="13833" width="9" style="2894"/>
    <col min="13834" max="13834" width="9.375" style="2894" bestFit="1" customWidth="1"/>
    <col min="13835" max="13835" width="4" style="2894" customWidth="1"/>
    <col min="13836" max="13836" width="5.125" style="2894" customWidth="1"/>
    <col min="13837" max="13837" width="13.75" style="2894" customWidth="1"/>
    <col min="13838" max="14080" width="9" style="2894"/>
    <col min="14081" max="14081" width="4.875" style="2894" customWidth="1"/>
    <col min="14082" max="14082" width="13.25" style="2894" customWidth="1"/>
    <col min="14083" max="14083" width="15.625" style="2894" customWidth="1"/>
    <col min="14084" max="14084" width="9.375" style="2894" bestFit="1" customWidth="1"/>
    <col min="14085" max="14085" width="13.5" style="2894" customWidth="1"/>
    <col min="14086" max="14086" width="9" style="2894"/>
    <col min="14087" max="14087" width="9.375" style="2894" bestFit="1" customWidth="1"/>
    <col min="14088" max="14089" width="9" style="2894"/>
    <col min="14090" max="14090" width="9.375" style="2894" bestFit="1" customWidth="1"/>
    <col min="14091" max="14091" width="4" style="2894" customWidth="1"/>
    <col min="14092" max="14092" width="5.125" style="2894" customWidth="1"/>
    <col min="14093" max="14093" width="13.75" style="2894" customWidth="1"/>
    <col min="14094" max="14336" width="9" style="2894"/>
    <col min="14337" max="14337" width="4.875" style="2894" customWidth="1"/>
    <col min="14338" max="14338" width="13.25" style="2894" customWidth="1"/>
    <col min="14339" max="14339" width="15.625" style="2894" customWidth="1"/>
    <col min="14340" max="14340" width="9.375" style="2894" bestFit="1" customWidth="1"/>
    <col min="14341" max="14341" width="13.5" style="2894" customWidth="1"/>
    <col min="14342" max="14342" width="9" style="2894"/>
    <col min="14343" max="14343" width="9.375" style="2894" bestFit="1" customWidth="1"/>
    <col min="14344" max="14345" width="9" style="2894"/>
    <col min="14346" max="14346" width="9.375" style="2894" bestFit="1" customWidth="1"/>
    <col min="14347" max="14347" width="4" style="2894" customWidth="1"/>
    <col min="14348" max="14348" width="5.125" style="2894" customWidth="1"/>
    <col min="14349" max="14349" width="13.75" style="2894" customWidth="1"/>
    <col min="14350" max="14592" width="9" style="2894"/>
    <col min="14593" max="14593" width="4.875" style="2894" customWidth="1"/>
    <col min="14594" max="14594" width="13.25" style="2894" customWidth="1"/>
    <col min="14595" max="14595" width="15.625" style="2894" customWidth="1"/>
    <col min="14596" max="14596" width="9.375" style="2894" bestFit="1" customWidth="1"/>
    <col min="14597" max="14597" width="13.5" style="2894" customWidth="1"/>
    <col min="14598" max="14598" width="9" style="2894"/>
    <col min="14599" max="14599" width="9.375" style="2894" bestFit="1" customWidth="1"/>
    <col min="14600" max="14601" width="9" style="2894"/>
    <col min="14602" max="14602" width="9.375" style="2894" bestFit="1" customWidth="1"/>
    <col min="14603" max="14603" width="4" style="2894" customWidth="1"/>
    <col min="14604" max="14604" width="5.125" style="2894" customWidth="1"/>
    <col min="14605" max="14605" width="13.75" style="2894" customWidth="1"/>
    <col min="14606" max="14848" width="9" style="2894"/>
    <col min="14849" max="14849" width="4.875" style="2894" customWidth="1"/>
    <col min="14850" max="14850" width="13.25" style="2894" customWidth="1"/>
    <col min="14851" max="14851" width="15.625" style="2894" customWidth="1"/>
    <col min="14852" max="14852" width="9.375" style="2894" bestFit="1" customWidth="1"/>
    <col min="14853" max="14853" width="13.5" style="2894" customWidth="1"/>
    <col min="14854" max="14854" width="9" style="2894"/>
    <col min="14855" max="14855" width="9.375" style="2894" bestFit="1" customWidth="1"/>
    <col min="14856" max="14857" width="9" style="2894"/>
    <col min="14858" max="14858" width="9.375" style="2894" bestFit="1" customWidth="1"/>
    <col min="14859" max="14859" width="4" style="2894" customWidth="1"/>
    <col min="14860" max="14860" width="5.125" style="2894" customWidth="1"/>
    <col min="14861" max="14861" width="13.75" style="2894" customWidth="1"/>
    <col min="14862" max="15104" width="9" style="2894"/>
    <col min="15105" max="15105" width="4.875" style="2894" customWidth="1"/>
    <col min="15106" max="15106" width="13.25" style="2894" customWidth="1"/>
    <col min="15107" max="15107" width="15.625" style="2894" customWidth="1"/>
    <col min="15108" max="15108" width="9.375" style="2894" bestFit="1" customWidth="1"/>
    <col min="15109" max="15109" width="13.5" style="2894" customWidth="1"/>
    <col min="15110" max="15110" width="9" style="2894"/>
    <col min="15111" max="15111" width="9.375" style="2894" bestFit="1" customWidth="1"/>
    <col min="15112" max="15113" width="9" style="2894"/>
    <col min="15114" max="15114" width="9.375" style="2894" bestFit="1" customWidth="1"/>
    <col min="15115" max="15115" width="4" style="2894" customWidth="1"/>
    <col min="15116" max="15116" width="5.125" style="2894" customWidth="1"/>
    <col min="15117" max="15117" width="13.75" style="2894" customWidth="1"/>
    <col min="15118" max="15360" width="9" style="2894"/>
    <col min="15361" max="15361" width="4.875" style="2894" customWidth="1"/>
    <col min="15362" max="15362" width="13.25" style="2894" customWidth="1"/>
    <col min="15363" max="15363" width="15.625" style="2894" customWidth="1"/>
    <col min="15364" max="15364" width="9.375" style="2894" bestFit="1" customWidth="1"/>
    <col min="15365" max="15365" width="13.5" style="2894" customWidth="1"/>
    <col min="15366" max="15366" width="9" style="2894"/>
    <col min="15367" max="15367" width="9.375" style="2894" bestFit="1" customWidth="1"/>
    <col min="15368" max="15369" width="9" style="2894"/>
    <col min="15370" max="15370" width="9.375" style="2894" bestFit="1" customWidth="1"/>
    <col min="15371" max="15371" width="4" style="2894" customWidth="1"/>
    <col min="15372" max="15372" width="5.125" style="2894" customWidth="1"/>
    <col min="15373" max="15373" width="13.75" style="2894" customWidth="1"/>
    <col min="15374" max="15616" width="9" style="2894"/>
    <col min="15617" max="15617" width="4.875" style="2894" customWidth="1"/>
    <col min="15618" max="15618" width="13.25" style="2894" customWidth="1"/>
    <col min="15619" max="15619" width="15.625" style="2894" customWidth="1"/>
    <col min="15620" max="15620" width="9.375" style="2894" bestFit="1" customWidth="1"/>
    <col min="15621" max="15621" width="13.5" style="2894" customWidth="1"/>
    <col min="15622" max="15622" width="9" style="2894"/>
    <col min="15623" max="15623" width="9.375" style="2894" bestFit="1" customWidth="1"/>
    <col min="15624" max="15625" width="9" style="2894"/>
    <col min="15626" max="15626" width="9.375" style="2894" bestFit="1" customWidth="1"/>
    <col min="15627" max="15627" width="4" style="2894" customWidth="1"/>
    <col min="15628" max="15628" width="5.125" style="2894" customWidth="1"/>
    <col min="15629" max="15629" width="13.75" style="2894" customWidth="1"/>
    <col min="15630" max="15872" width="9" style="2894"/>
    <col min="15873" max="15873" width="4.875" style="2894" customWidth="1"/>
    <col min="15874" max="15874" width="13.25" style="2894" customWidth="1"/>
    <col min="15875" max="15875" width="15.625" style="2894" customWidth="1"/>
    <col min="15876" max="15876" width="9.375" style="2894" bestFit="1" customWidth="1"/>
    <col min="15877" max="15877" width="13.5" style="2894" customWidth="1"/>
    <col min="15878" max="15878" width="9" style="2894"/>
    <col min="15879" max="15879" width="9.375" style="2894" bestFit="1" customWidth="1"/>
    <col min="15880" max="15881" width="9" style="2894"/>
    <col min="15882" max="15882" width="9.375" style="2894" bestFit="1" customWidth="1"/>
    <col min="15883" max="15883" width="4" style="2894" customWidth="1"/>
    <col min="15884" max="15884" width="5.125" style="2894" customWidth="1"/>
    <col min="15885" max="15885" width="13.75" style="2894" customWidth="1"/>
    <col min="15886" max="16128" width="9" style="2894"/>
    <col min="16129" max="16129" width="4.875" style="2894" customWidth="1"/>
    <col min="16130" max="16130" width="13.25" style="2894" customWidth="1"/>
    <col min="16131" max="16131" width="15.625" style="2894" customWidth="1"/>
    <col min="16132" max="16132" width="9.375" style="2894" bestFit="1" customWidth="1"/>
    <col min="16133" max="16133" width="13.5" style="2894" customWidth="1"/>
    <col min="16134" max="16134" width="9" style="2894"/>
    <col min="16135" max="16135" width="9.375" style="2894" bestFit="1" customWidth="1"/>
    <col min="16136" max="16137" width="9" style="2894"/>
    <col min="16138" max="16138" width="9.375" style="2894" bestFit="1" customWidth="1"/>
    <col min="16139" max="16139" width="4" style="2894" customWidth="1"/>
    <col min="16140" max="16140" width="5.125" style="2894" customWidth="1"/>
    <col min="16141" max="16141" width="13.75" style="2894" customWidth="1"/>
    <col min="16142" max="16384" width="9" style="2894"/>
  </cols>
  <sheetData>
    <row r="1" spans="1:257" s="2954" customFormat="1" ht="14.25" thickBot="1">
      <c r="A1" s="2953"/>
      <c r="B1" s="2955" t="s">
        <v>2785</v>
      </c>
      <c r="C1" s="2959">
        <f>项目基本情况!D3</f>
        <v>43868</v>
      </c>
      <c r="H1" s="2893">
        <f>IF(C1&gt;C13,0,MATCH(C1,C$13:C$100,-1))+IF(SUMIF(C13:C100,C1,D13:D100)=0,13,12)</f>
        <v>13</v>
      </c>
      <c r="I1" s="2893">
        <f>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 thickTop="1" thickBot="1">
      <c r="A2" s="2895"/>
      <c r="B2" s="2956" t="s">
        <v>2816</v>
      </c>
      <c r="C2" s="2960">
        <f>'数据-取费表'!B22</f>
        <v>2</v>
      </c>
      <c r="D2" s="2955" t="s">
        <v>2786</v>
      </c>
      <c r="E2" s="2958">
        <f ca="1">INDIRECT("I"&amp;$I$1)/100</f>
        <v>4.7500000000000001E-2</v>
      </c>
      <c r="G2" s="2895"/>
      <c r="H2" s="2895"/>
      <c r="I2" s="2895" t="s">
        <v>2787</v>
      </c>
      <c r="K2" s="2895"/>
      <c r="L2" s="2895"/>
      <c r="M2" s="2895"/>
      <c r="N2" s="2895" t="s">
        <v>2788</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2818</v>
      </c>
      <c r="C3" s="2957">
        <f>'数据-取费表'!B19</f>
        <v>0</v>
      </c>
      <c r="D3" s="2955" t="s">
        <v>2786</v>
      </c>
      <c r="E3" s="2958">
        <f ca="1">INDIRECT("J"&amp;$J$1)/100</f>
        <v>0</v>
      </c>
      <c r="G3" s="2897" t="s">
        <v>2789</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2817</v>
      </c>
      <c r="C4" s="2958">
        <f ca="1">N4/100</f>
        <v>1.4999999999999999E-2</v>
      </c>
      <c r="G4" s="2903" t="s">
        <v>2790</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2791</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2792</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4.25" thickBot="1">
      <c r="A7" s="2896"/>
      <c r="G7" s="2908" t="s">
        <v>2793</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25">
      <c r="A9" s="2916"/>
      <c r="B9" s="2917" t="s">
        <v>2794</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5">
      <c r="A10" s="2922"/>
      <c r="B10" s="2923" t="s">
        <v>2795</v>
      </c>
      <c r="C10" s="2922"/>
      <c r="D10" s="2922"/>
      <c r="E10" s="2922"/>
      <c r="F10" s="2922"/>
      <c r="G10" s="2922"/>
      <c r="H10" s="2922"/>
      <c r="I10" s="2896"/>
      <c r="J10" s="2896"/>
      <c r="K10" s="2922"/>
      <c r="L10" s="2923" t="s">
        <v>2796</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2797</v>
      </c>
      <c r="C11" s="2927" t="s">
        <v>2798</v>
      </c>
      <c r="D11" s="2928" t="s">
        <v>2799</v>
      </c>
      <c r="E11" s="2929"/>
      <c r="F11" s="2928" t="s">
        <v>2800</v>
      </c>
      <c r="G11" s="2930"/>
      <c r="H11" s="2929"/>
      <c r="I11" s="2928" t="s">
        <v>2801</v>
      </c>
      <c r="J11" s="2929"/>
      <c r="K11" s="2925"/>
      <c r="L11" s="2926" t="s">
        <v>2797</v>
      </c>
      <c r="M11" s="2927" t="s">
        <v>2798</v>
      </c>
      <c r="N11" s="2926" t="s">
        <v>2802</v>
      </c>
      <c r="O11" s="2928" t="s">
        <v>2803</v>
      </c>
      <c r="P11" s="2930"/>
      <c r="Q11" s="2930"/>
      <c r="R11" s="2930"/>
      <c r="S11" s="2930"/>
      <c r="T11" s="2929"/>
      <c r="U11" s="2928" t="s">
        <v>2804</v>
      </c>
      <c r="V11" s="2930"/>
      <c r="W11" s="2929"/>
      <c r="X11" s="2926" t="s">
        <v>2805</v>
      </c>
      <c r="Y11" s="2926" t="s">
        <v>2806</v>
      </c>
      <c r="Z11" s="2926" t="s">
        <v>2807</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2808</v>
      </c>
      <c r="E12" s="2935" t="s">
        <v>2809</v>
      </c>
      <c r="F12" s="2935" t="s">
        <v>2810</v>
      </c>
      <c r="G12" s="2935" t="s">
        <v>2811</v>
      </c>
      <c r="H12" s="2935" t="s">
        <v>2793</v>
      </c>
      <c r="I12" s="2936" t="s">
        <v>2812</v>
      </c>
      <c r="J12" s="2936" t="s">
        <v>2812</v>
      </c>
      <c r="K12" s="2932"/>
      <c r="L12" s="2933"/>
      <c r="M12" s="2934"/>
      <c r="N12" s="2933"/>
      <c r="O12" s="2936" t="s">
        <v>2813</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14.25">
      <c r="A13" s="2938"/>
      <c r="B13" s="2939" t="s">
        <v>2814</v>
      </c>
      <c r="C13" s="2940">
        <v>42301</v>
      </c>
      <c r="D13" s="2941">
        <v>4.3499999999999996</v>
      </c>
      <c r="E13" s="2941">
        <v>4.3499999999999996</v>
      </c>
      <c r="F13" s="2941">
        <v>4.75</v>
      </c>
      <c r="G13" s="2941">
        <v>4.75</v>
      </c>
      <c r="H13" s="2941">
        <v>4.9000000000000004</v>
      </c>
      <c r="I13" s="2941">
        <v>2.75</v>
      </c>
      <c r="J13" s="2941">
        <v>3.25</v>
      </c>
      <c r="K13" s="2938"/>
      <c r="L13" s="2939" t="s">
        <v>2814</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5">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2815</v>
      </c>
      <c r="Y42" s="2945" t="s">
        <v>2815</v>
      </c>
      <c r="Z42" s="2945" t="s">
        <v>2815</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2815</v>
      </c>
      <c r="Y43" s="2945" t="s">
        <v>2815</v>
      </c>
      <c r="Z43" s="2945" t="s">
        <v>2815</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2815</v>
      </c>
      <c r="Y44" s="2945" t="s">
        <v>2815</v>
      </c>
      <c r="Z44" s="2945" t="s">
        <v>2815</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2815</v>
      </c>
      <c r="Y45" s="2945" t="s">
        <v>2815</v>
      </c>
      <c r="Z45" s="2945" t="s">
        <v>2815</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2815</v>
      </c>
      <c r="Y46" s="2945" t="s">
        <v>2815</v>
      </c>
      <c r="Z46" s="2945" t="s">
        <v>2815</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2815</v>
      </c>
      <c r="Y47" s="2945" t="s">
        <v>2815</v>
      </c>
      <c r="Z47" s="2945" t="s">
        <v>2815</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2815</v>
      </c>
      <c r="Y48" s="2945" t="s">
        <v>2815</v>
      </c>
      <c r="Z48" s="2945" t="s">
        <v>2815</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2815</v>
      </c>
      <c r="Y49" s="2945" t="s">
        <v>2815</v>
      </c>
      <c r="Z49" s="2945" t="s">
        <v>2815</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2815</v>
      </c>
      <c r="Y50" s="2945" t="s">
        <v>2815</v>
      </c>
      <c r="Z50" s="2945" t="s">
        <v>2815</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2815</v>
      </c>
      <c r="V51" s="2945" t="s">
        <v>2815</v>
      </c>
      <c r="W51" s="2945" t="s">
        <v>2815</v>
      </c>
      <c r="X51" s="2945" t="s">
        <v>2815</v>
      </c>
      <c r="Y51" s="2945" t="s">
        <v>2815</v>
      </c>
      <c r="Z51" s="2945" t="s">
        <v>2815</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2815</v>
      </c>
      <c r="J55" s="2945" t="s">
        <v>2815</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144</vt:i4>
      </vt:variant>
    </vt:vector>
  </HeadingPairs>
  <TitlesOfParts>
    <vt:vector size="18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基本情况表</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不动产比较法-loft公寓</vt:lpstr>
      <vt:lpstr>不动产比较法-住宅</vt:lpstr>
      <vt:lpstr>不动产比较法-商业</vt:lpstr>
      <vt:lpstr>不动产比较法-办公</vt:lpstr>
      <vt:lpstr>土地案例</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'不动产比较法-loft公寓'!住宅朝向</vt:lpstr>
      <vt:lpstr>住宅朝向</vt:lpstr>
      <vt:lpstr>'不动产比较法-loft公寓'!住宅房型</vt:lpstr>
      <vt:lpstr>住宅房型</vt:lpstr>
      <vt:lpstr>'不动产比较法-loft公寓'!住宅公共部分装修</vt:lpstr>
      <vt:lpstr>住宅公共部分装修</vt:lpstr>
      <vt:lpstr>'不动产比较法-loft公寓'!住宅基础设施水平</vt:lpstr>
      <vt:lpstr>住宅基础设施水平</vt:lpstr>
      <vt:lpstr>'不动产比较法-loft公寓'!住宅建筑结构</vt:lpstr>
      <vt:lpstr>住宅建筑结构</vt:lpstr>
      <vt:lpstr>'不动产比较法-loft公寓'!住宅建筑类型</vt:lpstr>
      <vt:lpstr>住宅建筑类型</vt:lpstr>
      <vt:lpstr>'不动产比较法-loft公寓'!住宅建筑品质</vt:lpstr>
      <vt:lpstr>住宅建筑品质</vt:lpstr>
      <vt:lpstr>'不动产比较法-loft公寓'!住宅交易情况</vt:lpstr>
      <vt:lpstr>住宅交易情况</vt:lpstr>
      <vt:lpstr>'不动产比较法-loft公寓'!住宅楼层</vt:lpstr>
      <vt:lpstr>住宅楼层</vt:lpstr>
      <vt:lpstr>'不动产比较法-loft公寓'!住宅内部装修</vt:lpstr>
      <vt:lpstr>住宅内部装修</vt:lpstr>
      <vt:lpstr>'不动产比较法-loft公寓'!住宅物业管理</vt:lpstr>
      <vt:lpstr>住宅物业管理</vt:lpstr>
      <vt:lpstr>'不动产比较法-loft公寓'!住宅用途</vt:lpstr>
      <vt:lpstr>住宅用途</vt:lpstr>
      <vt:lpstr>'不动产比较法-loft公寓'!住宅主力户型面积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2020-02-06T08:47:22Z</dcterms:modified>
</cp:coreProperties>
</file>