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4" firstSheet="15"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住宅 (2)" sheetId="7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2)" sheetId="75" state="hidden" r:id="rId19"/>
    <sheet name="比较法-住宅、综合" sheetId="39" r:id="rId20"/>
    <sheet name="Sheet1" sheetId="71" r:id="rId21"/>
    <sheet name="Sheet2" sheetId="69"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Sheet5" sheetId="74" r:id="rId45"/>
  </sheets>
  <externalReferences>
    <externalReference r:id="rId46"/>
  </externalReferences>
  <definedNames>
    <definedName name="_xlnm._FilterDatabase" localSheetId="24" hidden="1">'比较法-工业'!$A$1:$L$45</definedName>
    <definedName name="_xlnm._FilterDatabase" localSheetId="19" hidden="1">'比较法-住宅、综合'!$A$1:$L$50</definedName>
    <definedName name="_xlnm._FilterDatabase" localSheetId="18" hidden="1">'比较法-住宅、综合 (2)'!$A$1:$L$50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8" hidden="1">'不动产比较法-住宅 (2)'!$A$1:$L$49</definedName>
    <definedName name="_xlnm._FilterDatabase" localSheetId="11" hidden="1">'数据-基础表'!$A$12:$AT$572</definedName>
    <definedName name="_xlnm._FilterDatabase" localSheetId="10" hidden="1">项目基本情况!$A$48:$N$48</definedName>
    <definedName name="_xlnm.Print_Area" localSheetId="19">'比较法-住宅、综合'!$A$1:$K$55</definedName>
    <definedName name="_xlnm.Print_Area" localSheetId="18">'比较法-住宅、综合 (2)'!$A$1:$K$55</definedName>
    <definedName name="_xlnm.Print_Area" localSheetId="17">结果表!$A$1:$I$22</definedName>
    <definedName name="_xlnm.Print_Area" localSheetId="22">'剩余法-待开发'!$A$1:$K$36</definedName>
    <definedName name="_xlnm.Print_Area" localSheetId="11">'数据-基础表'!$A$1:$AO$13</definedName>
    <definedName name="_xlnm.Print_Area" localSheetId="14">'数据-取费表'!$A$4:$R$51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18">'比较法-住宅、综合 (2)'!$A$75:$M$75</definedName>
    <definedName name="套工交易情况">'比较法-住宅、综合'!$A$75:$M$75</definedName>
    <definedName name="套工土地级别">'比较法-工业'!$B$101:$M$101</definedName>
    <definedName name="套工用途">'比较法-工业'!$B$72:$M$72</definedName>
    <definedName name="套综道路等级" localSheetId="18">'比较法-住宅、综合 (2)'!$B$108:$M$108</definedName>
    <definedName name="套综道路等级">'比较法-住宅、综合'!$B$108:$M$108</definedName>
    <definedName name="套综工程地质条件" localSheetId="18">'比较法-住宅、综合 (2)'!$B$127:$M$127</definedName>
    <definedName name="套综工程地质条件">'比较法-住宅、综合'!$B$127:$M$127</definedName>
    <definedName name="套综交易情况" localSheetId="18">'比较法-住宅、综合 (2)'!$A$75:$M$75</definedName>
    <definedName name="套综交易情况">'比较法-住宅、综合'!$A$75:$M$75</definedName>
    <definedName name="套综临街宽度及深度" localSheetId="18">'比较法-住宅、综合 (2)'!$B$123:$M$123</definedName>
    <definedName name="套综临街宽度及深度">'比较法-住宅、综合'!$B$123:$M$123</definedName>
    <definedName name="套综土地级别" localSheetId="18">'比较法-住宅、综合 (2)'!$B$110:$M$110</definedName>
    <definedName name="套综土地级别">'比较法-住宅、综合'!$B$110:$M$110</definedName>
    <definedName name="套综用途" localSheetId="18">'比较法-住宅、综合 (2)'!$B$77:$M$77</definedName>
    <definedName name="套综用途">'比较法-住宅、综合'!$B$77:$M$77</definedName>
    <definedName name="套综宗地内开发程度" localSheetId="18">'比较法-住宅、综合 (2)'!$B$125:$M$125</definedName>
    <definedName name="套综宗地内开发程度">'比较法-住宅、综合'!$B$125:$M$125</definedName>
    <definedName name="套综宗地形状" localSheetId="18">'比较法-住宅、综合 (2)'!$B$121:$M$121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8">'不动产比较法-住宅 (2)'!$B$88:$M$88</definedName>
    <definedName name="住宅朝向">'不动产比较法-住宅'!$B$88:$M$88</definedName>
    <definedName name="住宅房型" localSheetId="8">'不动产比较法-住宅 (2)'!$B$118:$M$118</definedName>
    <definedName name="住宅房型">'不动产比较法-住宅'!$B$118:$M$118</definedName>
    <definedName name="住宅公共部分装修" localSheetId="8">'不动产比较法-住宅 (2)'!$B$109:$M$109</definedName>
    <definedName name="住宅公共部分装修">'不动产比较法-住宅'!$B$109:$M$109</definedName>
    <definedName name="住宅基础设施水平" localSheetId="8">'不动产比较法-住宅 (2)'!$B$116:$M$116</definedName>
    <definedName name="住宅基础设施水平">'不动产比较法-住宅'!$B$116:$M$116</definedName>
    <definedName name="住宅建筑结构" localSheetId="8">'不动产比较法-住宅 (2)'!$B$105:$M$105</definedName>
    <definedName name="住宅建筑结构">'不动产比较法-住宅'!$B$105:$M$105</definedName>
    <definedName name="住宅建筑类型" localSheetId="8">'不动产比较法-住宅 (2)'!$B$100:$M$100</definedName>
    <definedName name="住宅建筑类型">'不动产比较法-住宅'!$B$100:$M$100</definedName>
    <definedName name="住宅建筑品质" localSheetId="8">'不动产比较法-住宅 (2)'!$B$107:$M$107</definedName>
    <definedName name="住宅建筑品质">'不动产比较法-住宅'!$B$107:$M$107</definedName>
    <definedName name="住宅交易情况" localSheetId="8">'不动产比较法-住宅 (2)'!$A$61:$M$61</definedName>
    <definedName name="住宅交易情况">'不动产比较法-住宅'!$A$61:$M$61</definedName>
    <definedName name="住宅楼层" localSheetId="8">'不动产比较法-住宅 (2)'!$B$86:$M$86</definedName>
    <definedName name="住宅楼层">'不动产比较法-住宅'!$B$86:$M$86</definedName>
    <definedName name="住宅内部装修" localSheetId="8">'不动产比较法-住宅 (2)'!$B$122:$M$122</definedName>
    <definedName name="住宅内部装修">'不动产比较法-住宅'!$B$122:$M$122</definedName>
    <definedName name="住宅物业管理" localSheetId="8">'不动产比较法-住宅 (2)'!$B$114:$M$114</definedName>
    <definedName name="住宅物业管理">'不动产比较法-住宅'!$B$114:$M$114</definedName>
    <definedName name="住宅用途" localSheetId="8">'不动产比较法-住宅 (2)'!$B$63:$M$63</definedName>
    <definedName name="住宅用途">'不动产比较法-住宅'!$B$63:$M$63</definedName>
    <definedName name="住宅主力户型面积" localSheetId="8">'不动产比较法-住宅 (2)'!$B$120:$M$120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H7" i="1" l="1"/>
  <c r="I7" i="39" l="1"/>
  <c r="I40" i="75" l="1"/>
  <c r="G40" i="75"/>
  <c r="E40" i="75"/>
  <c r="G19" i="35" l="1"/>
  <c r="G17" i="35"/>
  <c r="I9" i="75"/>
  <c r="G9" i="75"/>
  <c r="I7" i="75"/>
  <c r="G7" i="75"/>
  <c r="E9" i="75"/>
  <c r="E7" i="75"/>
  <c r="B133" i="75"/>
  <c r="B131" i="75"/>
  <c r="B129" i="75"/>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B114" i="75"/>
  <c r="B112" i="75"/>
  <c r="E111" i="75"/>
  <c r="F111" i="75" s="1"/>
  <c r="G111" i="75" s="1"/>
  <c r="H111" i="75" s="1"/>
  <c r="I111" i="75" s="1"/>
  <c r="J111" i="75" s="1"/>
  <c r="K111" i="75" s="1"/>
  <c r="L111" i="75" s="1"/>
  <c r="M111" i="75" s="1"/>
  <c r="D111" i="75"/>
  <c r="E109" i="75"/>
  <c r="F109" i="75" s="1"/>
  <c r="G109" i="75" s="1"/>
  <c r="H109" i="75" s="1"/>
  <c r="I109" i="75" s="1"/>
  <c r="J109" i="75" s="1"/>
  <c r="K109" i="75" s="1"/>
  <c r="L109" i="75" s="1"/>
  <c r="M109" i="75" s="1"/>
  <c r="D109" i="75"/>
  <c r="E107" i="75"/>
  <c r="F107" i="75" s="1"/>
  <c r="G107" i="75" s="1"/>
  <c r="H107" i="75" s="1"/>
  <c r="I107" i="75" s="1"/>
  <c r="J107" i="75" s="1"/>
  <c r="K107" i="75" s="1"/>
  <c r="L107" i="75" s="1"/>
  <c r="M107" i="75" s="1"/>
  <c r="D107" i="75"/>
  <c r="B106" i="75"/>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c r="H66" i="75"/>
  <c r="I66" i="75" s="1"/>
  <c r="C66" i="75"/>
  <c r="H65" i="75"/>
  <c r="I65" i="75" s="1"/>
  <c r="C65" i="75"/>
  <c r="H64" i="75"/>
  <c r="I64" i="75" s="1"/>
  <c r="C64" i="75"/>
  <c r="H63" i="75"/>
  <c r="I63" i="75" s="1"/>
  <c r="C63" i="75"/>
  <c r="H62" i="75"/>
  <c r="I62" i="75" s="1"/>
  <c r="C62" i="75"/>
  <c r="H61" i="75"/>
  <c r="I61" i="75" s="1"/>
  <c r="C61" i="75"/>
  <c r="H60" i="75"/>
  <c r="I60" i="75" s="1"/>
  <c r="C60" i="75"/>
  <c r="I59" i="75"/>
  <c r="H59" i="75"/>
  <c r="C59" i="75"/>
  <c r="I55" i="75"/>
  <c r="J55" i="75" s="1"/>
  <c r="G55" i="75"/>
  <c r="H55" i="75" s="1"/>
  <c r="E55" i="75"/>
  <c r="F55" i="75" s="1"/>
  <c r="P50" i="75"/>
  <c r="P49" i="75"/>
  <c r="V48" i="75"/>
  <c r="T48" i="75"/>
  <c r="R48" i="75"/>
  <c r="P48" i="75"/>
  <c r="Q47" i="75"/>
  <c r="Z47" i="75" s="1"/>
  <c r="J47" i="75"/>
  <c r="AC47" i="75" s="1"/>
  <c r="H47" i="75"/>
  <c r="AB47" i="75" s="1"/>
  <c r="F47" i="75"/>
  <c r="AA47"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Q42" i="75"/>
  <c r="Z42" i="75" s="1"/>
  <c r="J42" i="75"/>
  <c r="AC42" i="75" s="1"/>
  <c r="H42" i="75"/>
  <c r="AB42" i="75" s="1"/>
  <c r="F42" i="75"/>
  <c r="AA42" i="75" s="1"/>
  <c r="Q41" i="75"/>
  <c r="Z41" i="75" s="1"/>
  <c r="J41" i="75"/>
  <c r="AC41" i="75" s="1"/>
  <c r="H41" i="75"/>
  <c r="AB41" i="75" s="1"/>
  <c r="F41" i="75"/>
  <c r="AA41" i="75" s="1"/>
  <c r="Q40" i="75"/>
  <c r="Z40" i="75" s="1"/>
  <c r="C40" i="75"/>
  <c r="J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4" i="75"/>
  <c r="Z34" i="75" s="1"/>
  <c r="J34" i="75"/>
  <c r="AC34" i="75" s="1"/>
  <c r="H34" i="75"/>
  <c r="AB34" i="75" s="1"/>
  <c r="F34" i="75"/>
  <c r="AA34" i="75" s="1"/>
  <c r="Q33" i="75"/>
  <c r="Z33" i="75" s="1"/>
  <c r="J33" i="75"/>
  <c r="AC33" i="75" s="1"/>
  <c r="H33" i="75"/>
  <c r="AB33" i="75" s="1"/>
  <c r="F33" i="75"/>
  <c r="AA33" i="75" s="1"/>
  <c r="Q31" i="75"/>
  <c r="Z31" i="75" s="1"/>
  <c r="J31" i="75"/>
  <c r="AC31" i="75" s="1"/>
  <c r="H31" i="75"/>
  <c r="AB31" i="75" s="1"/>
  <c r="F31" i="75"/>
  <c r="AA31" i="75" s="1"/>
  <c r="Q29" i="75"/>
  <c r="Z29" i="75" s="1"/>
  <c r="J29" i="75"/>
  <c r="W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S17" i="75" s="1"/>
  <c r="Q16" i="75"/>
  <c r="Z16" i="75" s="1"/>
  <c r="J16" i="75"/>
  <c r="AC16" i="75" s="1"/>
  <c r="H16" i="75"/>
  <c r="AB16" i="75" s="1"/>
  <c r="F16" i="75"/>
  <c r="AA16" i="75" s="1"/>
  <c r="Q15" i="75"/>
  <c r="Z15" i="75" s="1"/>
  <c r="J15" i="75"/>
  <c r="AC15" i="75" s="1"/>
  <c r="H15" i="75"/>
  <c r="AB15" i="75" s="1"/>
  <c r="F15" i="75"/>
  <c r="AA15" i="75" s="1"/>
  <c r="Q14" i="75"/>
  <c r="Z14" i="75" s="1"/>
  <c r="J14" i="75"/>
  <c r="AC14" i="75" s="1"/>
  <c r="H14" i="75"/>
  <c r="AB14" i="75" s="1"/>
  <c r="F14" i="75"/>
  <c r="AA14" i="75" s="1"/>
  <c r="Q13" i="75"/>
  <c r="Z13" i="75" s="1"/>
  <c r="J13" i="75"/>
  <c r="AC13" i="75" s="1"/>
  <c r="H13" i="75"/>
  <c r="AB13" i="75" s="1"/>
  <c r="F13" i="75"/>
  <c r="AA13" i="75" s="1"/>
  <c r="Q12" i="75"/>
  <c r="Z12" i="75" s="1"/>
  <c r="Q11" i="75"/>
  <c r="Z11" i="75" s="1"/>
  <c r="J11" i="75"/>
  <c r="AC11" i="75" s="1"/>
  <c r="H11" i="75"/>
  <c r="AB11" i="75" s="1"/>
  <c r="F11" i="75"/>
  <c r="AA11" i="75" s="1"/>
  <c r="J10" i="75"/>
  <c r="AC10" i="75" s="1"/>
  <c r="H10" i="75"/>
  <c r="U10" i="75" s="1"/>
  <c r="F10" i="75"/>
  <c r="AA10" i="75" s="1"/>
  <c r="F22" i="6"/>
  <c r="C22" i="6"/>
  <c r="G47" i="21"/>
  <c r="I47" i="21"/>
  <c r="C145" i="72"/>
  <c r="K139" i="72" s="1"/>
  <c r="K143" i="72" s="1"/>
  <c r="J142" i="72"/>
  <c r="J140" i="72"/>
  <c r="B130" i="72"/>
  <c r="B128" i="72"/>
  <c r="B126" i="72"/>
  <c r="D125" i="72"/>
  <c r="E125" i="72" s="1"/>
  <c r="F125" i="72" s="1"/>
  <c r="G125" i="72" s="1"/>
  <c r="D123" i="72"/>
  <c r="E123" i="72" s="1"/>
  <c r="F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E89" i="72"/>
  <c r="F89" i="72" s="1"/>
  <c r="G89" i="72" s="1"/>
  <c r="H89" i="72" s="1"/>
  <c r="I89" i="72" s="1"/>
  <c r="J89" i="72" s="1"/>
  <c r="K89" i="72" s="1"/>
  <c r="L89" i="72" s="1"/>
  <c r="M89" i="72" s="1"/>
  <c r="D89" i="72"/>
  <c r="M87" i="72"/>
  <c r="L87" i="72"/>
  <c r="K87" i="72"/>
  <c r="J87" i="72"/>
  <c r="I87" i="72"/>
  <c r="H87" i="72"/>
  <c r="G87" i="72"/>
  <c r="F87" i="72"/>
  <c r="E87" i="72"/>
  <c r="D87" i="72"/>
  <c r="E85" i="72"/>
  <c r="F85" i="72" s="1"/>
  <c r="G85" i="72" s="1"/>
  <c r="D85" i="72"/>
  <c r="E83" i="72"/>
  <c r="F83" i="72" s="1"/>
  <c r="G83" i="72" s="1"/>
  <c r="D83" i="72"/>
  <c r="E81" i="72"/>
  <c r="F81" i="72" s="1"/>
  <c r="G81" i="72" s="1"/>
  <c r="D81" i="72"/>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P49" i="72"/>
  <c r="P48" i="72"/>
  <c r="V47" i="72"/>
  <c r="R47" i="72"/>
  <c r="P47" i="72"/>
  <c r="G47" i="72"/>
  <c r="T47" i="72" s="1"/>
  <c r="Q46" i="72"/>
  <c r="Z46" i="72" s="1"/>
  <c r="J46" i="72"/>
  <c r="AC46" i="72" s="1"/>
  <c r="H46" i="72"/>
  <c r="AB46" i="72" s="1"/>
  <c r="F46" i="72"/>
  <c r="AA46" i="72" s="1"/>
  <c r="Q45" i="72"/>
  <c r="Z45" i="72" s="1"/>
  <c r="J45" i="72"/>
  <c r="AC45" i="72" s="1"/>
  <c r="H45" i="72"/>
  <c r="AB45" i="72" s="1"/>
  <c r="F45" i="72"/>
  <c r="AA45" i="72" s="1"/>
  <c r="Q44" i="72"/>
  <c r="Z44" i="72" s="1"/>
  <c r="J44" i="72"/>
  <c r="AC44" i="72" s="1"/>
  <c r="H44" i="72"/>
  <c r="F44" i="72"/>
  <c r="AA44" i="72" s="1"/>
  <c r="Q43" i="72"/>
  <c r="Z43" i="72" s="1"/>
  <c r="J43" i="72"/>
  <c r="AC43" i="72" s="1"/>
  <c r="H43" i="72"/>
  <c r="AB43" i="72" s="1"/>
  <c r="F43" i="72"/>
  <c r="AA43" i="72" s="1"/>
  <c r="Q42" i="72"/>
  <c r="Z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C24" i="72"/>
  <c r="Q23" i="72"/>
  <c r="Z23" i="72" s="1"/>
  <c r="J23" i="72"/>
  <c r="AC23" i="72" s="1"/>
  <c r="H23" i="72"/>
  <c r="AB23" i="72" s="1"/>
  <c r="F23" i="72"/>
  <c r="AA23" i="72" s="1"/>
  <c r="C23" i="72"/>
  <c r="Q21" i="72"/>
  <c r="Z21" i="72" s="1"/>
  <c r="J21" i="72"/>
  <c r="AC21" i="72" s="1"/>
  <c r="H21" i="72"/>
  <c r="AB21" i="72" s="1"/>
  <c r="F21" i="72"/>
  <c r="AA21" i="72" s="1"/>
  <c r="C21" i="72"/>
  <c r="C20" i="72"/>
  <c r="J19" i="72" s="1"/>
  <c r="Q19" i="72"/>
  <c r="Z19" i="72" s="1"/>
  <c r="H19" i="72"/>
  <c r="AB19" i="72" s="1"/>
  <c r="C19" i="72"/>
  <c r="C18" i="72"/>
  <c r="H17" i="72" s="1"/>
  <c r="AB17" i="72" s="1"/>
  <c r="Q17" i="72"/>
  <c r="Z17" i="72" s="1"/>
  <c r="J17" i="72"/>
  <c r="F17" i="72"/>
  <c r="C17" i="72"/>
  <c r="C16" i="72"/>
  <c r="Q15" i="72"/>
  <c r="Z15" i="72" s="1"/>
  <c r="C15" i="72"/>
  <c r="Q14" i="72"/>
  <c r="Z14" i="72" s="1"/>
  <c r="J14" i="72"/>
  <c r="AC14" i="72" s="1"/>
  <c r="H14" i="72"/>
  <c r="AB14" i="72" s="1"/>
  <c r="F14" i="72"/>
  <c r="AA14" i="72" s="1"/>
  <c r="Q13" i="72"/>
  <c r="Z13" i="72" s="1"/>
  <c r="J13" i="72"/>
  <c r="W13" i="72" s="1"/>
  <c r="H13" i="72"/>
  <c r="AB13" i="72" s="1"/>
  <c r="F13" i="72"/>
  <c r="AA13" i="72" s="1"/>
  <c r="U12" i="72"/>
  <c r="Q12" i="72"/>
  <c r="Z12" i="72" s="1"/>
  <c r="J12" i="72"/>
  <c r="AC12" i="72" s="1"/>
  <c r="H12" i="72"/>
  <c r="AB12" i="72" s="1"/>
  <c r="F12" i="72"/>
  <c r="AA12" i="72" s="1"/>
  <c r="Q11" i="72"/>
  <c r="Z11" i="72" s="1"/>
  <c r="C11" i="72"/>
  <c r="H11" i="72" s="1"/>
  <c r="Q10" i="72"/>
  <c r="Z10" i="72" s="1"/>
  <c r="J10" i="72"/>
  <c r="AC10" i="72" s="1"/>
  <c r="H10" i="72"/>
  <c r="AB10" i="72" s="1"/>
  <c r="F10" i="72"/>
  <c r="AA10" i="72" s="1"/>
  <c r="Q9" i="72"/>
  <c r="Z9" i="72" s="1"/>
  <c r="J9" i="72"/>
  <c r="AC9" i="72" s="1"/>
  <c r="H9" i="72"/>
  <c r="AB9" i="72" s="1"/>
  <c r="F9" i="72"/>
  <c r="AA9" i="72" s="1"/>
  <c r="J8" i="72"/>
  <c r="W8" i="72" s="1"/>
  <c r="H8" i="72"/>
  <c r="AB8" i="72" s="1"/>
  <c r="F8" i="72"/>
  <c r="S8" i="72" s="1"/>
  <c r="I40" i="39"/>
  <c r="I9" i="39"/>
  <c r="P9" i="71"/>
  <c r="P10" i="71"/>
  <c r="G40" i="39"/>
  <c r="G9" i="39"/>
  <c r="G7" i="39"/>
  <c r="E40" i="39"/>
  <c r="E9" i="39"/>
  <c r="E7" i="39"/>
  <c r="E19" i="35"/>
  <c r="E17" i="35"/>
  <c r="E15" i="35"/>
  <c r="AR13" i="3"/>
  <c r="G123" i="72" l="1"/>
  <c r="H123" i="72" s="1"/>
  <c r="I123" i="72" s="1"/>
  <c r="J123" i="72" s="1"/>
  <c r="K123" i="72" s="1"/>
  <c r="L123" i="72" s="1"/>
  <c r="M123" i="72" s="1"/>
  <c r="H42" i="72"/>
  <c r="AB42" i="72" s="1"/>
  <c r="J42" i="72"/>
  <c r="AC42" i="72" s="1"/>
  <c r="F42" i="72"/>
  <c r="AA42" i="72" s="1"/>
  <c r="J11" i="72"/>
  <c r="AC11" i="72" s="1"/>
  <c r="U8" i="72"/>
  <c r="F11" i="72"/>
  <c r="AC13" i="72"/>
  <c r="W10" i="75"/>
  <c r="W37" i="75"/>
  <c r="W39" i="75"/>
  <c r="H40" i="75"/>
  <c r="AB40" i="75" s="1"/>
  <c r="K145" i="72"/>
  <c r="S10" i="75"/>
  <c r="F40" i="75"/>
  <c r="AC29" i="75"/>
  <c r="W41" i="75"/>
  <c r="W34" i="75"/>
  <c r="U15" i="75"/>
  <c r="S16" i="75"/>
  <c r="W16" i="75"/>
  <c r="W17" i="75"/>
  <c r="AA17" i="75"/>
  <c r="S19" i="75"/>
  <c r="W19" i="75"/>
  <c r="S21" i="75"/>
  <c r="W21" i="75"/>
  <c r="S23" i="75"/>
  <c r="W23" i="75"/>
  <c r="S25" i="75"/>
  <c r="W25" i="75"/>
  <c r="S27" i="75"/>
  <c r="S31" i="75"/>
  <c r="U33" i="75"/>
  <c r="S37" i="75"/>
  <c r="U38" i="75"/>
  <c r="AA40" i="75"/>
  <c r="S40" i="75"/>
  <c r="AC40" i="75"/>
  <c r="W40" i="75"/>
  <c r="AA43" i="75"/>
  <c r="S43" i="75"/>
  <c r="AB10" i="75"/>
  <c r="S11" i="75"/>
  <c r="W11" i="75"/>
  <c r="U13" i="75"/>
  <c r="S14" i="75"/>
  <c r="W14" i="75"/>
  <c r="U11" i="75"/>
  <c r="S13" i="75"/>
  <c r="W13" i="75"/>
  <c r="U14" i="75"/>
  <c r="S15" i="75"/>
  <c r="W15" i="75"/>
  <c r="U16" i="75"/>
  <c r="U17" i="75"/>
  <c r="U19" i="75"/>
  <c r="U21" i="75"/>
  <c r="U23" i="75"/>
  <c r="U25" i="75"/>
  <c r="W27" i="75"/>
  <c r="S29" i="75"/>
  <c r="W31" i="75"/>
  <c r="S34" i="75"/>
  <c r="U36" i="75"/>
  <c r="S39" i="75"/>
  <c r="S41" i="75"/>
  <c r="U42" i="75"/>
  <c r="W43" i="75"/>
  <c r="U44" i="75"/>
  <c r="S45" i="75"/>
  <c r="W45" i="75"/>
  <c r="U46" i="75"/>
  <c r="S47" i="75"/>
  <c r="W47" i="75"/>
  <c r="U27" i="75"/>
  <c r="U29" i="75"/>
  <c r="U31" i="75"/>
  <c r="S33" i="75"/>
  <c r="W33" i="75"/>
  <c r="U34" i="75"/>
  <c r="S36" i="75"/>
  <c r="W36" i="75"/>
  <c r="U37" i="75"/>
  <c r="S38" i="75"/>
  <c r="W38" i="75"/>
  <c r="U39" i="75"/>
  <c r="U41" i="75"/>
  <c r="S42" i="75"/>
  <c r="W42" i="75"/>
  <c r="U43" i="75"/>
  <c r="S44" i="75"/>
  <c r="W44" i="75"/>
  <c r="U45" i="75"/>
  <c r="S46" i="75"/>
  <c r="W46" i="75"/>
  <c r="U47" i="75"/>
  <c r="AA8" i="72"/>
  <c r="AC8" i="72"/>
  <c r="U9" i="72"/>
  <c r="S10" i="72"/>
  <c r="AB11" i="72"/>
  <c r="U11" i="72"/>
  <c r="J15" i="72"/>
  <c r="F15" i="72"/>
  <c r="AA17" i="72"/>
  <c r="S17" i="72"/>
  <c r="AC17" i="72"/>
  <c r="W17" i="72"/>
  <c r="AC19" i="72"/>
  <c r="W19" i="72"/>
  <c r="S9" i="72"/>
  <c r="W9" i="72"/>
  <c r="W10" i="72"/>
  <c r="W11" i="72"/>
  <c r="S13" i="72"/>
  <c r="U14" i="72"/>
  <c r="H15" i="72"/>
  <c r="U19" i="72"/>
  <c r="S21" i="72"/>
  <c r="W21" i="72"/>
  <c r="S23" i="72"/>
  <c r="W23"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U43" i="72"/>
  <c r="S44" i="72"/>
  <c r="U10" i="72"/>
  <c r="S12" i="72"/>
  <c r="W12" i="72"/>
  <c r="U13" i="72"/>
  <c r="S14" i="72"/>
  <c r="W14" i="72"/>
  <c r="U17" i="72"/>
  <c r="F19" i="72"/>
  <c r="U21" i="72"/>
  <c r="U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S43" i="72"/>
  <c r="W43" i="72"/>
  <c r="AB44" i="72"/>
  <c r="U44" i="72"/>
  <c r="W44" i="72"/>
  <c r="S45" i="72"/>
  <c r="W45" i="72"/>
  <c r="U46" i="72"/>
  <c r="E54" i="72"/>
  <c r="F54" i="72" s="1"/>
  <c r="G54" i="72"/>
  <c r="H54" i="72" s="1"/>
  <c r="K141" i="72"/>
  <c r="U45" i="72"/>
  <c r="S46" i="72"/>
  <c r="W46" i="72"/>
  <c r="K144" i="72"/>
  <c r="G21" i="6"/>
  <c r="F20" i="6"/>
  <c r="C21" i="6"/>
  <c r="C20" i="6"/>
  <c r="U40" i="75" l="1"/>
  <c r="AA11" i="72"/>
  <c r="S11" i="72"/>
  <c r="AA19" i="72"/>
  <c r="S19" i="72"/>
  <c r="AB15" i="72"/>
  <c r="U15" i="72"/>
  <c r="AC15" i="72"/>
  <c r="W15" i="72"/>
  <c r="AA15" i="72"/>
  <c r="S15" i="72"/>
  <c r="P7" i="71"/>
  <c r="P3" i="71" l="1"/>
  <c r="P4" i="71"/>
  <c r="P5" i="71"/>
  <c r="P6" i="71"/>
  <c r="P2" i="71"/>
  <c r="I21" i="35" l="1"/>
  <c r="I19" i="35"/>
  <c r="C21" i="35"/>
  <c r="C19" i="35"/>
  <c r="C17" i="35"/>
  <c r="C15" i="35"/>
  <c r="C24" i="21"/>
  <c r="C20" i="21"/>
  <c r="C18" i="21"/>
  <c r="C16" i="21"/>
  <c r="P63" i="69" l="1"/>
  <c r="P64" i="69"/>
  <c r="P66" i="69"/>
  <c r="P53" i="69"/>
  <c r="P48" i="69"/>
  <c r="P54" i="69"/>
  <c r="P49" i="69"/>
  <c r="P61" i="69"/>
  <c r="P28" i="69"/>
  <c r="P33" i="69"/>
  <c r="P46" i="69"/>
  <c r="P27" i="69"/>
  <c r="P40" i="69"/>
  <c r="P42" i="69"/>
  <c r="P3" i="69"/>
  <c r="Q3" i="69" s="1"/>
  <c r="P4" i="69"/>
  <c r="Q4" i="69" s="1"/>
  <c r="P2" i="69"/>
  <c r="P5" i="69"/>
  <c r="Q5" i="69" s="1"/>
  <c r="P8" i="69"/>
  <c r="P29" i="69"/>
  <c r="P32" i="69"/>
  <c r="P37" i="69"/>
  <c r="P19" i="69"/>
  <c r="P35" i="69"/>
  <c r="P38" i="69"/>
  <c r="P65" i="69"/>
  <c r="P13" i="69"/>
  <c r="P23" i="69"/>
  <c r="P14" i="69"/>
  <c r="P21" i="69"/>
  <c r="P20" i="69"/>
  <c r="P41" i="69"/>
  <c r="P22" i="69"/>
  <c r="P30" i="69"/>
  <c r="P15" i="69"/>
  <c r="P57" i="69"/>
  <c r="P55" i="69"/>
  <c r="P56" i="69"/>
  <c r="P58" i="69"/>
  <c r="P26" i="69"/>
  <c r="P9" i="69"/>
  <c r="P24" i="69"/>
  <c r="P36" i="69"/>
  <c r="P31" i="69"/>
  <c r="P18" i="69"/>
  <c r="P7" i="69"/>
  <c r="P11" i="69"/>
  <c r="P45" i="69"/>
  <c r="P10" i="69"/>
  <c r="P39" i="69"/>
  <c r="P59" i="69"/>
  <c r="P6" i="69"/>
  <c r="P44" i="69"/>
  <c r="P50" i="69"/>
  <c r="P47" i="69"/>
  <c r="P16" i="69"/>
  <c r="P52" i="69"/>
  <c r="P51" i="69"/>
  <c r="P12" i="69"/>
  <c r="P43" i="69"/>
  <c r="P34" i="69"/>
  <c r="P17" i="69"/>
  <c r="P25" i="69"/>
  <c r="P60" i="69"/>
  <c r="P62" i="69"/>
  <c r="AY3" i="3" l="1"/>
  <c r="C19" i="6"/>
  <c r="C40" i="39" l="1"/>
  <c r="F19" i="6"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12" i="67"/>
  <c r="F13" i="67"/>
  <c r="B8" i="67"/>
  <c r="E10" i="67"/>
  <c r="F11" i="67"/>
  <c r="B14" i="67"/>
  <c r="E13" i="67"/>
  <c r="E14" i="67"/>
  <c r="F12" i="67"/>
  <c r="B13" i="67"/>
  <c r="E11" i="67"/>
  <c r="F8" i="67"/>
  <c r="E12" i="67"/>
  <c r="F9" i="67"/>
  <c r="B11" i="67"/>
  <c r="B9" i="67"/>
  <c r="F14" i="67"/>
  <c r="E9" i="67"/>
  <c r="F10" i="67"/>
  <c r="B10"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5" i="65"/>
  <c r="N4" i="65"/>
  <c r="I4" i="65"/>
  <c r="N6" i="65"/>
  <c r="N3" i="65"/>
  <c r="E20" i="46" l="1"/>
  <c r="C4" i="65"/>
  <c r="B39" i="1" s="1"/>
  <c r="I6" i="65"/>
  <c r="J6" i="65"/>
  <c r="J3" i="65"/>
  <c r="J5" i="65"/>
  <c r="J7" i="65"/>
  <c r="I5" i="65"/>
  <c r="J4" i="65"/>
  <c r="I3" i="65"/>
  <c r="I7"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AB16"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l="1"/>
  <c r="C31" i="75"/>
  <c r="F18" i="35"/>
  <c r="AA18" i="35"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G10" i="1" s="1"/>
  <c r="B2" i="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7" i="75" s="1"/>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G16" i="3" s="1"/>
  <c r="H17" i="3"/>
  <c r="AC17" i="3"/>
  <c r="G17" i="3" s="1"/>
  <c r="H18" i="3"/>
  <c r="AC18" i="3"/>
  <c r="G18" i="3" s="1"/>
  <c r="BB18" i="3"/>
  <c r="BC18" i="3"/>
  <c r="BA18" i="3" s="1"/>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B5" i="3" s="1"/>
  <c r="BC481" i="3"/>
  <c r="BD481" i="3"/>
  <c r="BE481" i="3"/>
  <c r="BF481" i="3"/>
  <c r="BG481" i="3"/>
  <c r="BH481" i="3"/>
  <c r="BI481" i="3"/>
  <c r="BJ481" i="3"/>
  <c r="BJ5" i="3" s="1"/>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A490" i="3" s="1"/>
  <c r="BD490" i="3"/>
  <c r="BE490" i="3"/>
  <c r="BF490" i="3"/>
  <c r="BG490" i="3"/>
  <c r="BH490" i="3"/>
  <c r="BI490" i="3"/>
  <c r="BJ490" i="3"/>
  <c r="BK490" i="3"/>
  <c r="BM490" i="3"/>
  <c r="BN490" i="3"/>
  <c r="BO490" i="3"/>
  <c r="BP490" i="3"/>
  <c r="BR490" i="3"/>
  <c r="BS490" i="3"/>
  <c r="BT490" i="3"/>
  <c r="H491" i="3"/>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A497" i="3" s="1"/>
  <c r="AZ497" i="3" s="1"/>
  <c r="BD497" i="3"/>
  <c r="BE497" i="3"/>
  <c r="BF497" i="3"/>
  <c r="BG497" i="3"/>
  <c r="BH497" i="3"/>
  <c r="BI497" i="3"/>
  <c r="BJ497" i="3"/>
  <c r="BK497" i="3"/>
  <c r="BM497" i="3"/>
  <c r="BN497" i="3"/>
  <c r="BO497" i="3"/>
  <c r="BP497" i="3"/>
  <c r="BQ497" i="3"/>
  <c r="BR497" i="3"/>
  <c r="BS497" i="3"/>
  <c r="BT497" i="3"/>
  <c r="H498" i="3"/>
  <c r="AC498" i="3"/>
  <c r="G498" i="3" s="1"/>
  <c r="BB498" i="3"/>
  <c r="BC498" i="3"/>
  <c r="BA498" i="3" s="1"/>
  <c r="AZ498" i="3" s="1"/>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L499" i="3" s="1"/>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Q517" i="3"/>
  <c r="BR517" i="3"/>
  <c r="BS517" i="3"/>
  <c r="BT517" i="3"/>
  <c r="H518" i="3"/>
  <c r="G518" i="3" s="1"/>
  <c r="AC518" i="3"/>
  <c r="BB518" i="3"/>
  <c r="BA518" i="3" s="1"/>
  <c r="AZ518" i="3" s="1"/>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L540" i="3" s="1"/>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A547" i="3" s="1"/>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A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F33"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H46" i="39" s="1"/>
  <c r="U46" i="39" s="1"/>
  <c r="B129" i="39"/>
  <c r="F45" i="39" s="1"/>
  <c r="AA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E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B57" i="35"/>
  <c r="B61" i="35"/>
  <c r="B59" i="35"/>
  <c r="H12" i="35" s="1"/>
  <c r="B131" i="34"/>
  <c r="B129" i="34"/>
  <c r="B127" i="34"/>
  <c r="B99" i="34"/>
  <c r="B97" i="34"/>
  <c r="B95" i="34"/>
  <c r="B93" i="34"/>
  <c r="B75" i="34"/>
  <c r="B73" i="34"/>
  <c r="H13" i="34" s="1"/>
  <c r="U13" i="34" s="1"/>
  <c r="B71" i="34"/>
  <c r="B130" i="33"/>
  <c r="B128" i="33"/>
  <c r="H45" i="33" s="1"/>
  <c r="B126" i="33"/>
  <c r="B98" i="33"/>
  <c r="F31" i="33"/>
  <c r="B96" i="33"/>
  <c r="B94" i="33"/>
  <c r="B74" i="33"/>
  <c r="B72" i="33"/>
  <c r="J13" i="33" s="1"/>
  <c r="W13" i="33" s="1"/>
  <c r="B70" i="33"/>
  <c r="D96" i="35"/>
  <c r="E96" i="35" s="1"/>
  <c r="F96" i="35" s="1"/>
  <c r="G96" i="35" s="1"/>
  <c r="D94" i="35"/>
  <c r="D84" i="35"/>
  <c r="E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Q27" i="35"/>
  <c r="Z27" i="35" s="1"/>
  <c r="Q26" i="35"/>
  <c r="Z26" i="35" s="1"/>
  <c r="Q25" i="35"/>
  <c r="Z25" i="35" s="1"/>
  <c r="Q24" i="35"/>
  <c r="Z24" i="35" s="1"/>
  <c r="Q23" i="35"/>
  <c r="Z23" i="35" s="1"/>
  <c r="Q22" i="35"/>
  <c r="Z22" i="35" s="1"/>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U31" i="21" s="1"/>
  <c r="B96" i="21"/>
  <c r="F30" i="21" s="1"/>
  <c r="S30" i="21" s="1"/>
  <c r="B94" i="21"/>
  <c r="B92" i="21"/>
  <c r="B90" i="21"/>
  <c r="J27" i="21" s="1"/>
  <c r="W27" i="21" s="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H38" i="21"/>
  <c r="AB38" i="21" s="1"/>
  <c r="H43" i="21"/>
  <c r="AB43" i="21" s="1"/>
  <c r="F38" i="21"/>
  <c r="S38" i="21" s="1"/>
  <c r="F36" i="21"/>
  <c r="S36" i="21" s="1"/>
  <c r="F39" i="21"/>
  <c r="AA39" i="21" s="1"/>
  <c r="J8" i="21"/>
  <c r="AC8" i="21" s="1"/>
  <c r="H8" i="21"/>
  <c r="AB8" i="21" s="1"/>
  <c r="H10" i="21"/>
  <c r="U10" i="21" s="1"/>
  <c r="H39" i="21"/>
  <c r="AB39" i="21" s="1"/>
  <c r="J34" i="21"/>
  <c r="W34" i="21" s="1"/>
  <c r="H36" i="21"/>
  <c r="U36" i="21" s="1"/>
  <c r="F35" i="21"/>
  <c r="AA35" i="21" s="1"/>
  <c r="J10" i="21"/>
  <c r="AC10" i="21" s="1"/>
  <c r="H26" i="21"/>
  <c r="AB26" i="21" s="1"/>
  <c r="F19" i="21"/>
  <c r="AA19" i="21" s="1"/>
  <c r="H19" i="21"/>
  <c r="AB19" i="21" s="1"/>
  <c r="J19" i="21"/>
  <c r="W19" i="21" s="1"/>
  <c r="J12" i="21"/>
  <c r="W12" i="21" s="1"/>
  <c r="H12" i="21"/>
  <c r="U12" i="21" s="1"/>
  <c r="J26" i="21"/>
  <c r="W26" i="21" s="1"/>
  <c r="F26" i="21"/>
  <c r="AA26" i="21" s="1"/>
  <c r="S10" i="39"/>
  <c r="U30" i="37"/>
  <c r="F39" i="37"/>
  <c r="F29" i="36"/>
  <c r="AA29" i="36" s="1"/>
  <c r="F16" i="36"/>
  <c r="AA16" i="36" s="1"/>
  <c r="U22" i="36"/>
  <c r="W23" i="36"/>
  <c r="W22" i="36"/>
  <c r="U26" i="36"/>
  <c r="AC31" i="36"/>
  <c r="J33" i="36"/>
  <c r="W33" i="36" s="1"/>
  <c r="W24" i="35"/>
  <c r="U34" i="35"/>
  <c r="F36" i="34"/>
  <c r="S36" i="34" s="1"/>
  <c r="W9" i="34"/>
  <c r="S34" i="34"/>
  <c r="W39" i="34"/>
  <c r="H39" i="33"/>
  <c r="AB39" i="33" s="1"/>
  <c r="F26" i="33"/>
  <c r="AA26" i="33" s="1"/>
  <c r="U33" i="33"/>
  <c r="W38" i="33"/>
  <c r="S40" i="33"/>
  <c r="H39" i="37"/>
  <c r="AB39" i="37" s="1"/>
  <c r="AB27" i="35"/>
  <c r="S10" i="40"/>
  <c r="W10" i="40"/>
  <c r="S11" i="40"/>
  <c r="U11" i="40"/>
  <c r="S36" i="40"/>
  <c r="U36" i="40"/>
  <c r="S36" i="39"/>
  <c r="C29" i="39"/>
  <c r="U36" i="39"/>
  <c r="H32" i="33"/>
  <c r="AB32" i="33" s="1"/>
  <c r="AA12" i="33"/>
  <c r="J27" i="36"/>
  <c r="W27" i="36" s="1"/>
  <c r="J34" i="36"/>
  <c r="W34" i="36" s="1"/>
  <c r="J30" i="35"/>
  <c r="W30" i="35" s="1"/>
  <c r="F22" i="35"/>
  <c r="H10" i="35"/>
  <c r="U10" i="35" s="1"/>
  <c r="AC24" i="36"/>
  <c r="U29" i="36"/>
  <c r="U24" i="36"/>
  <c r="E85" i="36"/>
  <c r="F85" i="36" s="1"/>
  <c r="G85" i="36" s="1"/>
  <c r="H85" i="36" s="1"/>
  <c r="I85" i="36" s="1"/>
  <c r="J85" i="36" s="1"/>
  <c r="K85" i="36" s="1"/>
  <c r="L85" i="36" s="1"/>
  <c r="M85" i="36" s="1"/>
  <c r="J29" i="36"/>
  <c r="AC29" i="36" s="1"/>
  <c r="F12" i="36"/>
  <c r="S12" i="36" s="1"/>
  <c r="F24" i="36"/>
  <c r="F34" i="36"/>
  <c r="S34" i="36" s="1"/>
  <c r="S10" i="36"/>
  <c r="AB8" i="36"/>
  <c r="H16" i="35"/>
  <c r="U16" i="35" s="1"/>
  <c r="H33" i="35"/>
  <c r="AB33" i="35" s="1"/>
  <c r="W8" i="35"/>
  <c r="F35" i="37"/>
  <c r="E101" i="37"/>
  <c r="F101" i="37" s="1"/>
  <c r="G101" i="37" s="1"/>
  <c r="H101" i="37" s="1"/>
  <c r="I101" i="37" s="1"/>
  <c r="J101" i="37" s="1"/>
  <c r="K101" i="37" s="1"/>
  <c r="L101" i="37" s="1"/>
  <c r="M101" i="37" s="1"/>
  <c r="J34" i="37"/>
  <c r="W34" i="37" s="1"/>
  <c r="H43" i="34"/>
  <c r="AB43" i="34" s="1"/>
  <c r="H36" i="34"/>
  <c r="U36" i="34" s="1"/>
  <c r="F37" i="34"/>
  <c r="AA37" i="34" s="1"/>
  <c r="F33" i="34"/>
  <c r="S33" i="34" s="1"/>
  <c r="F19" i="34"/>
  <c r="AA19" i="34" s="1"/>
  <c r="J10" i="34"/>
  <c r="AC10" i="34" s="1"/>
  <c r="U9" i="34"/>
  <c r="W8" i="34"/>
  <c r="J28" i="34"/>
  <c r="W28" i="34" s="1"/>
  <c r="S38" i="33"/>
  <c r="E113" i="33"/>
  <c r="F36" i="33"/>
  <c r="S36" i="33" s="1"/>
  <c r="F19" i="33"/>
  <c r="S19" i="33" s="1"/>
  <c r="J19" i="33"/>
  <c r="AB30" i="36"/>
  <c r="H29" i="35"/>
  <c r="AA34" i="37"/>
  <c r="W36" i="34"/>
  <c r="J19" i="34"/>
  <c r="AC19" i="34" s="1"/>
  <c r="F113" i="33"/>
  <c r="G113" i="33" s="1"/>
  <c r="H113" i="33" s="1"/>
  <c r="I113" i="33" s="1"/>
  <c r="J113" i="33" s="1"/>
  <c r="K113" i="33" s="1"/>
  <c r="L113" i="33" s="1"/>
  <c r="M113" i="33" s="1"/>
  <c r="H37" i="33"/>
  <c r="AB37" i="33" s="1"/>
  <c r="AC42" i="34"/>
  <c r="W42" i="34"/>
  <c r="AC38" i="34"/>
  <c r="W38" i="34"/>
  <c r="AA38" i="34"/>
  <c r="S38" i="34"/>
  <c r="J37" i="33"/>
  <c r="W37" i="33" s="1"/>
  <c r="J44" i="34"/>
  <c r="AC44" i="34" s="1"/>
  <c r="F44" i="34"/>
  <c r="J10" i="35"/>
  <c r="W10" i="35" s="1"/>
  <c r="AL5" i="3"/>
  <c r="BQ13" i="3"/>
  <c r="J14" i="21"/>
  <c r="F14" i="21"/>
  <c r="AA14" i="21" s="1"/>
  <c r="H14" i="21"/>
  <c r="H28" i="21"/>
  <c r="AB28" i="21" s="1"/>
  <c r="F28" i="21"/>
  <c r="S28" i="21" s="1"/>
  <c r="J28" i="21"/>
  <c r="AC28" i="21" s="1"/>
  <c r="H30" i="21"/>
  <c r="U30" i="21" s="1"/>
  <c r="J30" i="21"/>
  <c r="J44" i="21"/>
  <c r="AC44" i="21" s="1"/>
  <c r="H44" i="21"/>
  <c r="F44" i="21"/>
  <c r="AA44" i="21" s="1"/>
  <c r="H46" i="21"/>
  <c r="J46" i="21"/>
  <c r="W46" i="21" s="1"/>
  <c r="F46" i="21"/>
  <c r="AA46" i="21" s="1"/>
  <c r="H26" i="33"/>
  <c r="U26" i="33" s="1"/>
  <c r="H28" i="33"/>
  <c r="U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J45" i="33"/>
  <c r="W45" i="33" s="1"/>
  <c r="F45" i="33"/>
  <c r="S45" i="33" s="1"/>
  <c r="F11" i="35"/>
  <c r="S11" i="35" s="1"/>
  <c r="H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14" i="33"/>
  <c r="U14" i="33" s="1"/>
  <c r="F14" i="33"/>
  <c r="AA14" i="33" s="1"/>
  <c r="J14" i="33"/>
  <c r="AC14" i="33" s="1"/>
  <c r="H30" i="33"/>
  <c r="AB30" i="33" s="1"/>
  <c r="F30" i="33"/>
  <c r="S30" i="33" s="1"/>
  <c r="J30" i="33"/>
  <c r="F44" i="33"/>
  <c r="S44" i="33" s="1"/>
  <c r="F29" i="34"/>
  <c r="S29" i="34" s="1"/>
  <c r="H47" i="34"/>
  <c r="U47" i="34"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H28" i="37"/>
  <c r="U28" i="37" s="1"/>
  <c r="H38" i="37"/>
  <c r="AB38" i="37" s="1"/>
  <c r="J38" i="37"/>
  <c r="AC38" i="37" s="1"/>
  <c r="F38" i="37"/>
  <c r="S38" i="37" s="1"/>
  <c r="F14" i="37"/>
  <c r="AA14" i="37" s="1"/>
  <c r="F27" i="37"/>
  <c r="AA27" i="37" s="1"/>
  <c r="J14" i="37"/>
  <c r="J27" i="37"/>
  <c r="W27" i="37" s="1"/>
  <c r="W35" i="35"/>
  <c r="J36" i="37"/>
  <c r="AC36" i="37" s="1"/>
  <c r="S46" i="21"/>
  <c r="U36" i="37"/>
  <c r="S45" i="21"/>
  <c r="G529" i="3"/>
  <c r="G513" i="3"/>
  <c r="G508" i="3"/>
  <c r="G499" i="3"/>
  <c r="G485" i="3"/>
  <c r="G565" i="3"/>
  <c r="G561" i="3"/>
  <c r="G557" i="3"/>
  <c r="G539" i="3"/>
  <c r="BL561" i="3"/>
  <c r="BL557" i="3"/>
  <c r="BL553" i="3"/>
  <c r="BL535" i="3"/>
  <c r="BL527" i="3"/>
  <c r="BL511" i="3"/>
  <c r="BL501" i="3"/>
  <c r="BL483" i="3"/>
  <c r="BL559" i="3"/>
  <c r="BL555" i="3"/>
  <c r="BL533" i="3"/>
  <c r="BL525" i="3"/>
  <c r="G514" i="3"/>
  <c r="G510" i="3"/>
  <c r="BL503" i="3"/>
  <c r="BL485" i="3"/>
  <c r="BA569" i="3"/>
  <c r="BA565" i="3"/>
  <c r="BA561" i="3"/>
  <c r="AZ561" i="3" s="1"/>
  <c r="BA559" i="3"/>
  <c r="AZ559" i="3" s="1"/>
  <c r="BA557" i="3"/>
  <c r="BA555" i="3"/>
  <c r="BA545" i="3"/>
  <c r="BA531" i="3"/>
  <c r="BA509" i="3"/>
  <c r="BA505" i="3"/>
  <c r="BA501" i="3"/>
  <c r="BA487" i="3"/>
  <c r="BA572" i="3"/>
  <c r="BA566" i="3"/>
  <c r="BA562" i="3"/>
  <c r="BA560" i="3"/>
  <c r="BA558" i="3"/>
  <c r="BA556" i="3"/>
  <c r="BA554" i="3"/>
  <c r="BA540" i="3"/>
  <c r="AZ540" i="3" s="1"/>
  <c r="BA536" i="3"/>
  <c r="BA532" i="3"/>
  <c r="BA528" i="3"/>
  <c r="BA524" i="3"/>
  <c r="BA512" i="3"/>
  <c r="BA508" i="3"/>
  <c r="BA502" i="3"/>
  <c r="BA488" i="3"/>
  <c r="AZ488" i="3" s="1"/>
  <c r="BA484" i="3"/>
  <c r="BA20" i="3"/>
  <c r="G566" i="3"/>
  <c r="G562" i="3"/>
  <c r="G560" i="3"/>
  <c r="G558" i="3"/>
  <c r="G556" i="3"/>
  <c r="G554" i="3"/>
  <c r="BA542" i="3"/>
  <c r="AC542" i="3"/>
  <c r="G542" i="3"/>
  <c r="BQ542" i="3"/>
  <c r="BL542" i="3"/>
  <c r="BQ568" i="3"/>
  <c r="BQ566" i="3"/>
  <c r="BL566" i="3" s="1"/>
  <c r="AZ566" i="3" s="1"/>
  <c r="BQ564" i="3"/>
  <c r="BL564" i="3" s="1"/>
  <c r="BQ562" i="3"/>
  <c r="BL562" i="3" s="1"/>
  <c r="AZ562" i="3" s="1"/>
  <c r="BQ560" i="3"/>
  <c r="BL560" i="3"/>
  <c r="BQ558" i="3"/>
  <c r="BL558" i="3"/>
  <c r="AZ558" i="3" s="1"/>
  <c r="BQ556" i="3"/>
  <c r="BL556" i="3"/>
  <c r="BQ554" i="3"/>
  <c r="BQ552" i="3"/>
  <c r="BL552" i="3" s="1"/>
  <c r="BQ550" i="3"/>
  <c r="BQ548" i="3"/>
  <c r="BQ546" i="3"/>
  <c r="BQ544" i="3"/>
  <c r="BL544" i="3" s="1"/>
  <c r="G538" i="3"/>
  <c r="G534" i="3"/>
  <c r="G530" i="3"/>
  <c r="G526" i="3"/>
  <c r="BQ540" i="3"/>
  <c r="BQ538" i="3"/>
  <c r="BL538" i="3"/>
  <c r="BQ536" i="3"/>
  <c r="BQ534" i="3"/>
  <c r="BL534" i="3" s="1"/>
  <c r="BQ532" i="3"/>
  <c r="BL532" i="3" s="1"/>
  <c r="BQ530" i="3"/>
  <c r="BQ528" i="3"/>
  <c r="BQ526" i="3"/>
  <c r="BL526" i="3" s="1"/>
  <c r="BQ524" i="3"/>
  <c r="BQ522" i="3"/>
  <c r="BQ520" i="3"/>
  <c r="BQ518" i="3"/>
  <c r="BQ516" i="3"/>
  <c r="BQ514" i="3"/>
  <c r="BL514" i="3" s="1"/>
  <c r="BQ512" i="3"/>
  <c r="BQ510" i="3"/>
  <c r="BL510" i="3"/>
  <c r="BQ508" i="3"/>
  <c r="BL508" i="3"/>
  <c r="AC506" i="3"/>
  <c r="G506" i="3"/>
  <c r="BQ506" i="3"/>
  <c r="G502" i="3"/>
  <c r="BQ504" i="3"/>
  <c r="BL504" i="3" s="1"/>
  <c r="AZ504" i="3" s="1"/>
  <c r="BQ502" i="3"/>
  <c r="BL502" i="3"/>
  <c r="BQ500" i="3"/>
  <c r="BL500" i="3"/>
  <c r="BQ498" i="3"/>
  <c r="BQ496" i="3"/>
  <c r="AC494" i="3"/>
  <c r="BQ494" i="3"/>
  <c r="G488" i="3"/>
  <c r="G484" i="3"/>
  <c r="BQ492" i="3"/>
  <c r="BL492" i="3" s="1"/>
  <c r="BQ490" i="3"/>
  <c r="BQ488" i="3"/>
  <c r="BL488" i="3" s="1"/>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F39" i="33"/>
  <c r="E123" i="33"/>
  <c r="F123" i="33" s="1"/>
  <c r="G123" i="33" s="1"/>
  <c r="H123" i="33" s="1"/>
  <c r="I123" i="33" s="1"/>
  <c r="J123" i="33" s="1"/>
  <c r="K123" i="33" s="1"/>
  <c r="L123" i="33" s="1"/>
  <c r="M123" i="33" s="1"/>
  <c r="F42" i="33"/>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H42" i="33"/>
  <c r="U42" i="33" s="1"/>
  <c r="J43" i="33"/>
  <c r="AC43" i="33" s="1"/>
  <c r="J23" i="37"/>
  <c r="W23" i="37" s="1"/>
  <c r="F17" i="37"/>
  <c r="AA17" i="37" s="1"/>
  <c r="D3" i="21"/>
  <c r="AC33" i="36"/>
  <c r="AC23" i="37"/>
  <c r="U39" i="37"/>
  <c r="AC8" i="37"/>
  <c r="S25" i="37"/>
  <c r="AC36" i="34"/>
  <c r="AB8" i="34"/>
  <c r="AA13" i="33"/>
  <c r="F43" i="33"/>
  <c r="AA43" i="33" s="1"/>
  <c r="H19" i="34"/>
  <c r="AB19" i="34" s="1"/>
  <c r="J10" i="37"/>
  <c r="W10" i="37" s="1"/>
  <c r="F36" i="35"/>
  <c r="S36" i="35" s="1"/>
  <c r="J9" i="37"/>
  <c r="W9" i="37" s="1"/>
  <c r="H9" i="37"/>
  <c r="U9" i="37" s="1"/>
  <c r="F9" i="37"/>
  <c r="S9" i="37" s="1"/>
  <c r="F11" i="37"/>
  <c r="S11"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U31" i="37"/>
  <c r="E90" i="40"/>
  <c r="F21" i="40"/>
  <c r="S21" i="40" s="1"/>
  <c r="W36" i="40"/>
  <c r="F90" i="40"/>
  <c r="J21" i="40"/>
  <c r="AC21" i="40" s="1"/>
  <c r="G90" i="40"/>
  <c r="S27" i="31"/>
  <c r="G483" i="3"/>
  <c r="G515" i="3"/>
  <c r="G507" i="3"/>
  <c r="G501" i="3"/>
  <c r="BA15" i="3"/>
  <c r="BL17" i="3"/>
  <c r="BL15" i="3"/>
  <c r="BA14" i="3"/>
  <c r="AZ14" i="3" s="1"/>
  <c r="J57" i="39"/>
  <c r="H13" i="40"/>
  <c r="U13" i="40" s="1"/>
  <c r="H12" i="48"/>
  <c r="I4" i="4"/>
  <c r="I59" i="40"/>
  <c r="C59" i="40" s="1"/>
  <c r="I60" i="40"/>
  <c r="C60" i="40" s="1"/>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9" i="3"/>
  <c r="AZ47" i="3"/>
  <c r="AZ55"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54" i="3"/>
  <c r="AZ170" i="3"/>
  <c r="AZ179" i="3"/>
  <c r="AZ183" i="3"/>
  <c r="AZ191"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BL375" i="3"/>
  <c r="G376" i="3"/>
  <c r="BA378" i="3"/>
  <c r="AZ378" i="3" s="1"/>
  <c r="BL379" i="3"/>
  <c r="G380" i="3"/>
  <c r="BA382" i="3"/>
  <c r="AZ382" i="3"/>
  <c r="BL383" i="3"/>
  <c r="G384" i="3"/>
  <c r="AZ253" i="3"/>
  <c r="AZ257" i="3"/>
  <c r="AZ383" i="3"/>
  <c r="AZ270" i="3"/>
  <c r="AZ290" i="3"/>
  <c r="AZ319" i="3"/>
  <c r="AZ335" i="3"/>
  <c r="AZ351" i="3"/>
  <c r="AZ369" i="3"/>
  <c r="H7" i="48"/>
  <c r="H113" i="46"/>
  <c r="H17" i="46"/>
  <c r="F33" i="46"/>
  <c r="F35" i="46"/>
  <c r="F37" i="46"/>
  <c r="H16" i="48"/>
  <c r="H9" i="48"/>
  <c r="H8" i="48"/>
  <c r="C12" i="46"/>
  <c r="AB15" i="37"/>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U32" i="33"/>
  <c r="AB17" i="37"/>
  <c r="AA45" i="33"/>
  <c r="AC11" i="36"/>
  <c r="AC10" i="36"/>
  <c r="AB35" i="35"/>
  <c r="AC30" i="33"/>
  <c r="W30" i="33"/>
  <c r="AC29" i="37"/>
  <c r="W32" i="36"/>
  <c r="AC32" i="36"/>
  <c r="J33" i="34"/>
  <c r="AC33" i="34" s="1"/>
  <c r="AB36" i="34"/>
  <c r="J40" i="34"/>
  <c r="W40" i="34" s="1"/>
  <c r="W42" i="33"/>
  <c r="J35" i="34"/>
  <c r="W35" i="34" s="1"/>
  <c r="S30" i="36"/>
  <c r="H16" i="36"/>
  <c r="AB16" i="36" s="1"/>
  <c r="H35" i="37"/>
  <c r="AB35" i="37" s="1"/>
  <c r="S26" i="21"/>
  <c r="AB12" i="21"/>
  <c r="H32" i="21"/>
  <c r="U32" i="21" s="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S12" i="35"/>
  <c r="H13" i="33"/>
  <c r="U13"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H32" i="37"/>
  <c r="AB32" i="37" s="1"/>
  <c r="F43" i="39"/>
  <c r="AA43" i="39" s="1"/>
  <c r="H43" i="39"/>
  <c r="U43" i="39" s="1"/>
  <c r="J43" i="39"/>
  <c r="W43" i="39" s="1"/>
  <c r="AC27" i="37"/>
  <c r="U25" i="35"/>
  <c r="W27" i="33"/>
  <c r="S28" i="33"/>
  <c r="AB29" i="35"/>
  <c r="U29" i="35"/>
  <c r="AC19" i="33"/>
  <c r="W19" i="33"/>
  <c r="U43" i="34"/>
  <c r="AC34" i="37"/>
  <c r="S35" i="37"/>
  <c r="AA35" i="37"/>
  <c r="U38" i="21"/>
  <c r="AB34" i="21"/>
  <c r="BL571" i="3"/>
  <c r="BA571" i="3"/>
  <c r="AZ571" i="3" s="1"/>
  <c r="BL570" i="3"/>
  <c r="F42" i="21"/>
  <c r="AA42" i="21" s="1"/>
  <c r="AB40" i="33"/>
  <c r="U40" i="33"/>
  <c r="AA35" i="34"/>
  <c r="S35" i="34"/>
  <c r="E90" i="34"/>
  <c r="H27" i="34"/>
  <c r="AB27" i="34" s="1"/>
  <c r="AB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C31" i="37"/>
  <c r="F17" i="39"/>
  <c r="AA17" i="39" s="1"/>
  <c r="H17" i="39"/>
  <c r="U17" i="39" s="1"/>
  <c r="J17" i="39"/>
  <c r="W17" i="39" s="1"/>
  <c r="F21" i="39"/>
  <c r="S21" i="39" s="1"/>
  <c r="H21" i="39"/>
  <c r="AB21" i="39" s="1"/>
  <c r="J21" i="39"/>
  <c r="W21" i="39" s="1"/>
  <c r="J33" i="39"/>
  <c r="W33" i="39" s="1"/>
  <c r="J46" i="39"/>
  <c r="W46" i="39" s="1"/>
  <c r="E103" i="39"/>
  <c r="F34" i="39"/>
  <c r="AA34" i="39" s="1"/>
  <c r="H34" i="39"/>
  <c r="AB34" i="39" s="1"/>
  <c r="J34" i="39"/>
  <c r="AC34" i="39" s="1"/>
  <c r="F39" i="39"/>
  <c r="S39" i="39" s="1"/>
  <c r="J39" i="39"/>
  <c r="W39" i="39" s="1"/>
  <c r="J29" i="35"/>
  <c r="AC29" i="35" s="1"/>
  <c r="F29" i="35"/>
  <c r="S29" i="35" s="1"/>
  <c r="W30" i="36"/>
  <c r="J37" i="39"/>
  <c r="W37" i="39" s="1"/>
  <c r="BL567" i="3"/>
  <c r="BL565" i="3"/>
  <c r="AZ565" i="3" s="1"/>
  <c r="BA564" i="3"/>
  <c r="AZ564" i="3" s="1"/>
  <c r="BA563" i="3"/>
  <c r="BL554" i="3"/>
  <c r="BA553" i="3"/>
  <c r="AZ553" i="3" s="1"/>
  <c r="BA552" i="3"/>
  <c r="BL549" i="3"/>
  <c r="BL548" i="3"/>
  <c r="BL547" i="3"/>
  <c r="BL539" i="3"/>
  <c r="BA539" i="3"/>
  <c r="AZ539" i="3"/>
  <c r="BA538" i="3"/>
  <c r="AZ538" i="3"/>
  <c r="BL537" i="3"/>
  <c r="BA537" i="3"/>
  <c r="BL536" i="3"/>
  <c r="AZ536" i="3"/>
  <c r="BA535" i="3"/>
  <c r="AZ535" i="3"/>
  <c r="BA534" i="3"/>
  <c r="BA533" i="3"/>
  <c r="AZ533" i="3" s="1"/>
  <c r="BL531" i="3"/>
  <c r="AZ531" i="3" s="1"/>
  <c r="BL530" i="3"/>
  <c r="BA530" i="3"/>
  <c r="BL529" i="3"/>
  <c r="AZ529" i="3" s="1"/>
  <c r="BA529" i="3"/>
  <c r="BL528" i="3"/>
  <c r="AZ528" i="3" s="1"/>
  <c r="BA527" i="3"/>
  <c r="AZ527" i="3" s="1"/>
  <c r="BA526" i="3"/>
  <c r="BA525" i="3"/>
  <c r="AZ525" i="3"/>
  <c r="BA523" i="3"/>
  <c r="BA522" i="3"/>
  <c r="AZ522" i="3" s="1"/>
  <c r="BL521" i="3"/>
  <c r="BA519" i="3"/>
  <c r="BL518" i="3"/>
  <c r="BL517" i="3"/>
  <c r="BL515" i="3"/>
  <c r="BA515" i="3"/>
  <c r="AZ515" i="3" s="1"/>
  <c r="BA514" i="3"/>
  <c r="BL513" i="3"/>
  <c r="BA513" i="3"/>
  <c r="BL512" i="3"/>
  <c r="AZ512" i="3" s="1"/>
  <c r="BA511" i="3"/>
  <c r="AZ511" i="3" s="1"/>
  <c r="BA510" i="3"/>
  <c r="AZ510" i="3" s="1"/>
  <c r="BL509" i="3"/>
  <c r="AZ509" i="3" s="1"/>
  <c r="BL507" i="3"/>
  <c r="AZ507" i="3" s="1"/>
  <c r="BA507" i="3"/>
  <c r="BL506" i="3"/>
  <c r="BA506" i="3"/>
  <c r="BL505" i="3"/>
  <c r="AZ505" i="3" s="1"/>
  <c r="BA504" i="3"/>
  <c r="BA503" i="3"/>
  <c r="BA500" i="3"/>
  <c r="AZ500" i="3" s="1"/>
  <c r="BA499" i="3"/>
  <c r="AZ499" i="3" s="1"/>
  <c r="BL498" i="3"/>
  <c r="BL497" i="3"/>
  <c r="BL496" i="3"/>
  <c r="BA495" i="3"/>
  <c r="BA494" i="3"/>
  <c r="AZ494" i="3" s="1"/>
  <c r="G494" i="3"/>
  <c r="BL490" i="3"/>
  <c r="BL489" i="3"/>
  <c r="BA489" i="3"/>
  <c r="BL487" i="3"/>
  <c r="AZ487" i="3" s="1"/>
  <c r="BL486" i="3"/>
  <c r="BA486" i="3"/>
  <c r="AZ486" i="3" s="1"/>
  <c r="BA485" i="3"/>
  <c r="AZ485" i="3" s="1"/>
  <c r="BA483" i="3"/>
  <c r="AZ483" i="3" s="1"/>
  <c r="BA482" i="3"/>
  <c r="AZ482" i="3" s="1"/>
  <c r="BL481" i="3"/>
  <c r="BA481" i="3"/>
  <c r="AZ481" i="3" s="1"/>
  <c r="BL19" i="3"/>
  <c r="F36" i="44"/>
  <c r="H38" i="34"/>
  <c r="U38" i="34" s="1"/>
  <c r="H30" i="40"/>
  <c r="AB30" i="40" s="1"/>
  <c r="G100" i="40"/>
  <c r="J30" i="40" s="1"/>
  <c r="AC30" i="40" s="1"/>
  <c r="F38" i="40"/>
  <c r="AA38" i="40" s="1"/>
  <c r="AA36" i="34"/>
  <c r="AC12" i="21"/>
  <c r="AB10" i="21"/>
  <c r="U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J20" i="35"/>
  <c r="AC20" i="35" s="1"/>
  <c r="E72" i="35"/>
  <c r="F72" i="35" s="1"/>
  <c r="G72" i="35" s="1"/>
  <c r="H22" i="35"/>
  <c r="AB22" i="35" s="1"/>
  <c r="H23" i="35"/>
  <c r="U23" i="35" s="1"/>
  <c r="W12" i="36"/>
  <c r="AC12" i="36"/>
  <c r="U31" i="36"/>
  <c r="S8" i="37"/>
  <c r="AA8" i="37"/>
  <c r="H14" i="39"/>
  <c r="AB14" i="39" s="1"/>
  <c r="F16" i="39"/>
  <c r="AA16" i="39" s="1"/>
  <c r="J16" i="39"/>
  <c r="AC16" i="39" s="1"/>
  <c r="F27" i="39"/>
  <c r="AA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H45" i="39"/>
  <c r="U45" i="39" s="1"/>
  <c r="F47" i="39"/>
  <c r="AA47" i="39" s="1"/>
  <c r="J47" i="39"/>
  <c r="W47" i="39" s="1"/>
  <c r="J41" i="39"/>
  <c r="AC41" i="39" s="1"/>
  <c r="E94" i="40"/>
  <c r="J25" i="40"/>
  <c r="AC25" i="40" s="1"/>
  <c r="J32" i="40"/>
  <c r="AC32" i="40" s="1"/>
  <c r="H32" i="40"/>
  <c r="U32" i="40" s="1"/>
  <c r="F33" i="40"/>
  <c r="AA33" i="40" s="1"/>
  <c r="H35" i="40"/>
  <c r="AB35" i="40" s="1"/>
  <c r="F35" i="40"/>
  <c r="AA35" i="40" s="1"/>
  <c r="J35" i="40"/>
  <c r="AC35" i="40" s="1"/>
  <c r="J38" i="39"/>
  <c r="W38" i="39" s="1"/>
  <c r="H38" i="39"/>
  <c r="U38" i="39" s="1"/>
  <c r="J16" i="40"/>
  <c r="W16" i="40" s="1"/>
  <c r="J14" i="40"/>
  <c r="W14" i="40" s="1"/>
  <c r="H42" i="40"/>
  <c r="H40" i="40"/>
  <c r="U40" i="40" s="1"/>
  <c r="H34" i="40"/>
  <c r="U34" i="40" s="1"/>
  <c r="B41" i="1"/>
  <c r="F27" i="43" s="1"/>
  <c r="J42" i="40"/>
  <c r="AC42" i="40" s="1"/>
  <c r="J40" i="40"/>
  <c r="AC40" i="40" s="1"/>
  <c r="J34" i="40"/>
  <c r="AC34" i="40" s="1"/>
  <c r="H16" i="40"/>
  <c r="AB16" i="40" s="1"/>
  <c r="H14" i="40"/>
  <c r="U14" i="40" s="1"/>
  <c r="F32" i="40"/>
  <c r="AA32" i="40" s="1"/>
  <c r="M1" i="46"/>
  <c r="M6" i="46"/>
  <c r="M10" i="46"/>
  <c r="N2" i="46"/>
  <c r="N5" i="46"/>
  <c r="F58" i="46" s="1"/>
  <c r="F47" i="46"/>
  <c r="H49" i="46" s="1"/>
  <c r="N7" i="46"/>
  <c r="AZ207" i="3"/>
  <c r="AZ212" i="3"/>
  <c r="AZ223" i="3"/>
  <c r="AZ228" i="3"/>
  <c r="AZ239" i="3"/>
  <c r="AZ244" i="3"/>
  <c r="AZ255" i="3"/>
  <c r="AZ260" i="3"/>
  <c r="AZ273" i="3"/>
  <c r="AZ281" i="3"/>
  <c r="AZ292" i="3"/>
  <c r="AZ121" i="3"/>
  <c r="AZ137" i="3"/>
  <c r="AZ152" i="3"/>
  <c r="M7" i="46"/>
  <c r="M11" i="46"/>
  <c r="N3" i="46"/>
  <c r="N6" i="46"/>
  <c r="N10" i="46"/>
  <c r="AZ164" i="3"/>
  <c r="AZ177" i="3"/>
  <c r="AZ24" i="3"/>
  <c r="AZ40" i="3"/>
  <c r="AZ56" i="3"/>
  <c r="AZ63" i="3"/>
  <c r="AZ79" i="3"/>
  <c r="AZ99" i="3"/>
  <c r="AZ112" i="3"/>
  <c r="J13" i="40"/>
  <c r="W13" i="40" s="1"/>
  <c r="F34" i="44"/>
  <c r="F72" i="9"/>
  <c r="S33" i="40"/>
  <c r="U37" i="34"/>
  <c r="AC41" i="40"/>
  <c r="U41" i="40"/>
  <c r="J23" i="40"/>
  <c r="AC23" i="40" s="1"/>
  <c r="F23" i="40"/>
  <c r="S23" i="40" s="1"/>
  <c r="H20" i="35"/>
  <c r="AB20" i="35" s="1"/>
  <c r="F20" i="35"/>
  <c r="S20" i="35" s="1"/>
  <c r="H15" i="34"/>
  <c r="AB15" i="34" s="1"/>
  <c r="F78" i="34"/>
  <c r="G78" i="34" s="1"/>
  <c r="J15" i="34"/>
  <c r="W15" i="34" s="1"/>
  <c r="H41" i="33"/>
  <c r="U41" i="33" s="1"/>
  <c r="F30" i="40"/>
  <c r="AA30" i="40" s="1"/>
  <c r="AZ537" i="3"/>
  <c r="J29" i="39"/>
  <c r="AC29" i="39" s="1"/>
  <c r="AB33" i="36"/>
  <c r="U46" i="34"/>
  <c r="AC30" i="34"/>
  <c r="AA14" i="34"/>
  <c r="W12" i="34"/>
  <c r="U17" i="34"/>
  <c r="AA11" i="34"/>
  <c r="W32" i="33"/>
  <c r="H15" i="33"/>
  <c r="U15" i="33" s="1"/>
  <c r="AA11" i="33"/>
  <c r="W34" i="40"/>
  <c r="AB34" i="40"/>
  <c r="AB42" i="40"/>
  <c r="U42" i="40"/>
  <c r="AC16" i="40"/>
  <c r="W32" i="40"/>
  <c r="H25" i="40"/>
  <c r="AB25" i="40" s="1"/>
  <c r="F94" i="40"/>
  <c r="G94" i="40" s="1"/>
  <c r="J37" i="34"/>
  <c r="AC37" i="34" s="1"/>
  <c r="J36" i="33"/>
  <c r="W36" i="33" s="1"/>
  <c r="S41" i="40"/>
  <c r="AA41" i="33"/>
  <c r="AA34" i="33"/>
  <c r="F106" i="33"/>
  <c r="G106" i="33" s="1"/>
  <c r="H106" i="33" s="1"/>
  <c r="I106" i="33" s="1"/>
  <c r="J106" i="33" s="1"/>
  <c r="K106" i="33" s="1"/>
  <c r="L106" i="33" s="1"/>
  <c r="M106" i="33" s="1"/>
  <c r="J34" i="33"/>
  <c r="AC34" i="33" s="1"/>
  <c r="U30" i="40"/>
  <c r="AA39" i="39"/>
  <c r="AB46" i="39"/>
  <c r="F80" i="35"/>
  <c r="G80" i="35" s="1"/>
  <c r="H80" i="35" s="1"/>
  <c r="I80" i="35" s="1"/>
  <c r="J80" i="35" s="1"/>
  <c r="K80" i="35" s="1"/>
  <c r="L80" i="35" s="1"/>
  <c r="M80" i="35" s="1"/>
  <c r="F90" i="34"/>
  <c r="G90" i="34" s="1"/>
  <c r="H90" i="34" s="1"/>
  <c r="I90" i="34" s="1"/>
  <c r="J90" i="34" s="1"/>
  <c r="K90" i="34" s="1"/>
  <c r="L90" i="34" s="1"/>
  <c r="M90" i="34" s="1"/>
  <c r="F27" i="34"/>
  <c r="S27" i="34" s="1"/>
  <c r="F32" i="37"/>
  <c r="S32" i="37" s="1"/>
  <c r="U32" i="34"/>
  <c r="AC14" i="34"/>
  <c r="G80" i="34"/>
  <c r="F17" i="34"/>
  <c r="AA17" i="34" s="1"/>
  <c r="J17" i="34"/>
  <c r="AC17" i="34" s="1"/>
  <c r="H11" i="34"/>
  <c r="AB11" i="34" s="1"/>
  <c r="J35" i="33"/>
  <c r="W35" i="33" s="1"/>
  <c r="S32" i="33"/>
  <c r="AC15" i="33"/>
  <c r="H11" i="33"/>
  <c r="U11" i="33" s="1"/>
  <c r="H10" i="33"/>
  <c r="U10" i="33" s="1"/>
  <c r="J10" i="33"/>
  <c r="AC10" i="33" s="1"/>
  <c r="U11" i="37"/>
  <c r="AC13" i="40"/>
  <c r="J11" i="34"/>
  <c r="W11" i="34" s="1"/>
  <c r="AC36" i="33"/>
  <c r="F25" i="40"/>
  <c r="AA25" i="40" s="1"/>
  <c r="J11" i="33"/>
  <c r="W11" i="33" s="1"/>
  <c r="H33" i="37"/>
  <c r="AB33" i="37" s="1"/>
  <c r="AC15" i="34"/>
  <c r="W23" i="40"/>
  <c r="D73" i="9"/>
  <c r="N73" i="9" s="1"/>
  <c r="J51" i="15"/>
  <c r="B11" i="1"/>
  <c r="E11" i="1" s="1"/>
  <c r="K11" i="1"/>
  <c r="M11" i="1" s="1"/>
  <c r="B9" i="1"/>
  <c r="E9" i="1" s="1"/>
  <c r="K9" i="1"/>
  <c r="M9" i="1" s="1"/>
  <c r="B7" i="1"/>
  <c r="E7" i="1" s="1"/>
  <c r="C20" i="43"/>
  <c r="E2" i="65"/>
  <c r="S14" i="21" l="1"/>
  <c r="AB39" i="39"/>
  <c r="U39" i="39"/>
  <c r="AC39" i="39"/>
  <c r="AB47" i="39"/>
  <c r="U47" i="39"/>
  <c r="J45" i="39"/>
  <c r="AC45" i="39" s="1"/>
  <c r="G12" i="1"/>
  <c r="U16" i="39"/>
  <c r="AB16" i="39"/>
  <c r="J23" i="39"/>
  <c r="AC23" i="39" s="1"/>
  <c r="H23" i="39"/>
  <c r="AB23" i="39" s="1"/>
  <c r="F97" i="39"/>
  <c r="G97" i="39" s="1"/>
  <c r="AZ491" i="3"/>
  <c r="AZ490" i="3"/>
  <c r="AZ495" i="3"/>
  <c r="AZ523" i="3"/>
  <c r="AZ547" i="3"/>
  <c r="AZ549" i="3"/>
  <c r="U23" i="37"/>
  <c r="W41" i="34"/>
  <c r="AC41" i="34"/>
  <c r="AA39" i="33"/>
  <c r="S39" i="33"/>
  <c r="AZ542" i="3"/>
  <c r="W14" i="37"/>
  <c r="AC14" i="37"/>
  <c r="S44" i="34"/>
  <c r="AA44" i="34"/>
  <c r="F9" i="21"/>
  <c r="J9" i="21"/>
  <c r="H9" i="21"/>
  <c r="AB9" i="21" s="1"/>
  <c r="AC40" i="33"/>
  <c r="W40" i="33"/>
  <c r="F84" i="35"/>
  <c r="G84" i="35" s="1"/>
  <c r="H84" i="35" s="1"/>
  <c r="I84" i="35" s="1"/>
  <c r="J84" i="35" s="1"/>
  <c r="K84" i="35" s="1"/>
  <c r="L84" i="35" s="1"/>
  <c r="M84" i="35" s="1"/>
  <c r="H28" i="35"/>
  <c r="J28" i="35"/>
  <c r="F28" i="35"/>
  <c r="AA28" i="35" s="1"/>
  <c r="J29" i="33"/>
  <c r="H29" i="33"/>
  <c r="J44" i="33"/>
  <c r="H44" i="33"/>
  <c r="J46" i="33"/>
  <c r="H46" i="33"/>
  <c r="AB46" i="33" s="1"/>
  <c r="F46" i="33"/>
  <c r="J29" i="34"/>
  <c r="AC29" i="34" s="1"/>
  <c r="H29" i="34"/>
  <c r="U29" i="34" s="1"/>
  <c r="H31" i="34"/>
  <c r="J31" i="34"/>
  <c r="H45" i="34"/>
  <c r="F45" i="34"/>
  <c r="J45" i="34"/>
  <c r="W45" i="34" s="1"/>
  <c r="F47" i="34"/>
  <c r="AA47" i="34" s="1"/>
  <c r="J47" i="34"/>
  <c r="AC47" i="34" s="1"/>
  <c r="F13" i="35"/>
  <c r="S13" i="35" s="1"/>
  <c r="H13" i="35"/>
  <c r="U13" i="35" s="1"/>
  <c r="J26" i="37"/>
  <c r="W26" i="37" s="1"/>
  <c r="H26" i="37"/>
  <c r="AB26" i="37" s="1"/>
  <c r="J28" i="37"/>
  <c r="AC28" i="37" s="1"/>
  <c r="F28" i="37"/>
  <c r="AA28" i="37" s="1"/>
  <c r="H40" i="37"/>
  <c r="F40" i="37"/>
  <c r="AA40" i="37" s="1"/>
  <c r="AC39" i="37"/>
  <c r="W39" i="37"/>
  <c r="AC41" i="33"/>
  <c r="W41" i="33"/>
  <c r="U42" i="34"/>
  <c r="AB42" i="34"/>
  <c r="AB34" i="37"/>
  <c r="U34" i="37"/>
  <c r="AC31" i="35"/>
  <c r="W31" i="35"/>
  <c r="BL569" i="3"/>
  <c r="AZ569" i="3" s="1"/>
  <c r="BL568" i="3"/>
  <c r="AZ568" i="3" s="1"/>
  <c r="BL563" i="3"/>
  <c r="AZ563" i="3" s="1"/>
  <c r="BL550" i="3"/>
  <c r="BA550" i="3"/>
  <c r="AZ550" i="3" s="1"/>
  <c r="BA544" i="3"/>
  <c r="AZ544" i="3" s="1"/>
  <c r="BA520" i="3"/>
  <c r="AZ520" i="3" s="1"/>
  <c r="BL519" i="3"/>
  <c r="AZ519" i="3" s="1"/>
  <c r="BL493" i="3"/>
  <c r="BA493" i="3"/>
  <c r="BA492" i="3"/>
  <c r="AZ492" i="3" s="1"/>
  <c r="BT5" i="3"/>
  <c r="BA19" i="3"/>
  <c r="AZ19" i="3" s="1"/>
  <c r="AB13" i="33"/>
  <c r="W29" i="35"/>
  <c r="S15" i="34"/>
  <c r="U16" i="40"/>
  <c r="AC13" i="33"/>
  <c r="AA11" i="36"/>
  <c r="AC15" i="40"/>
  <c r="AC47" i="39"/>
  <c r="AC14" i="40"/>
  <c r="F66" i="9"/>
  <c r="P72" i="9" s="1"/>
  <c r="W40" i="40"/>
  <c r="H47" i="46"/>
  <c r="J33" i="40"/>
  <c r="AC33" i="40" s="1"/>
  <c r="F41" i="39"/>
  <c r="AA41" i="39" s="1"/>
  <c r="H27" i="39"/>
  <c r="AB27" i="39" s="1"/>
  <c r="J14" i="39"/>
  <c r="AC14" i="39" s="1"/>
  <c r="F23" i="35"/>
  <c r="AA23" i="35" s="1"/>
  <c r="AZ489" i="3"/>
  <c r="AZ503" i="3"/>
  <c r="AZ506" i="3"/>
  <c r="AZ513" i="3"/>
  <c r="AZ530" i="3"/>
  <c r="AZ552" i="3"/>
  <c r="AZ554" i="3"/>
  <c r="F37" i="39"/>
  <c r="S37" i="39" s="1"/>
  <c r="F103" i="39"/>
  <c r="G103" i="39" s="1"/>
  <c r="F29" i="39"/>
  <c r="AA29" i="39" s="1"/>
  <c r="H29" i="39"/>
  <c r="U29" i="39" s="1"/>
  <c r="F46" i="39"/>
  <c r="S46" i="39" s="1"/>
  <c r="AB14" i="37"/>
  <c r="S30" i="37"/>
  <c r="F29" i="33"/>
  <c r="AA29" i="33" s="1"/>
  <c r="F16" i="35"/>
  <c r="AA16" i="35" s="1"/>
  <c r="AB28" i="33"/>
  <c r="AZ355" i="3"/>
  <c r="AB10" i="37"/>
  <c r="J12" i="37"/>
  <c r="AC12" i="37" s="1"/>
  <c r="S23" i="37"/>
  <c r="AA23" i="37"/>
  <c r="BL516" i="3"/>
  <c r="AZ516" i="3" s="1"/>
  <c r="AZ526" i="3"/>
  <c r="AZ534" i="3"/>
  <c r="AZ508" i="3"/>
  <c r="AB30" i="21"/>
  <c r="J13" i="35"/>
  <c r="AC13" i="35" s="1"/>
  <c r="F31" i="34"/>
  <c r="S31" i="34" s="1"/>
  <c r="J40" i="37"/>
  <c r="S37" i="33"/>
  <c r="S31" i="35"/>
  <c r="S43" i="21"/>
  <c r="AA43" i="21"/>
  <c r="AA42" i="33"/>
  <c r="S42" i="33"/>
  <c r="W28" i="33"/>
  <c r="AC28" i="33"/>
  <c r="AB46" i="21"/>
  <c r="U46" i="21"/>
  <c r="U44" i="21"/>
  <c r="AB44" i="21"/>
  <c r="W30" i="21"/>
  <c r="AC30" i="21"/>
  <c r="U14" i="21"/>
  <c r="AB14" i="21"/>
  <c r="AC14" i="21"/>
  <c r="W14" i="21"/>
  <c r="AA24" i="36"/>
  <c r="S24" i="36"/>
  <c r="AA22" i="35"/>
  <c r="S22" i="35"/>
  <c r="AC33" i="33"/>
  <c r="W33" i="33"/>
  <c r="AA31" i="33"/>
  <c r="S31" i="33"/>
  <c r="J13" i="34"/>
  <c r="W13" i="34" s="1"/>
  <c r="F13" i="34"/>
  <c r="AA13" i="34" s="1"/>
  <c r="AC23" i="35"/>
  <c r="W23" i="35"/>
  <c r="W30" i="37"/>
  <c r="AC30" i="37"/>
  <c r="F93" i="39"/>
  <c r="S42" i="34"/>
  <c r="AA42" i="34"/>
  <c r="BA567" i="3"/>
  <c r="AZ567" i="3" s="1"/>
  <c r="BL551" i="3"/>
  <c r="BA551" i="3"/>
  <c r="AZ551" i="3" s="1"/>
  <c r="BL545" i="3"/>
  <c r="AZ545" i="3" s="1"/>
  <c r="BL543" i="3"/>
  <c r="AZ543" i="3" s="1"/>
  <c r="BA543" i="3"/>
  <c r="BL541" i="3"/>
  <c r="BA541" i="3"/>
  <c r="BA521" i="3"/>
  <c r="AZ521" i="3" s="1"/>
  <c r="BL495" i="3"/>
  <c r="AZ374" i="3"/>
  <c r="AZ373" i="3"/>
  <c r="AZ365" i="3"/>
  <c r="AZ347" i="3"/>
  <c r="AZ151" i="3"/>
  <c r="AZ379" i="3"/>
  <c r="AZ361" i="3"/>
  <c r="AZ345" i="3"/>
  <c r="AZ329" i="3"/>
  <c r="AZ305" i="3"/>
  <c r="AZ303" i="3"/>
  <c r="AZ300" i="3"/>
  <c r="BL20" i="3"/>
  <c r="AZ20" i="3" s="1"/>
  <c r="AZ514" i="3"/>
  <c r="BL524" i="3"/>
  <c r="AZ524" i="3" s="1"/>
  <c r="AZ532" i="3"/>
  <c r="BL546" i="3"/>
  <c r="AZ546" i="3" s="1"/>
  <c r="AZ502" i="3"/>
  <c r="AZ556" i="3"/>
  <c r="AZ560" i="3"/>
  <c r="AZ555" i="3"/>
  <c r="U28" i="36"/>
  <c r="AB28" i="36"/>
  <c r="S39" i="37"/>
  <c r="AA39" i="37"/>
  <c r="BL572" i="3"/>
  <c r="AZ572" i="3" s="1"/>
  <c r="BF5" i="3"/>
  <c r="H13" i="21"/>
  <c r="U13" i="21" s="1"/>
  <c r="F13" i="21"/>
  <c r="AA13" i="21" s="1"/>
  <c r="J29" i="21"/>
  <c r="AC29" i="21" s="1"/>
  <c r="F29" i="21"/>
  <c r="S29" i="21" s="1"/>
  <c r="J45" i="21"/>
  <c r="H45" i="21"/>
  <c r="U45" i="21" s="1"/>
  <c r="F101" i="21"/>
  <c r="G101" i="21" s="1"/>
  <c r="H101" i="21" s="1"/>
  <c r="I101" i="21" s="1"/>
  <c r="J101" i="21" s="1"/>
  <c r="K101" i="21" s="1"/>
  <c r="L101" i="21" s="1"/>
  <c r="M101" i="21" s="1"/>
  <c r="F32" i="21"/>
  <c r="S32" i="21" s="1"/>
  <c r="B69" i="46"/>
  <c r="C17" i="75"/>
  <c r="B58" i="46"/>
  <c r="C21" i="75"/>
  <c r="B76" i="46"/>
  <c r="C27" i="75"/>
  <c r="H27" i="33"/>
  <c r="F27" i="33"/>
  <c r="U40" i="34"/>
  <c r="AB40" i="34"/>
  <c r="AC43" i="34"/>
  <c r="W43" i="34"/>
  <c r="AZ557" i="3"/>
  <c r="AC5" i="3"/>
  <c r="BA570" i="3"/>
  <c r="AZ570" i="3" s="1"/>
  <c r="BI5" i="3"/>
  <c r="B47" i="46"/>
  <c r="C19" i="75"/>
  <c r="B70" i="46"/>
  <c r="C23" i="75"/>
  <c r="B73" i="46"/>
  <c r="C29" i="75"/>
  <c r="J34" i="35"/>
  <c r="AC34" i="35" s="1"/>
  <c r="F34" i="35"/>
  <c r="H9" i="36"/>
  <c r="AB9" i="36" s="1"/>
  <c r="J9" i="36"/>
  <c r="AC9" i="36" s="1"/>
  <c r="G540" i="3"/>
  <c r="G516" i="3"/>
  <c r="G490" i="3"/>
  <c r="C12" i="39"/>
  <c r="C12" i="75"/>
  <c r="AZ389" i="3"/>
  <c r="AZ390" i="3"/>
  <c r="AZ400" i="3"/>
  <c r="AZ401" i="3"/>
  <c r="AZ421" i="3"/>
  <c r="AZ422" i="3"/>
  <c r="AZ431" i="3"/>
  <c r="AZ436" i="3"/>
  <c r="AZ441" i="3"/>
  <c r="AZ450" i="3"/>
  <c r="AZ454" i="3"/>
  <c r="AZ456" i="3"/>
  <c r="AZ461" i="3"/>
  <c r="AZ477" i="3"/>
  <c r="G568" i="3"/>
  <c r="G553" i="3"/>
  <c r="G548" i="3"/>
  <c r="G541" i="3"/>
  <c r="G533" i="3"/>
  <c r="G527" i="3"/>
  <c r="G519" i="3"/>
  <c r="G509" i="3"/>
  <c r="G503" i="3"/>
  <c r="G495" i="3"/>
  <c r="G486" i="3"/>
  <c r="E32" i="6"/>
  <c r="D3" i="72"/>
  <c r="F9" i="1"/>
  <c r="G389" i="3"/>
  <c r="BL389" i="3"/>
  <c r="BL391" i="3"/>
  <c r="AZ391" i="3" s="1"/>
  <c r="BA392" i="3"/>
  <c r="AZ392" i="3" s="1"/>
  <c r="BL394" i="3"/>
  <c r="AZ394" i="3" s="1"/>
  <c r="BA395" i="3"/>
  <c r="AZ395" i="3" s="1"/>
  <c r="G398" i="3"/>
  <c r="G399" i="3"/>
  <c r="G400" i="3"/>
  <c r="BL400" i="3"/>
  <c r="G403" i="3"/>
  <c r="G404" i="3"/>
  <c r="BL404" i="3"/>
  <c r="AZ404" i="3" s="1"/>
  <c r="BA405" i="3"/>
  <c r="AZ405" i="3" s="1"/>
  <c r="BL407" i="3"/>
  <c r="AZ407" i="3" s="1"/>
  <c r="BA408" i="3"/>
  <c r="AZ408" i="3" s="1"/>
  <c r="BL410" i="3"/>
  <c r="AZ410" i="3" s="1"/>
  <c r="BA411" i="3"/>
  <c r="AZ411" i="3" s="1"/>
  <c r="G414" i="3"/>
  <c r="G415" i="3"/>
  <c r="G416" i="3"/>
  <c r="BL416" i="3"/>
  <c r="AZ416" i="3" s="1"/>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BL479" i="3"/>
  <c r="AZ479" i="3" s="1"/>
  <c r="BA480" i="3"/>
  <c r="AZ480" i="3" s="1"/>
  <c r="G307" i="3"/>
  <c r="BA309" i="3"/>
  <c r="AZ309" i="3" s="1"/>
  <c r="G313" i="3"/>
  <c r="BL314" i="3"/>
  <c r="AZ314" i="3" s="1"/>
  <c r="BA317" i="3"/>
  <c r="AZ317" i="3" s="1"/>
  <c r="BL318" i="3"/>
  <c r="G320" i="3"/>
  <c r="G331" i="3"/>
  <c r="BA333" i="3"/>
  <c r="AZ333" i="3" s="1"/>
  <c r="BL334" i="3"/>
  <c r="AZ334" i="3" s="1"/>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BL269" i="3"/>
  <c r="G272" i="3"/>
  <c r="BL272" i="3"/>
  <c r="BL274" i="3"/>
  <c r="AZ274" i="3" s="1"/>
  <c r="BA275" i="3"/>
  <c r="AZ275" i="3" s="1"/>
  <c r="BA276" i="3"/>
  <c r="AZ276" i="3" s="1"/>
  <c r="BL278" i="3"/>
  <c r="AZ278" i="3" s="1"/>
  <c r="BA279" i="3"/>
  <c r="AZ279" i="3" s="1"/>
  <c r="AZ163" i="3"/>
  <c r="AZ182" i="3"/>
  <c r="AZ198" i="3"/>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G154" i="3"/>
  <c r="G157" i="3"/>
  <c r="G160" i="3"/>
  <c r="BL160" i="3"/>
  <c r="AZ160" i="3" s="1"/>
  <c r="BA162" i="3"/>
  <c r="AZ162" i="3" s="1"/>
  <c r="BL163" i="3"/>
  <c r="G166" i="3"/>
  <c r="BA167" i="3"/>
  <c r="AZ167" i="3" s="1"/>
  <c r="G170"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G201" i="3"/>
  <c r="G203" i="3"/>
  <c r="G204" i="3"/>
  <c r="BL204" i="3"/>
  <c r="AZ204" i="3" s="1"/>
  <c r="BA21" i="3"/>
  <c r="AZ21" i="3" s="1"/>
  <c r="BL21" i="3"/>
  <c r="G22" i="3"/>
  <c r="G23" i="3"/>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BA52" i="3"/>
  <c r="AZ52" i="3" s="1"/>
  <c r="G55" i="3"/>
  <c r="AZ75" i="3"/>
  <c r="E26" i="57"/>
  <c r="I10" i="57"/>
  <c r="G56" i="3"/>
  <c r="G57" i="3"/>
  <c r="BL57" i="3"/>
  <c r="AZ57" i="3" s="1"/>
  <c r="BA58" i="3"/>
  <c r="AZ58" i="3" s="1"/>
  <c r="BA59" i="3"/>
  <c r="AZ59" i="3" s="1"/>
  <c r="G62" i="3"/>
  <c r="BL62" i="3"/>
  <c r="AZ62" i="3" s="1"/>
  <c r="G65" i="3"/>
  <c r="BL65" i="3"/>
  <c r="AZ65" i="3" s="1"/>
  <c r="BA67" i="3"/>
  <c r="AZ67" i="3" s="1"/>
  <c r="BA69" i="3"/>
  <c r="AZ69" i="3" s="1"/>
  <c r="BA70" i="3"/>
  <c r="AZ70" i="3" s="1"/>
  <c r="BA71" i="3"/>
  <c r="AZ71" i="3" s="1"/>
  <c r="G74" i="3"/>
  <c r="G75" i="3"/>
  <c r="BL75" i="3"/>
  <c r="BA76" i="3"/>
  <c r="AZ76" i="3" s="1"/>
  <c r="BL78" i="3"/>
  <c r="AZ78" i="3" s="1"/>
  <c r="G81" i="3"/>
  <c r="BL81" i="3"/>
  <c r="AZ81" i="3" s="1"/>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42" i="1"/>
  <c r="C9" i="75"/>
  <c r="C70" i="75" s="1"/>
  <c r="C7" i="72"/>
  <c r="C58" i="72" s="1"/>
  <c r="J42" i="21"/>
  <c r="AC42" i="21" s="1"/>
  <c r="H42" i="21"/>
  <c r="AB42" i="21" s="1"/>
  <c r="AB23" i="35"/>
  <c r="H44" i="39"/>
  <c r="U44" i="39" s="1"/>
  <c r="J44" i="39"/>
  <c r="W44" i="39" s="1"/>
  <c r="S25" i="35"/>
  <c r="AA41" i="21"/>
  <c r="K7" i="1"/>
  <c r="M7" i="1" s="1"/>
  <c r="O7" i="1" s="1"/>
  <c r="P7" i="1" s="1"/>
  <c r="W14" i="35"/>
  <c r="S14" i="35"/>
  <c r="AC27" i="35"/>
  <c r="U20" i="35"/>
  <c r="AB11" i="35"/>
  <c r="AB10" i="35"/>
  <c r="AC16" i="35"/>
  <c r="AB16" i="35"/>
  <c r="AA28" i="21"/>
  <c r="U28" i="21"/>
  <c r="U19" i="21"/>
  <c r="AA12" i="21"/>
  <c r="S12" i="21"/>
  <c r="H113" i="21"/>
  <c r="J37" i="21"/>
  <c r="W37" i="21" s="1"/>
  <c r="H37" i="21"/>
  <c r="U37" i="21" s="1"/>
  <c r="F37" i="21"/>
  <c r="S37" i="21" s="1"/>
  <c r="K143" i="21"/>
  <c r="K141" i="21"/>
  <c r="K144" i="21"/>
  <c r="K145" i="21"/>
  <c r="AA36" i="21"/>
  <c r="AB31" i="21"/>
  <c r="S8" i="21"/>
  <c r="F44" i="39"/>
  <c r="S44" i="39" s="1"/>
  <c r="AA37" i="39"/>
  <c r="AB37" i="39"/>
  <c r="AB17" i="39"/>
  <c r="H41" i="39"/>
  <c r="AB41" i="39" s="1"/>
  <c r="F33" i="39"/>
  <c r="S47" i="39"/>
  <c r="A2" i="55"/>
  <c r="B55" i="63" s="1"/>
  <c r="A11" i="55"/>
  <c r="B62" i="63" s="1"/>
  <c r="G13" i="1"/>
  <c r="W41" i="21"/>
  <c r="AB41" i="21"/>
  <c r="S19" i="21"/>
  <c r="U40" i="39"/>
  <c r="AZ484" i="3"/>
  <c r="AC9" i="33"/>
  <c r="W9" i="33"/>
  <c r="S28" i="34"/>
  <c r="AA28" i="34"/>
  <c r="U45" i="33"/>
  <c r="AB45" i="33"/>
  <c r="U27" i="37"/>
  <c r="AB27" i="37"/>
  <c r="J17" i="40"/>
  <c r="F86" i="40"/>
  <c r="G86" i="40" s="1"/>
  <c r="U27" i="33"/>
  <c r="AB27" i="33"/>
  <c r="W27" i="34"/>
  <c r="AC27" i="34"/>
  <c r="U36" i="35"/>
  <c r="AB36" i="35"/>
  <c r="AC26" i="37"/>
  <c r="AZ393" i="3"/>
  <c r="AZ396" i="3"/>
  <c r="AZ406" i="3"/>
  <c r="AZ409" i="3"/>
  <c r="AZ412" i="3"/>
  <c r="AZ419" i="3"/>
  <c r="AZ425" i="3"/>
  <c r="AZ429" i="3"/>
  <c r="AZ445" i="3"/>
  <c r="AZ448" i="3"/>
  <c r="AZ468" i="3"/>
  <c r="AZ472" i="3"/>
  <c r="S17" i="34"/>
  <c r="AZ318" i="3"/>
  <c r="AZ350" i="3"/>
  <c r="AZ208" i="3"/>
  <c r="AZ211" i="3"/>
  <c r="AZ227" i="3"/>
  <c r="AZ240" i="3"/>
  <c r="AZ243" i="3"/>
  <c r="AZ259" i="3"/>
  <c r="U12" i="34"/>
  <c r="U14" i="34"/>
  <c r="S46" i="34"/>
  <c r="U11" i="36"/>
  <c r="S16" i="39"/>
  <c r="AB23" i="40"/>
  <c r="W15" i="39"/>
  <c r="AA29" i="35"/>
  <c r="AB38" i="34"/>
  <c r="H100" i="40"/>
  <c r="I100" i="40" s="1"/>
  <c r="J100" i="40" s="1"/>
  <c r="K100" i="40" s="1"/>
  <c r="L100" i="40" s="1"/>
  <c r="M100" i="40" s="1"/>
  <c r="AB32" i="40"/>
  <c r="W35" i="40"/>
  <c r="AB14" i="40"/>
  <c r="U12" i="37"/>
  <c r="S10" i="35"/>
  <c r="AC45" i="33"/>
  <c r="AC37" i="33"/>
  <c r="S27" i="37"/>
  <c r="AB43" i="33"/>
  <c r="AB31" i="33"/>
  <c r="AC13" i="36"/>
  <c r="AB13" i="21"/>
  <c r="U30" i="33"/>
  <c r="AA38" i="37"/>
  <c r="AC34" i="36"/>
  <c r="C23" i="39"/>
  <c r="W8" i="21"/>
  <c r="U38" i="33"/>
  <c r="S33" i="33"/>
  <c r="U9" i="33"/>
  <c r="H35" i="21"/>
  <c r="AB35" i="21" s="1"/>
  <c r="H5" i="3"/>
  <c r="J35" i="21"/>
  <c r="W35" i="21" s="1"/>
  <c r="F9" i="33"/>
  <c r="AA9" i="33" s="1"/>
  <c r="J12" i="35"/>
  <c r="J36" i="35"/>
  <c r="F26" i="37"/>
  <c r="AA26" i="37" s="1"/>
  <c r="C92" i="9"/>
  <c r="AZ272" i="3"/>
  <c r="AZ285" i="3"/>
  <c r="AZ288" i="3"/>
  <c r="AZ296" i="3"/>
  <c r="AZ125" i="3"/>
  <c r="AZ128" i="3"/>
  <c r="AZ141" i="3"/>
  <c r="AZ144" i="3"/>
  <c r="AZ155" i="3"/>
  <c r="AZ168" i="3"/>
  <c r="AZ171" i="3"/>
  <c r="AZ186" i="3"/>
  <c r="AZ194" i="3"/>
  <c r="AZ28" i="3"/>
  <c r="AZ34" i="3"/>
  <c r="AZ37" i="3"/>
  <c r="AZ44" i="3"/>
  <c r="AZ50" i="3"/>
  <c r="AZ53" i="3"/>
  <c r="AZ60" i="3"/>
  <c r="AZ77" i="3"/>
  <c r="AZ92" i="3"/>
  <c r="AZ97" i="3"/>
  <c r="AZ108" i="3"/>
  <c r="AZ68" i="3"/>
  <c r="AZ72" i="3"/>
  <c r="I21" i="57"/>
  <c r="D1" i="57" s="1"/>
  <c r="E10" i="57" s="1"/>
  <c r="W14" i="39"/>
  <c r="U34" i="39"/>
  <c r="U27" i="39"/>
  <c r="F23" i="39"/>
  <c r="AA23" i="39" s="1"/>
  <c r="AB29" i="39"/>
  <c r="AB25" i="39"/>
  <c r="S17" i="39"/>
  <c r="U21" i="39"/>
  <c r="G13" i="3"/>
  <c r="U17" i="21"/>
  <c r="U39" i="21"/>
  <c r="S10" i="21"/>
  <c r="S43" i="39"/>
  <c r="K12" i="1"/>
  <c r="M12" i="1" s="1"/>
  <c r="O12" i="1" s="1"/>
  <c r="P12" i="1" s="1"/>
  <c r="F7" i="1"/>
  <c r="AP7" i="1" s="1"/>
  <c r="K13" i="1"/>
  <c r="M13" i="1" s="1"/>
  <c r="O13" i="1" s="1"/>
  <c r="P13" i="1" s="1"/>
  <c r="G15" i="3"/>
  <c r="G14" i="3"/>
  <c r="F8" i="1"/>
  <c r="G8" i="1" s="1"/>
  <c r="C18" i="9"/>
  <c r="D18" i="9" s="1"/>
  <c r="M44" i="9" s="1"/>
  <c r="A30" i="64"/>
  <c r="A30" i="51"/>
  <c r="B22" i="63" s="1"/>
  <c r="F71" i="9"/>
  <c r="BL13" i="3"/>
  <c r="AA38" i="21"/>
  <c r="U9" i="21"/>
  <c r="U43" i="21"/>
  <c r="AA40" i="21"/>
  <c r="U40" i="21"/>
  <c r="AC40" i="21"/>
  <c r="AB36" i="21"/>
  <c r="S35" i="21"/>
  <c r="H42" i="39"/>
  <c r="AB42" i="39" s="1"/>
  <c r="J42" i="39"/>
  <c r="AC42" i="39" s="1"/>
  <c r="F42" i="39"/>
  <c r="AC33" i="39"/>
  <c r="W27"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16" i="35"/>
  <c r="AB14" i="35"/>
  <c r="AC10" i="35"/>
  <c r="U9"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W43" i="21"/>
  <c r="AA37" i="21"/>
  <c r="S42" i="21"/>
  <c r="AB37" i="21"/>
  <c r="AB32" i="21"/>
  <c r="W28" i="21"/>
  <c r="AC46" i="21"/>
  <c r="AC26" i="21"/>
  <c r="F85" i="21"/>
  <c r="G85" i="21" s="1"/>
  <c r="F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S29" i="39"/>
  <c r="AC21" i="39"/>
  <c r="AC17" i="39"/>
  <c r="S14" i="39"/>
  <c r="AB15" i="39"/>
  <c r="U11" i="39"/>
  <c r="U23" i="39"/>
  <c r="AB38" i="39"/>
  <c r="U31" i="39"/>
  <c r="AB31" i="39"/>
  <c r="S25" i="39"/>
  <c r="S38" i="39"/>
  <c r="S22" i="31"/>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G105" i="39"/>
  <c r="J31" i="39"/>
  <c r="S45" i="39"/>
  <c r="W41" i="39"/>
  <c r="AB43" i="39"/>
  <c r="AB33" i="39"/>
  <c r="AC46" i="39"/>
  <c r="S34" i="39"/>
  <c r="W36" i="39"/>
  <c r="W23" i="39"/>
  <c r="AC37" i="39"/>
  <c r="U14" i="39"/>
  <c r="W16" i="39"/>
  <c r="S15" i="39"/>
  <c r="W25" i="39"/>
  <c r="W45" i="39"/>
  <c r="S41" i="39"/>
  <c r="AA46" i="39"/>
  <c r="W34" i="39"/>
  <c r="W10" i="39"/>
  <c r="W11"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M11" i="44"/>
  <c r="F9" i="15"/>
  <c r="M28" i="44"/>
  <c r="M28" i="15"/>
  <c r="F13" i="15"/>
  <c r="M31" i="44"/>
  <c r="M24" i="15"/>
  <c r="F10" i="44"/>
  <c r="F16" i="15"/>
  <c r="M22" i="15"/>
  <c r="F43" i="44"/>
  <c r="F40" i="15"/>
  <c r="J36" i="15"/>
  <c r="M24" i="44"/>
  <c r="M29" i="44"/>
  <c r="F37" i="15"/>
  <c r="F7" i="15"/>
  <c r="M27" i="15"/>
  <c r="F36" i="15"/>
  <c r="F38" i="44"/>
  <c r="F9" i="44"/>
  <c r="M30" i="44"/>
  <c r="M6" i="15"/>
  <c r="J17" i="44"/>
  <c r="L47" i="15"/>
  <c r="L49" i="44"/>
  <c r="M25" i="44"/>
  <c r="J15" i="15"/>
  <c r="M8" i="15"/>
  <c r="L48" i="44"/>
  <c r="F39" i="44"/>
  <c r="M8" i="44"/>
  <c r="F18" i="44"/>
  <c r="F26" i="15"/>
  <c r="F8" i="44"/>
  <c r="M26" i="15"/>
  <c r="F28" i="44"/>
  <c r="F40" i="44"/>
  <c r="F11" i="44"/>
  <c r="F15" i="44"/>
  <c r="M10" i="44"/>
  <c r="F45" i="44"/>
  <c r="F42" i="15"/>
  <c r="L48" i="15"/>
  <c r="AB13" i="35" l="1"/>
  <c r="S23" i="35"/>
  <c r="B73" i="39"/>
  <c r="B73" i="75"/>
  <c r="D70" i="75"/>
  <c r="C72" i="75"/>
  <c r="AA34" i="35"/>
  <c r="S34" i="35"/>
  <c r="S27" i="33"/>
  <c r="AA27" i="33"/>
  <c r="G93" i="39"/>
  <c r="F19" i="39"/>
  <c r="H19" i="39"/>
  <c r="AC40" i="37"/>
  <c r="W40" i="37"/>
  <c r="U40" i="37"/>
  <c r="AB40" i="37"/>
  <c r="AA45" i="34"/>
  <c r="S45" i="34"/>
  <c r="AC31" i="34"/>
  <c r="W31" i="34"/>
  <c r="AA46" i="33"/>
  <c r="S46" i="33"/>
  <c r="AC46" i="33"/>
  <c r="W46" i="33"/>
  <c r="AC44" i="33"/>
  <c r="W44" i="33"/>
  <c r="W29" i="33"/>
  <c r="AC29" i="33"/>
  <c r="AC28" i="35"/>
  <c r="W28" i="35"/>
  <c r="AC9" i="21"/>
  <c r="W9" i="21"/>
  <c r="S17" i="40"/>
  <c r="C16" i="46"/>
  <c r="C5" i="46" s="1"/>
  <c r="E58" i="75"/>
  <c r="E58" i="39"/>
  <c r="S29" i="33"/>
  <c r="W12" i="37"/>
  <c r="W13" i="35"/>
  <c r="G5" i="3"/>
  <c r="B3" i="3" s="1"/>
  <c r="AA32" i="21"/>
  <c r="D58" i="72"/>
  <c r="E58" i="72" s="1"/>
  <c r="F58" i="72" s="1"/>
  <c r="G58" i="72" s="1"/>
  <c r="H58" i="72" s="1"/>
  <c r="I58" i="72" s="1"/>
  <c r="J58" i="72" s="1"/>
  <c r="K58" i="72" s="1"/>
  <c r="L58" i="72" s="1"/>
  <c r="M58" i="72" s="1"/>
  <c r="N58" i="72" s="1"/>
  <c r="O58" i="72" s="1"/>
  <c r="J7" i="72"/>
  <c r="H7" i="72"/>
  <c r="AZ269" i="3"/>
  <c r="W45" i="21"/>
  <c r="AC45" i="21"/>
  <c r="AZ541" i="3"/>
  <c r="J19" i="39"/>
  <c r="AZ493" i="3"/>
  <c r="U45" i="34"/>
  <c r="AB45" i="34"/>
  <c r="AB31" i="34"/>
  <c r="U31" i="34"/>
  <c r="U44" i="33"/>
  <c r="AB44" i="33"/>
  <c r="AB29" i="33"/>
  <c r="U29" i="33"/>
  <c r="AB28" i="35"/>
  <c r="U28" i="35"/>
  <c r="S9" i="21"/>
  <c r="AA9" i="21"/>
  <c r="U42" i="21"/>
  <c r="W42" i="21"/>
  <c r="AC44" i="39"/>
  <c r="AB44" i="39"/>
  <c r="W42" i="39"/>
  <c r="S23" i="39"/>
  <c r="U42" i="39"/>
  <c r="H23" i="21"/>
  <c r="J23" i="21"/>
  <c r="G7" i="1"/>
  <c r="AA44" i="39"/>
  <c r="AP8" i="1"/>
  <c r="BL5" i="3"/>
  <c r="U41" i="39"/>
  <c r="AA33" i="39"/>
  <c r="S33" i="39"/>
  <c r="AC35" i="21"/>
  <c r="U35" i="21"/>
  <c r="M43" i="9"/>
  <c r="AC36" i="35"/>
  <c r="W36" i="35"/>
  <c r="W12" i="35"/>
  <c r="AC12" i="35"/>
  <c r="E413" i="3"/>
  <c r="AA15" i="21"/>
  <c r="AB11" i="46"/>
  <c r="AB13" i="46" s="1"/>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66" i="75" s="1"/>
  <c r="E10" i="6"/>
  <c r="E15" i="6"/>
  <c r="E67" i="75" s="1"/>
  <c r="H16" i="1"/>
  <c r="G16" i="1"/>
  <c r="E28" i="6"/>
  <c r="E13" i="6"/>
  <c r="E65" i="75" s="1"/>
  <c r="E11" i="6"/>
  <c r="E63" i="75" s="1"/>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63" i="15"/>
  <c r="F67" i="15"/>
  <c r="M7" i="15"/>
  <c r="F49" i="15"/>
  <c r="L56" i="15"/>
  <c r="J57" i="15"/>
  <c r="J55" i="15" s="1"/>
  <c r="J58" i="15" s="1"/>
  <c r="Q51" i="15" s="1"/>
  <c r="G66" i="36"/>
  <c r="J18" i="36"/>
  <c r="AE6" i="1"/>
  <c r="AE8" i="1"/>
  <c r="M17" i="15"/>
  <c r="M19" i="44"/>
  <c r="F33" i="44"/>
  <c r="M9" i="15"/>
  <c r="F6" i="15"/>
  <c r="M29" i="15"/>
  <c r="F8" i="15"/>
  <c r="M23" i="15"/>
  <c r="F38" i="15"/>
  <c r="C18" i="44"/>
  <c r="F46" i="44"/>
  <c r="AE7" i="1"/>
  <c r="F43" i="15"/>
  <c r="C16" i="15"/>
  <c r="K105" i="46" l="1"/>
  <c r="C105" i="46"/>
  <c r="H7" i="36"/>
  <c r="AB7" i="36" s="1"/>
  <c r="T36" i="36" s="1"/>
  <c r="G36" i="36" s="1"/>
  <c r="G40" i="36" s="1"/>
  <c r="H40" i="36" s="1"/>
  <c r="F7" i="34"/>
  <c r="E64" i="39"/>
  <c r="E64" i="75"/>
  <c r="AB7" i="72"/>
  <c r="U7" i="72"/>
  <c r="F7" i="72"/>
  <c r="E68" i="75"/>
  <c r="S19" i="39"/>
  <c r="AA19" i="39"/>
  <c r="J12" i="40"/>
  <c r="H12" i="75"/>
  <c r="J12" i="75"/>
  <c r="F12" i="75"/>
  <c r="W19" i="39"/>
  <c r="AC19" i="39"/>
  <c r="W7" i="72"/>
  <c r="AC7" i="72"/>
  <c r="U19" i="39"/>
  <c r="AB19" i="39"/>
  <c r="E70" i="75"/>
  <c r="D72" i="75"/>
  <c r="W23" i="21"/>
  <c r="AC23" i="21"/>
  <c r="K104" i="46"/>
  <c r="J109" i="46"/>
  <c r="J105" i="46"/>
  <c r="F30" i="6"/>
  <c r="F7" i="36"/>
  <c r="F7" i="35"/>
  <c r="AA7" i="35" s="1"/>
  <c r="R38" i="35" s="1"/>
  <c r="R39" i="35" s="1"/>
  <c r="C38" i="35" s="1"/>
  <c r="J7" i="34"/>
  <c r="C6" i="15"/>
  <c r="C10" i="15"/>
  <c r="F70" i="15"/>
  <c r="F50" i="15"/>
  <c r="C48" i="15" s="1"/>
  <c r="F65" i="15"/>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H35" i="6"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20" i="11"/>
  <c r="C21" i="11" s="1"/>
  <c r="C22" i="11" s="1"/>
  <c r="C23" i="11" s="1"/>
  <c r="B2" i="11" s="1"/>
  <c r="AC12" i="40"/>
  <c r="W12" i="40"/>
  <c r="E46" i="37"/>
  <c r="F46" i="37" s="1"/>
  <c r="C48" i="33"/>
  <c r="C49" i="33"/>
  <c r="B3" i="33" s="1"/>
  <c r="B2" i="33" s="1"/>
  <c r="F31" i="15"/>
  <c r="F58" i="15"/>
  <c r="L52" i="44"/>
  <c r="F41" i="15"/>
  <c r="F7" i="67"/>
  <c r="F70" i="75" l="1"/>
  <c r="E72" i="75"/>
  <c r="AC12" i="75"/>
  <c r="W12" i="75"/>
  <c r="AA12" i="75"/>
  <c r="S12" i="75"/>
  <c r="AB12" i="75"/>
  <c r="U12" i="75"/>
  <c r="S7" i="72"/>
  <c r="AA7" i="72"/>
  <c r="S7" i="35"/>
  <c r="C5" i="15"/>
  <c r="C32" i="15" s="1"/>
  <c r="F68" i="15"/>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B3" i="11"/>
  <c r="E7" i="67"/>
  <c r="C17" i="15"/>
  <c r="C19" i="44"/>
  <c r="F72" i="75" l="1"/>
  <c r="G70" i="75"/>
  <c r="C33" i="21"/>
  <c r="H33" i="21" s="1"/>
  <c r="C33" i="72"/>
  <c r="J33" i="21"/>
  <c r="F33" i="21"/>
  <c r="C38" i="15"/>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H70" i="75" l="1"/>
  <c r="G72" i="75"/>
  <c r="J33" i="72"/>
  <c r="F33" i="72"/>
  <c r="H33" i="72"/>
  <c r="AB33" i="21"/>
  <c r="U33" i="21"/>
  <c r="AA33" i="21"/>
  <c r="S33" i="21"/>
  <c r="AC33" i="21"/>
  <c r="W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6" i="44"/>
  <c r="H72" i="75" l="1"/>
  <c r="I70" i="75"/>
  <c r="AA33" i="72"/>
  <c r="R48" i="72" s="1"/>
  <c r="S33" i="72"/>
  <c r="AB33" i="72"/>
  <c r="T48" i="72" s="1"/>
  <c r="G48" i="72" s="1"/>
  <c r="U33" i="72"/>
  <c r="W33" i="72"/>
  <c r="AC33" i="72"/>
  <c r="V48" i="72" s="1"/>
  <c r="I48" i="72" s="1"/>
  <c r="C18" i="15"/>
  <c r="C15" i="15"/>
  <c r="C20" i="44"/>
  <c r="C17" i="44"/>
  <c r="B3" i="67"/>
  <c r="B4" i="67"/>
  <c r="T16" i="1"/>
  <c r="C17" i="12"/>
  <c r="C14" i="12"/>
  <c r="H27" i="6"/>
  <c r="R20" i="6"/>
  <c r="R24" i="6"/>
  <c r="D16" i="6"/>
  <c r="D30" i="6"/>
  <c r="R23" i="6"/>
  <c r="R25" i="6"/>
  <c r="R21" i="6"/>
  <c r="R9" i="1" s="1"/>
  <c r="R19" i="6"/>
  <c r="D27" i="6"/>
  <c r="A6" i="51"/>
  <c r="B7" i="63" s="1"/>
  <c r="A20" i="64"/>
  <c r="A6" i="64"/>
  <c r="A20" i="51"/>
  <c r="B15" i="63" s="1"/>
  <c r="N5" i="54"/>
  <c r="B43" i="63" s="1"/>
  <c r="R26" i="6"/>
  <c r="C17" i="43"/>
  <c r="C14" i="43"/>
  <c r="J65" i="40"/>
  <c r="I67" i="40"/>
  <c r="J70" i="39"/>
  <c r="I72" i="39"/>
  <c r="C47" i="15"/>
  <c r="I72" i="75" l="1"/>
  <c r="J70" i="75"/>
  <c r="I52" i="72"/>
  <c r="J52" i="72" s="1"/>
  <c r="G53" i="72"/>
  <c r="H53" i="72" s="1"/>
  <c r="G52" i="72"/>
  <c r="H52" i="72" s="1"/>
  <c r="R49" i="72"/>
  <c r="E48" i="72"/>
  <c r="R7" i="1"/>
  <c r="R6" i="1"/>
  <c r="R8" i="1"/>
  <c r="R10" i="1"/>
  <c r="R11" i="1"/>
  <c r="R13" i="1"/>
  <c r="R12" i="1"/>
  <c r="C21" i="44"/>
  <c r="C22" i="44" s="1"/>
  <c r="C25" i="44" s="1"/>
  <c r="C19" i="15"/>
  <c r="C20" i="15" s="1"/>
  <c r="C23" i="15" s="1"/>
  <c r="C18" i="12"/>
  <c r="D31" i="6"/>
  <c r="I6" i="6" s="1"/>
  <c r="R27" i="6"/>
  <c r="C18" i="43"/>
  <c r="K70" i="39"/>
  <c r="J72" i="39"/>
  <c r="K65" i="40"/>
  <c r="J67" i="40"/>
  <c r="C65" i="15"/>
  <c r="C59" i="15"/>
  <c r="M21" i="15"/>
  <c r="F37" i="44"/>
  <c r="M23" i="44"/>
  <c r="F35" i="15"/>
  <c r="J72" i="75" l="1"/>
  <c r="K70" i="75"/>
  <c r="E53" i="72"/>
  <c r="F53" i="72" s="1"/>
  <c r="E52" i="72"/>
  <c r="F52" i="72" s="1"/>
  <c r="I53" i="72"/>
  <c r="J53" i="72" s="1"/>
  <c r="C48" i="72"/>
  <c r="C49" i="72"/>
  <c r="B3" i="72" s="1"/>
  <c r="B2" i="72" s="1"/>
  <c r="C11" i="21"/>
  <c r="J13" i="39"/>
  <c r="F13" i="39"/>
  <c r="H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L70" i="75" l="1"/>
  <c r="K72" i="75"/>
  <c r="AB13" i="39"/>
  <c r="U13" i="39"/>
  <c r="AC13" i="39"/>
  <c r="W13" i="39"/>
  <c r="AA13" i="39"/>
  <c r="S13" i="39"/>
  <c r="F11" i="21"/>
  <c r="J11" i="21"/>
  <c r="H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72" i="75" l="1"/>
  <c r="M70" i="75"/>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N70" i="75" l="1"/>
  <c r="N72" i="75" s="1"/>
  <c r="M72" i="75"/>
  <c r="R49" i="21"/>
  <c r="E48" i="21"/>
  <c r="G53" i="21"/>
  <c r="H53" i="21" s="1"/>
  <c r="G52" i="21"/>
  <c r="H52" i="21" s="1"/>
  <c r="I52" i="21"/>
  <c r="J52" i="21" s="1"/>
  <c r="I53" i="21"/>
  <c r="J53"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F9" i="75" l="1"/>
  <c r="J9" i="75"/>
  <c r="H9" i="75"/>
  <c r="E52" i="21"/>
  <c r="F52" i="21" s="1"/>
  <c r="E53" i="21"/>
  <c r="F53" i="21" s="1"/>
  <c r="C48" i="21"/>
  <c r="C49" i="21"/>
  <c r="C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W9" i="75" l="1"/>
  <c r="AC9" i="75"/>
  <c r="V49" i="75" s="1"/>
  <c r="I49" i="75" s="1"/>
  <c r="AB9" i="75"/>
  <c r="T49" i="75" s="1"/>
  <c r="G49" i="75" s="1"/>
  <c r="U9" i="75"/>
  <c r="S9" i="75"/>
  <c r="AA9" i="75"/>
  <c r="R49" i="75" s="1"/>
  <c r="B3" i="21"/>
  <c r="B2" i="21" s="1"/>
  <c r="C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E49" i="75" l="1"/>
  <c r="I54" i="75" s="1"/>
  <c r="J54" i="75" s="1"/>
  <c r="R50" i="75"/>
  <c r="I53" i="75"/>
  <c r="J53" i="75" s="1"/>
  <c r="G54" i="75"/>
  <c r="H54" i="75" s="1"/>
  <c r="G53" i="75"/>
  <c r="H53" i="75" s="1"/>
  <c r="L46" i="15"/>
  <c r="B2" i="15" s="1"/>
  <c r="D10" i="12" s="1"/>
  <c r="Q76" i="15"/>
  <c r="Q58" i="15"/>
  <c r="Q63" i="15" s="1"/>
  <c r="E54" i="39"/>
  <c r="F54" i="39" s="1"/>
  <c r="E53" i="39"/>
  <c r="F53" i="39" s="1"/>
  <c r="E48" i="40"/>
  <c r="F48" i="40" s="1"/>
  <c r="E49" i="40"/>
  <c r="F49" i="40" s="1"/>
  <c r="C50" i="39"/>
  <c r="C49" i="39"/>
  <c r="I54" i="39"/>
  <c r="J54" i="39" s="1"/>
  <c r="C45" i="40"/>
  <c r="C44" i="40"/>
  <c r="I49" i="40"/>
  <c r="J49" i="40" s="1"/>
  <c r="C50" i="75" l="1"/>
  <c r="C49" i="75"/>
  <c r="E54" i="75"/>
  <c r="F54" i="75" s="1"/>
  <c r="E53" i="75"/>
  <c r="F53" i="75" s="1"/>
  <c r="B3" i="15"/>
  <c r="D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62" i="75" l="1"/>
  <c r="F62" i="75" s="1"/>
  <c r="B58" i="75"/>
  <c r="F58" i="75" s="1"/>
  <c r="B66" i="75"/>
  <c r="F66" i="75" s="1"/>
  <c r="B64" i="75"/>
  <c r="F64" i="75" s="1"/>
  <c r="B59" i="75"/>
  <c r="F59" i="75" s="1"/>
  <c r="B60" i="75"/>
  <c r="F60" i="75" s="1"/>
  <c r="B67" i="75"/>
  <c r="F67" i="75" s="1"/>
  <c r="B65" i="75"/>
  <c r="F65" i="75" s="1"/>
  <c r="B63" i="75"/>
  <c r="F63" i="75" s="1"/>
  <c r="B61" i="75"/>
  <c r="F61" i="75" s="1"/>
  <c r="F68" i="39"/>
  <c r="B2" i="39" s="1"/>
  <c r="F63" i="40"/>
  <c r="B2" i="40" s="1"/>
  <c r="C19" i="9"/>
  <c r="F68" i="75" l="1"/>
  <c r="B2" i="75" s="1"/>
  <c r="B4" i="39"/>
  <c r="B3" i="39"/>
  <c r="L43" i="9"/>
  <c r="B3" i="40"/>
  <c r="B4" i="40"/>
  <c r="B5" i="40"/>
  <c r="B5" i="39"/>
  <c r="C21" i="9"/>
  <c r="C20" i="9"/>
  <c r="B5" i="75" l="1"/>
  <c r="B4" i="75"/>
  <c r="B3" i="75"/>
  <c r="N76" i="9"/>
  <c r="B2" i="35" l="1"/>
  <c r="E10" i="12" s="1"/>
  <c r="C6" i="12" l="1"/>
  <c r="C46" i="9"/>
  <c r="C29" i="12" l="1"/>
  <c r="C24" i="12"/>
  <c r="C35" i="12" s="1"/>
  <c r="C33" i="12" s="1"/>
  <c r="K33" i="9"/>
  <c r="I14" i="66"/>
  <c r="B8" i="66" s="1"/>
  <c r="O41" i="9"/>
  <c r="R8" i="54" s="1"/>
  <c r="B54" i="63" s="1"/>
  <c r="F46" i="9"/>
  <c r="D46" i="9"/>
  <c r="E46" i="9"/>
  <c r="C28" i="12" l="1"/>
  <c r="C26" i="12" s="1"/>
  <c r="C31" i="12" s="1"/>
  <c r="C30" i="12" s="1"/>
  <c r="C36" i="12" s="1"/>
  <c r="B2" i="12" s="1"/>
  <c r="B3" i="12" s="1"/>
  <c r="D8" i="66"/>
  <c r="C8" i="66"/>
  <c r="K34" i="9"/>
  <c r="B3" i="35"/>
  <c r="E8" i="12" s="1"/>
  <c r="D20" i="9"/>
  <c r="D19" i="9"/>
  <c r="B4" i="12" l="1"/>
  <c r="B5" i="12"/>
  <c r="G19" i="9"/>
  <c r="L7" i="12" s="1"/>
  <c r="D22" i="9"/>
  <c r="L19" i="9"/>
  <c r="L44" i="9"/>
  <c r="G20" i="9"/>
  <c r="D21" i="9"/>
  <c r="C32" i="9" l="1"/>
  <c r="C45" i="9" s="1"/>
  <c r="D27" i="9"/>
  <c r="D30" i="9" s="1"/>
  <c r="C30" i="9" s="1"/>
  <c r="C25" i="9" s="1"/>
  <c r="N43" i="9"/>
  <c r="G22" i="9"/>
  <c r="K19" i="9"/>
  <c r="G21" i="9"/>
  <c r="H14" i="66"/>
  <c r="B7" i="66" s="1"/>
  <c r="D45" i="9"/>
  <c r="O40" i="9"/>
  <c r="E45" i="9"/>
  <c r="F45" i="9"/>
  <c r="C33" i="9" l="1"/>
  <c r="D42" i="9" s="1"/>
  <c r="Q5" i="54" s="1"/>
  <c r="B47" i="63" s="1"/>
  <c r="C42" i="9"/>
  <c r="D14" i="66" s="1"/>
  <c r="O38" i="9"/>
  <c r="K25" i="9" s="1"/>
  <c r="C35" i="9"/>
  <c r="F42" i="9" s="1"/>
  <c r="O43" i="9"/>
  <c r="C34" i="9"/>
  <c r="M38" i="9" s="1"/>
  <c r="K27" i="9" s="1"/>
  <c r="K31" i="9"/>
  <c r="K32" i="9" s="1"/>
  <c r="R7" i="54"/>
  <c r="B52" i="63" s="1"/>
  <c r="D7" i="66"/>
  <c r="C7" i="66"/>
  <c r="C44" i="9"/>
  <c r="D63" i="9"/>
  <c r="N38" i="9"/>
  <c r="K28" i="9" s="1"/>
  <c r="R5" i="54" l="1"/>
  <c r="B48" i="63" s="1"/>
  <c r="K26" i="9"/>
  <c r="N68" i="9"/>
  <c r="E42" i="9"/>
  <c r="P5" i="54" s="1"/>
  <c r="B46" i="63" s="1"/>
  <c r="C103" i="9"/>
  <c r="C90" i="9"/>
  <c r="C82" i="9"/>
  <c r="C81" i="9" s="1"/>
  <c r="C85" i="9" s="1"/>
  <c r="C86" i="9" s="1"/>
  <c r="D72" i="9" s="1"/>
  <c r="D71" i="9"/>
  <c r="D66" i="9" s="1"/>
  <c r="N72" i="9" s="1"/>
  <c r="C111" i="9"/>
  <c r="C104" i="9" s="1"/>
  <c r="D77" i="9"/>
  <c r="N75" i="9" s="1"/>
  <c r="C96" i="9"/>
  <c r="C91" i="9" s="1"/>
  <c r="D70" i="9"/>
  <c r="E14" i="66"/>
  <c r="B5" i="66"/>
  <c r="F14" i="66"/>
  <c r="G14" i="66"/>
  <c r="B6" i="66" s="1"/>
  <c r="O39" i="9"/>
  <c r="F44" i="9"/>
  <c r="N69" i="9"/>
  <c r="D44" i="9"/>
  <c r="E44" i="9"/>
  <c r="D6" i="66" l="1"/>
  <c r="C6" i="66"/>
  <c r="C97" i="9"/>
  <c r="C5" i="66"/>
  <c r="D5" i="66"/>
  <c r="M83" i="9"/>
  <c r="N83" i="9" s="1"/>
  <c r="M84" i="9"/>
  <c r="N84" i="9" s="1"/>
  <c r="M85" i="9"/>
  <c r="N85" i="9" s="1"/>
  <c r="M86" i="9"/>
  <c r="N86" i="9" s="1"/>
  <c r="M87" i="9"/>
  <c r="N87" i="9" s="1"/>
  <c r="M88" i="9"/>
  <c r="N88" i="9" s="1"/>
  <c r="R6" i="54"/>
  <c r="B50" i="63" s="1"/>
  <c r="K29" i="9"/>
  <c r="K30" i="9" s="1"/>
  <c r="C113" i="9"/>
  <c r="C114" i="9" l="1"/>
  <c r="E114" i="9" s="1"/>
  <c r="E115" i="9" s="1"/>
  <c r="N89" i="9"/>
  <c r="O89" i="9" s="1"/>
  <c r="C98" i="9"/>
  <c r="E98" i="9" s="1"/>
  <c r="E99" i="9" s="1"/>
  <c r="C115" i="9" l="1"/>
  <c r="D76" i="9" s="1"/>
  <c r="D74" i="9" s="1"/>
  <c r="N74" i="9" s="1"/>
  <c r="O77" i="9" s="1"/>
  <c r="Q77" i="9" s="1"/>
  <c r="C99" i="9"/>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<sst xmlns="http://schemas.openxmlformats.org/spreadsheetml/2006/main" count="8605" uniqueCount="3262">
  <si>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</si>
  <si>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</si>
  <si>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</si>
  <si>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</si>
  <si>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</si>
  <si>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</si>
  <si>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</si>
  <si>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</si>
  <si>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</si>
  <si>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</si>
  <si>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</si>
  <si>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</si>
  <si>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</si>
  <si>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</si>
  <si>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</si>
  <si>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</si>
  <si>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</si>
  <si>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</si>
  <si>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</si>
  <si>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</si>
  <si>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</si>
  <si>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</si>
  <si>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</si>
  <si>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</si>
  <si>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</si>
  <si>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</si>
  <si>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</si>
  <si>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</si>
  <si>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</si>
  <si>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</si>
  <si>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</si>
  <si>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</si>
  <si>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</si>
  <si>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</si>
  <si>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</si>
  <si>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</si>
  <si>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</si>
  <si>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</si>
  <si>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</si>
  <si>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</si>
  <si>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</si>
  <si>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</si>
  <si>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</si>
  <si>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</si>
  <si>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</si>
  <si>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</si>
  <si>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</si>
  <si>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</si>
  <si>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</si>
  <si>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</si>
  <si>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</si>
  <si>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</si>
  <si>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</si>
  <si>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</si>
  <si>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</si>
  <si>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</si>
  <si>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</si>
  <si>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</si>
  <si>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</si>
  <si>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</si>
  <si>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</si>
  <si>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</si>
  <si>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</si>
  <si>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</si>
  <si>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</si>
  <si>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</si>
  <si>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</si>
  <si>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</si>
  <si>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</si>
  <si>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</si>
  <si>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</si>
  <si>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</si>
  <si>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</si>
  <si>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</si>
  <si>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</si>
  <si>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</si>
  <si>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</si>
  <si>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</si>
  <si>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</si>
  <si>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</si>
  <si>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</si>
  <si>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</si>
  <si>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</si>
  <si>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</si>
  <si>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</si>
  <si>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</si>
  <si>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</si>
  <si>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</si>
  <si>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</si>
  <si>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</si>
  <si>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</si>
  <si>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</si>
  <si>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</si>
  <si>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</si>
  <si>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</si>
  <si>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</si>
  <si>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</si>
  <si>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</si>
  <si>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</si>
  <si>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</si>
  <si>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</si>
  <si>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</si>
  <si>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</si>
  <si>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</si>
  <si>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</si>
  <si>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</si>
  <si>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</si>
  <si>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</si>
  <si>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</si>
  <si>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</si>
  <si>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</si>
  <si>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</si>
  <si>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</si>
  <si>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</si>
  <si>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</si>
  <si>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</si>
  <si>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</si>
  <si>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</si>
  <si>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</si>
  <si>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</si>
  <si>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</si>
  <si>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</si>
  <si>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</si>
  <si>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</si>
  <si>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</si>
  <si>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</si>
  <si>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</si>
  <si>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</si>
  <si>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</si>
  <si>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</si>
  <si>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</si>
  <si>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</si>
  <si>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</si>
  <si>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</si>
  <si>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</si>
  <si>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</si>
  <si>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</si>
  <si>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</si>
  <si>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</si>
  <si>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</si>
  <si>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</si>
  <si>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</si>
  <si>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</si>
  <si>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</si>
  <si>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</si>
  <si>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</si>
  <si>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</si>
  <si>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</si>
  <si>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</si>
  <si>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</si>
  <si>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</si>
  <si>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</si>
  <si>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</si>
  <si>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</si>
  <si>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</si>
  <si>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</si>
  <si>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</si>
  <si>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</si>
  <si>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</si>
  <si>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</si>
  <si>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</si>
  <si>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</si>
  <si>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</si>
  <si>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</si>
  <si>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</si>
  <si>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</si>
  <si>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</si>
  <si>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</si>
  <si>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</si>
  <si>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</si>
  <si>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</si>
  <si>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</si>
  <si>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</si>
  <si>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</si>
  <si>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</si>
  <si>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</si>
  <si>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</si>
  <si>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</si>
  <si>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</si>
  <si>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</si>
  <si>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</si>
  <si>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</si>
  <si>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</si>
  <si>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</si>
  <si>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</si>
  <si>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</si>
  <si>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</si>
  <si>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</si>
  <si>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</si>
  <si>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</si>
  <si>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</si>
  <si>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</si>
  <si>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</si>
  <si>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</si>
  <si>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</si>
  <si>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</si>
  <si>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</si>
  <si>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</si>
  <si>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</si>
  <si>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</si>
  <si>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</si>
  <si>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</si>
  <si>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</si>
  <si>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</si>
  <si>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</si>
  <si>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</si>
  <si>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</si>
  <si>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</si>
  <si>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</si>
  <si>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</si>
  <si>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</si>
  <si>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</si>
  <si>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</si>
  <si>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</si>
  <si>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</si>
  <si>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</si>
  <si>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</si>
  <si>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</si>
  <si>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</si>
  <si>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</si>
  <si>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</si>
  <si>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</si>
  <si>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</si>
  <si>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</si>
  <si>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</si>
  <si>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</si>
  <si>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</si>
  <si>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</si>
  <si>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</si>
  <si>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</si>
  <si>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</si>
  <si>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</si>
  <si>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</si>
  <si>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</si>
  <si>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</si>
  <si>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</si>
  <si>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</si>
  <si>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</si>
  <si>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</si>
  <si>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</si>
  <si>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</si>
  <si>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</si>
  <si>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</si>
  <si>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</si>
  <si>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</si>
  <si>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</si>
  <si>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</si>
  <si>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</si>
  <si>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</si>
  <si>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</si>
  <si>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</si>
  <si>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</si>
  <si>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</si>
  <si>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</si>
  <si>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</si>
  <si>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</si>
  <si>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</si>
  <si>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</si>
  <si>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</si>
  <si>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</si>
  <si>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</si>
  <si>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</si>
  <si>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</si>
  <si>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</si>
  <si>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</si>
  <si>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</si>
  <si>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</si>
  <si>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</si>
  <si>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</si>
  <si>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</si>
  <si>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</si>
  <si>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</si>
  <si>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</si>
  <si>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</si>
  <si>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</si>
  <si>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</si>
  <si>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</si>
  <si>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</si>
  <si>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</si>
  <si>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</si>
  <si>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</si>
  <si>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</si>
  <si>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</si>
  <si>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</si>
  <si>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</si>
  <si>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</si>
  <si>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</si>
  <si>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</si>
  <si>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</si>
  <si>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</si>
  <si>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</si>
  <si>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</si>
  <si>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</si>
  <si>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</si>
  <si>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</si>
  <si>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</si>
  <si>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</si>
  <si>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</si>
  <si>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</si>
  <si>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</si>
  <si>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</si>
  <si>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</si>
  <si>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</si>
  <si>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</si>
  <si>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</si>
  <si>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</si>
  <si>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</si>
  <si>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</si>
  <si>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</si>
  <si>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</si>
  <si>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</si>
  <si>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</si>
  <si>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</si>
  <si>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</si>
  <si>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</si>
  <si>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</si>
  <si>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</si>
  <si>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</si>
  <si>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</si>
  <si>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</si>
  <si>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</si>
  <si>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</si>
  <si>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</si>
  <si>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</si>
  <si>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</si>
  <si>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</si>
  <si>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</si>
  <si>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</si>
  <si>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</si>
  <si>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</si>
  <si>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</si>
  <si>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</si>
  <si>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</si>
  <si>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</si>
  <si>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</si>
  <si>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</si>
  <si>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</si>
  <si>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</si>
  <si>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</si>
  <si>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</si>
  <si>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</si>
  <si>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</si>
  <si>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</si>
  <si>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</si>
  <si>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</si>
  <si>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</si>
  <si>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</si>
  <si>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</si>
  <si>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</si>
  <si>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</si>
  <si>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</si>
  <si>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</si>
  <si>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</si>
  <si>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</si>
  <si>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</si>
  <si>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</si>
  <si>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</si>
  <si>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</si>
  <si>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</si>
  <si>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</si>
  <si>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</si>
  <si>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</si>
  <si>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</si>
  <si>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</si>
  <si>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</si>
  <si>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</si>
  <si>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</si>
  <si>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</si>
  <si>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</si>
  <si>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</si>
  <si>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</si>
  <si>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</si>
  <si>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</si>
  <si>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</si>
  <si>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</si>
  <si>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</si>
  <si>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</si>
  <si>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</si>
  <si>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</si>
  <si>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</si>
  <si>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</si>
  <si>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</si>
  <si>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</si>
  <si>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</si>
  <si>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</si>
  <si>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</si>
  <si>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</si>
  <si>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</si>
  <si>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</si>
  <si>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</si>
  <si>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</si>
  <si>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</si>
  <si>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</si>
  <si>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</si>
  <si>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</si>
  <si>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</si>
  <si>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</si>
  <si>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</si>
  <si>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</si>
  <si>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</si>
  <si>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</si>
  <si>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</si>
  <si>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</si>
  <si>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</si>
  <si>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</si>
  <si>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</si>
  <si>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</si>
  <si>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</si>
  <si>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</si>
  <si>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</si>
  <si>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</si>
  <si>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</si>
  <si>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</si>
  <si>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</si>
  <si>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</si>
  <si>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</si>
  <si>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</si>
  <si>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</si>
  <si>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</si>
  <si>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</si>
  <si>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</si>
  <si>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</si>
  <si>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</si>
  <si>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</si>
  <si>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</si>
  <si>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</si>
  <si>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</si>
  <si>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</si>
  <si>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</si>
  <si>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</si>
  <si>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</si>
  <si>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</si>
  <si>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</si>
  <si>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</si>
  <si>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</si>
  <si>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</si>
  <si>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</si>
  <si>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</si>
  <si>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</si>
  <si>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</si>
  <si>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</si>
  <si>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</si>
  <si>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</si>
  <si>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</si>
  <si>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</si>
  <si>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</si>
  <si>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</si>
  <si>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</si>
  <si>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</si>
  <si>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</si>
  <si>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</si>
  <si>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</si>
  <si>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</si>
  <si>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</si>
  <si>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</si>
  <si>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</si>
  <si>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</si>
  <si>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</si>
  <si>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</si>
  <si>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</si>
  <si>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</si>
  <si>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</si>
  <si>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</si>
  <si>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</si>
  <si>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</si>
  <si>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</si>
  <si>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</si>
  <si>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</si>
  <si>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</si>
  <si>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</si>
  <si>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</si>
  <si>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</si>
  <si>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</si>
  <si>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</si>
  <si>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</si>
  <si>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</si>
  <si>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</si>
  <si>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</si>
  <si>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</si>
  <si>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</si>
  <si>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</si>
  <si>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</si>
  <si>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</si>
  <si>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</si>
  <si>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</si>
  <si>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</si>
  <si>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</si>
  <si>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</si>
  <si>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</si>
  <si>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</si>
  <si>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</si>
  <si>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</si>
  <si>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</si>
  <si>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</si>
  <si>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</si>
  <si>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</si>
  <si>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</si>
  <si>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</si>
  <si>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</si>
  <si>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</si>
  <si>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</si>
  <si>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</si>
  <si>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</si>
  <si>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</si>
  <si>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</si>
  <si>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</si>
  <si>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</si>
  <si>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</si>
  <si>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</si>
  <si>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</si>
  <si>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</si>
  <si>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</si>
  <si>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</si>
  <si>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</si>
  <si>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</si>
  <si>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</si>
  <si>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</si>
  <si>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</si>
  <si>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</si>
  <si>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</si>
  <si>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</si>
  <si>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</si>
  <si>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</si>
  <si>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</si>
  <si>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</si>
  <si>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</si>
  <si>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</si>
  <si>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</si>
  <si>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</si>
  <si>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</si>
  <si>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</si>
  <si>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</si>
  <si>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</si>
  <si>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</si>
  <si>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</si>
  <si>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</si>
  <si>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</si>
  <si>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</si>
  <si>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</si>
  <si>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</si>
  <si>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</si>
  <si>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</si>
  <si>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</si>
  <si>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</si>
  <si>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</si>
  <si>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</si>
  <si>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</si>
  <si>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</si>
  <si>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</si>
  <si>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</si>
  <si>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</si>
  <si>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</si>
  <si>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</si>
  <si>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</si>
  <si>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</si>
  <si>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</si>
  <si>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</si>
  <si>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</si>
  <si>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</si>
  <si>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</si>
  <si>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</si>
  <si>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</si>
  <si>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</si>
  <si>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</si>
  <si>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</si>
  <si>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</si>
  <si>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</si>
  <si>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</si>
  <si>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</si>
  <si>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</si>
  <si>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</si>
  <si>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</si>
  <si>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</si>
  <si>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</si>
  <si>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</si>
  <si>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</si>
  <si>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</si>
  <si>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</si>
  <si>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</si>
  <si>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</si>
  <si>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</si>
  <si>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</si>
  <si>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</si>
  <si>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</si>
  <si>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</si>
  <si>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</si>
  <si>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</si>
  <si>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</si>
  <si>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</si>
  <si>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</si>
  <si>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</si>
  <si>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</si>
  <si>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</si>
  <si>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</si>
  <si>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</si>
  <si>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</si>
  <si>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</si>
  <si>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</si>
  <si>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</si>
  <si>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</si>
  <si>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</si>
  <si>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</si>
  <si>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</si>
  <si>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</si>
  <si>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</si>
  <si>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</si>
  <si>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</si>
  <si>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</si>
  <si>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</si>
  <si>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</si>
  <si>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</si>
  <si>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</si>
  <si>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</si>
  <si>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</si>
  <si>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</si>
  <si>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</si>
  <si>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</si>
  <si>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</si>
  <si>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</si>
  <si>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</si>
  <si>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</si>
  <si>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</si>
  <si>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</si>
  <si>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</si>
  <si>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</si>
  <si>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</si>
  <si>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</si>
  <si>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</si>
  <si>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</si>
  <si>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</si>
  <si>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</si>
  <si>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</si>
  <si>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</si>
  <si>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</si>
  <si>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</si>
  <si>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</si>
  <si>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</si>
  <si>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</si>
  <si>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</si>
  <si>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</si>
  <si>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</si>
  <si>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</si>
  <si>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</si>
  <si>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</si>
  <si>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</si>
  <si>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</si>
  <si>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</si>
  <si>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</si>
  <si>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</si>
  <si>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</si>
  <si>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</si>
  <si>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</si>
  <si>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</si>
  <si>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</si>
  <si>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</si>
  <si>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</si>
  <si>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</si>
  <si>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</si>
  <si>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</si>
  <si>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</si>
  <si>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</si>
  <si>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</si>
  <si>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</si>
  <si>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</si>
  <si>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</si>
  <si>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</si>
  <si>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</si>
  <si>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</si>
  <si>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</si>
  <si>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</si>
  <si>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</si>
  <si>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</si>
  <si>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</si>
  <si>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</si>
  <si>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</si>
  <si>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</si>
  <si>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</si>
  <si>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</si>
  <si>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</si>
  <si>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</si>
  <si>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</si>
  <si>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</si>
  <si>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</si>
  <si>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</si>
  <si>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</si>
  <si>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</si>
  <si>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</si>
  <si>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</si>
  <si>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</si>
  <si>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</si>
  <si>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</si>
  <si>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</si>
  <si>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</si>
  <si>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</si>
  <si>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</si>
  <si>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</si>
  <si>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</si>
  <si>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</si>
  <si>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</si>
  <si>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</si>
  <si>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</si>
  <si>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</si>
  <si>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</si>
  <si>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</si>
  <si>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</si>
  <si>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</si>
  <si>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</si>
  <si>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</si>
  <si>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</si>
  <si>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</si>
  <si>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</si>
  <si>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</si>
  <si>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</si>
  <si>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</si>
  <si>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</si>
  <si>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</si>
  <si>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</si>
  <si>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</si>
  <si>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</si>
  <si>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</si>
  <si>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</si>
  <si>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</si>
  <si>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</si>
  <si>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</si>
  <si>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</si>
  <si>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</si>
  <si>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</si>
  <si>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</si>
  <si>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</si>
  <si>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</si>
  <si>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</si>
  <si>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</si>
  <si>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</si>
  <si>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</si>
  <si>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</si>
  <si>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</si>
  <si>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</si>
  <si>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</si>
  <si>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</si>
  <si>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</si>
  <si>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</si>
  <si>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</si>
  <si>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</si>
  <si>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</si>
  <si>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</si>
  <si>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</si>
  <si>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</si>
  <si>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</si>
  <si>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</si>
  <si>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</si>
  <si>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</si>
  <si>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</si>
  <si>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</si>
  <si>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</si>
  <si>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</si>
  <si>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</si>
  <si>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</si>
  <si>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</si>
  <si>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</si>
  <si>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</si>
  <si>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</si>
  <si>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</si>
  <si>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</si>
  <si>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</si>
  <si>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</si>
  <si>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</si>
  <si>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</si>
  <si>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</si>
  <si>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</si>
  <si>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</si>
  <si>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</si>
  <si>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</si>
  <si>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</si>
  <si>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</si>
  <si>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</si>
  <si>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</si>
  <si>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</si>
  <si>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</si>
  <si>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</si>
  <si>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</si>
  <si>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</si>
  <si>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</si>
  <si>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</si>
  <si>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</si>
  <si>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</si>
  <si>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</si>
  <si>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</si>
  <si>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</si>
  <si>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</si>
  <si>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</si>
  <si>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</si>
  <si>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</si>
  <si>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</si>
  <si>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</si>
  <si>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</si>
  <si>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</si>
  <si>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</si>
  <si>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</si>
  <si>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</si>
  <si>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</si>
  <si>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</si>
  <si>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</si>
  <si>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</si>
  <si>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</si>
  <si>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</si>
  <si>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</si>
  <si>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</si>
  <si>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</si>
  <si>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</si>
  <si>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</si>
  <si>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</si>
  <si>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</si>
  <si>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</si>
  <si>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</si>
  <si>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</si>
  <si>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</si>
  <si>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</si>
  <si>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</si>
  <si>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</si>
  <si>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</si>
  <si>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</si>
  <si>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</si>
  <si>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</si>
  <si>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</si>
  <si>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</si>
  <si>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</si>
  <si>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</si>
  <si>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</si>
  <si>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</si>
  <si>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</si>
  <si>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</si>
  <si>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</si>
  <si>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</si>
  <si>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</si>
  <si>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</si>
  <si>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</si>
  <si>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</si>
  <si>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</si>
  <si>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</si>
  <si>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</si>
  <si>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</si>
  <si>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</si>
  <si>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</si>
  <si>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</si>
  <si>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</si>
  <si>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</si>
  <si>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</si>
  <si>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</si>
  <si>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</si>
  <si>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</si>
  <si>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</si>
  <si>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</si>
  <si>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</si>
  <si>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</si>
  <si>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</si>
  <si>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</si>
  <si>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</si>
  <si>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</si>
  <si>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</si>
  <si>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</si>
  <si>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</si>
  <si>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</si>
  <si>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</si>
  <si>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</si>
  <si>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</si>
  <si>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</si>
  <si>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</si>
  <si>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</si>
  <si>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</si>
  <si>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</si>
  <si>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</si>
  <si>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</si>
  <si>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</si>
  <si>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</si>
  <si>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</si>
  <si>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</si>
  <si>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</si>
  <si>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</si>
  <si>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</si>
  <si>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</si>
  <si>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</si>
  <si>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</si>
  <si>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</si>
  <si>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</si>
  <si>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</si>
  <si>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</si>
  <si>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</si>
  <si>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</si>
  <si>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</si>
  <si>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</si>
  <si>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</si>
  <si>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</si>
  <si>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</si>
  <si>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</si>
  <si>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</si>
  <si>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</si>
  <si>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</si>
  <si>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</si>
  <si>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</si>
  <si>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</si>
  <si>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</si>
  <si>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</si>
  <si>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</si>
  <si>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</si>
  <si>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</si>
  <si>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</si>
  <si>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</si>
  <si>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</si>
  <si>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</si>
  <si>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</si>
  <si>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</si>
  <si>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</si>
  <si>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</si>
  <si>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</si>
  <si>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</si>
  <si>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</si>
  <si>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</si>
  <si>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</si>
  <si>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</si>
  <si>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</si>
  <si>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</si>
  <si>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</si>
  <si>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</si>
  <si>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</si>
  <si>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</si>
  <si>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</si>
  <si>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</si>
  <si>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</si>
  <si>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</si>
  <si>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</si>
  <si>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</si>
  <si>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</si>
  <si>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</si>
  <si>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</si>
  <si>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</si>
  <si>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</si>
  <si>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</si>
  <si>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</si>
  <si>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</si>
  <si>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</si>
  <si>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</si>
  <si>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</si>
  <si>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</si>
  <si>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</si>
  <si>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</si>
  <si>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</si>
  <si>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</si>
  <si>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</si>
  <si>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</si>
  <si>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</si>
  <si>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</si>
  <si>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</si>
  <si>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</si>
  <si>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</si>
  <si>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</si>
  <si>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</si>
  <si>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</si>
  <si>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</si>
  <si>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</si>
  <si>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</si>
  <si>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</si>
  <si>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</si>
  <si>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</si>
  <si>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</si>
  <si>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</si>
  <si>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</si>
  <si>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</si>
  <si>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</si>
  <si>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</si>
  <si>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</si>
  <si>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</si>
  <si>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</si>
  <si>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</si>
  <si>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</si>
  <si>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</si>
  <si>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</si>
  <si>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</si>
  <si>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</si>
  <si>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</si>
  <si>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</si>
  <si>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</si>
  <si>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</si>
  <si>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</si>
  <si>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</si>
  <si>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</si>
  <si>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</si>
  <si>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</si>
  <si>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</si>
  <si>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</si>
  <si>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</si>
  <si>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</si>
  <si>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</si>
  <si>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</si>
  <si>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</si>
  <si>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</si>
  <si>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</si>
  <si>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</si>
  <si>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</si>
  <si>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</si>
  <si>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</si>
  <si>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</si>
  <si>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</si>
  <si>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</si>
  <si>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</si>
  <si>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</si>
  <si>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</si>
  <si>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</si>
  <si>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</si>
  <si>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</si>
  <si>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</si>
  <si>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</si>
  <si>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</si>
  <si>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</si>
  <si>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</si>
  <si>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</si>
  <si>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</si>
  <si>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</si>
  <si>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</si>
  <si>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</si>
  <si>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</si>
  <si>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</si>
  <si>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</si>
  <si>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</si>
  <si>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</si>
  <si>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</si>
  <si>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</si>
  <si>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</si>
  <si>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</si>
  <si>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</si>
  <si>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</si>
  <si>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</si>
  <si>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</si>
  <si>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</si>
  <si>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</si>
  <si>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</si>
  <si>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</si>
  <si>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</si>
  <si>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</si>
  <si>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</si>
  <si>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</si>
  <si>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</si>
  <si>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</si>
  <si>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</si>
  <si>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</si>
  <si>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</si>
  <si>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</si>
  <si>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</si>
  <si>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</si>
  <si>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</si>
  <si>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</si>
  <si>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</si>
  <si>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</si>
  <si>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</si>
  <si>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</si>
  <si>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</si>
  <si>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</si>
  <si>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</si>
  <si>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</si>
  <si>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</si>
  <si>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</si>
  <si>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</si>
  <si>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</si>
  <si>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</si>
  <si>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</si>
  <si>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</si>
  <si>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</si>
  <si>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</si>
  <si>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</si>
  <si>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</si>
  <si>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</si>
  <si>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</si>
  <si>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</si>
  <si>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</si>
  <si>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</si>
  <si>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</si>
  <si>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</si>
  <si>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</si>
  <si>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</si>
  <si>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</si>
  <si>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</si>
  <si>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</si>
  <si>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</si>
  <si>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</si>
  <si>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</si>
  <si>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</si>
  <si>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</si>
  <si>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</si>
  <si>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</si>
  <si>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</si>
  <si>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</si>
  <si>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</si>
  <si>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</si>
  <si>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</si>
  <si>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</si>
  <si>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</si>
  <si>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</si>
  <si>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</si>
  <si>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</si>
  <si>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</si>
  <si>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</si>
  <si>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</si>
  <si>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</si>
  <si>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</si>
  <si>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</si>
  <si>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</si>
  <si>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</si>
  <si>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</si>
  <si>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</si>
  <si>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</si>
  <si>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</si>
  <si>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</si>
  <si>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</si>
  <si>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</si>
  <si>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</si>
  <si>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</si>
  <si>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</si>
  <si>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</si>
  <si>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</si>
  <si>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</si>
  <si>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</si>
  <si>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</si>
  <si>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</si>
  <si>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</si>
  <si>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</si>
  <si>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</si>
  <si>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</si>
  <si>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</si>
  <si>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</si>
  <si>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</si>
  <si>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</si>
  <si>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</si>
  <si>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</si>
  <si>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</si>
  <si>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</si>
  <si>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</si>
  <si>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</si>
  <si>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</si>
  <si>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</si>
  <si>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</si>
  <si>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</si>
  <si>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</si>
  <si>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</si>
  <si>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</si>
  <si>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</si>
  <si>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</si>
  <si>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</si>
  <si>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</si>
  <si>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</si>
  <si>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</si>
  <si>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</si>
  <si>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</si>
  <si>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</si>
  <si>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</si>
  <si>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</si>
  <si>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</si>
  <si>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</si>
  <si>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</si>
  <si>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</si>
  <si>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</si>
  <si>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</si>
  <si>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</si>
  <si>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</si>
  <si>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</si>
  <si>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</si>
  <si>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</si>
  <si>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</si>
  <si>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</si>
  <si>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</si>
  <si>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</si>
  <si>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</si>
  <si>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</si>
  <si>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</si>
  <si>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</si>
  <si>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</si>
  <si>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</si>
  <si>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</si>
  <si>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</si>
  <si>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</si>
  <si>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</si>
  <si>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</si>
  <si>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</si>
  <si>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</si>
  <si>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</si>
  <si>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</si>
  <si>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</si>
  <si>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</si>
  <si>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</si>
  <si>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</si>
  <si>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</si>
  <si>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</si>
  <si>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</si>
  <si>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</si>
  <si>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</si>
  <si>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</si>
  <si>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</si>
  <si>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</si>
  <si>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</si>
  <si>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</si>
  <si>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</si>
  <si>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</si>
  <si>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</si>
  <si>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</si>
  <si>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</si>
  <si>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</si>
  <si>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</si>
  <si>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</si>
  <si>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</si>
  <si>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</si>
  <si>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</si>
  <si>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</si>
  <si>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</si>
  <si>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</si>
  <si>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</si>
  <si>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</si>
  <si>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</si>
  <si>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</si>
  <si>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</si>
  <si>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</si>
  <si>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</si>
  <si>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</si>
  <si>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</si>
  <si>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</si>
  <si>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</si>
  <si>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</si>
  <si>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</si>
  <si>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</si>
  <si>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</si>
  <si>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</si>
  <si>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</si>
  <si>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</si>
  <si>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</si>
  <si>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</si>
  <si>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</si>
  <si>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</si>
  <si>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</si>
  <si>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</si>
  <si>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</si>
  <si>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</si>
  <si>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</si>
  <si>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</si>
  <si>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</si>
  <si>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</si>
  <si>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</si>
  <si>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</si>
  <si>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</si>
  <si>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</si>
  <si>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</si>
  <si>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</si>
  <si>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</si>
  <si>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</si>
  <si>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</si>
  <si>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</si>
  <si>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</si>
  <si>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</si>
  <si>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</si>
  <si>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</si>
  <si>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</si>
  <si>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</si>
  <si>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</si>
  <si>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</si>
  <si>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</si>
  <si>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</si>
  <si>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</si>
  <si>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</si>
  <si>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</si>
  <si>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</si>
  <si>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</si>
  <si>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</si>
  <si>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</si>
  <si>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</si>
  <si>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</si>
  <si>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</si>
  <si>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</si>
  <si>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</si>
  <si>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</si>
  <si>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</si>
  <si>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</si>
  <si>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</si>
  <si>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</si>
  <si>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</si>
  <si>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</si>
  <si>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</si>
  <si>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</si>
  <si>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</si>
  <si>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</si>
  <si>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</si>
  <si>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</si>
  <si>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</si>
  <si>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</si>
  <si>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</si>
  <si>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</si>
  <si>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</si>
  <si>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</si>
  <si>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</si>
  <si>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</si>
  <si>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</si>
  <si>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</si>
  <si>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</si>
  <si>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</si>
  <si>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</si>
  <si>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</si>
  <si>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</si>
  <si>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</si>
  <si>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</si>
  <si>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</si>
  <si>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</si>
  <si>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</si>
  <si>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</si>
  <si>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</si>
  <si>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</si>
  <si>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</si>
  <si>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</si>
  <si>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</si>
  <si>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</si>
  <si>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</si>
  <si>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</si>
  <si>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</si>
  <si>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</si>
  <si>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</si>
  <si>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</si>
  <si>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</si>
  <si>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</si>
  <si>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</si>
  <si>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</si>
  <si>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</si>
  <si>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</si>
  <si>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</si>
  <si>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</si>
  <si>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</si>
  <si>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</si>
  <si>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</si>
  <si>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</si>
  <si>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</si>
  <si>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</si>
  <si>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</si>
  <si>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</si>
  <si>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</si>
  <si>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</si>
  <si>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</si>
  <si>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</si>
  <si>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</si>
  <si>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</si>
  <si>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</si>
  <si>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</si>
  <si>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</si>
  <si>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</si>
  <si>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</si>
  <si>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</si>
  <si>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</si>
  <si>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</si>
  <si>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</si>
  <si>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</si>
  <si>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</si>
  <si>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</si>
  <si>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</si>
  <si>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</si>
  <si>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</si>
  <si>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</si>
  <si>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</si>
  <si>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</si>
  <si>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</si>
  <si>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</si>
  <si>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</si>
  <si>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</si>
  <si>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</si>
  <si>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</si>
  <si>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</si>
  <si>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</si>
  <si>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</si>
  <si>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</si>
  <si>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</si>
  <si>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</si>
  <si>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</si>
  <si>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</si>
  <si>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</si>
  <si>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</si>
  <si>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</si>
  <si>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</si>
  <si>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</si>
  <si>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</si>
  <si>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</si>
  <si>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</si>
  <si>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</si>
  <si>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</si>
  <si>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</si>
  <si>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</si>
  <si>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</si>
  <si>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</si>
  <si>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</si>
  <si>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</si>
  <si>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</si>
  <si>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</si>
  <si>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</si>
  <si>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</si>
  <si>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</si>
  <si>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</si>
  <si>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</si>
  <si>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</si>
  <si>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</si>
  <si>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</si>
  <si>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</si>
  <si>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</si>
  <si>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</si>
  <si>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</si>
  <si>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</si>
  <si>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</si>
  <si>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</si>
  <si>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</si>
  <si>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</si>
  <si>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</si>
  <si>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</si>
  <si>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</si>
  <si>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</si>
  <si>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</si>
  <si>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</si>
  <si>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</si>
  <si>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</si>
  <si>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</si>
  <si>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</si>
  <si>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</si>
  <si>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</si>
  <si>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</si>
  <si>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</si>
  <si>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</si>
  <si>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</si>
  <si>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</si>
  <si>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</si>
  <si>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</si>
  <si>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</si>
  <si>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</si>
  <si>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</si>
  <si>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</si>
  <si>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</si>
  <si>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</si>
  <si>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</si>
  <si>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</si>
  <si>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</si>
  <si>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</si>
  <si>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</si>
  <si>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</si>
  <si>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</si>
  <si>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</si>
  <si>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</si>
  <si>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</si>
  <si>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</si>
  <si>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</si>
  <si>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</si>
  <si>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</si>
  <si>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</si>
  <si>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</si>
  <si>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</si>
  <si>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</si>
  <si>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</si>
  <si>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</si>
  <si>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</si>
  <si>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</si>
  <si>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</si>
  <si>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</si>
  <si>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</si>
  <si>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</si>
  <si>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</si>
  <si>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</si>
  <si>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</si>
  <si>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</si>
  <si>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</si>
  <si>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</si>
  <si>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</si>
  <si>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</si>
  <si>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</si>
  <si>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</si>
  <si>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</si>
  <si>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</si>
  <si>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</si>
  <si>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</si>
  <si>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</si>
  <si>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</si>
  <si>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</si>
  <si>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</si>
  <si>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</si>
  <si>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</si>
  <si>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</si>
  <si>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</si>
  <si>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</si>
  <si>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</si>
  <si>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</si>
  <si>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</si>
  <si>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</si>
  <si>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</si>
  <si>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</si>
  <si>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</si>
  <si>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</si>
  <si>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</si>
  <si>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</si>
  <si>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</si>
  <si>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</si>
  <si>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</si>
  <si>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</si>
  <si>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</si>
  <si>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</si>
  <si>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</si>
  <si>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</si>
  <si>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</si>
  <si>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</si>
  <si>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</si>
  <si>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</si>
  <si>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</si>
  <si>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</si>
  <si>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</si>
  <si>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</si>
  <si>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</si>
  <si>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</si>
  <si>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</si>
  <si>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</si>
  <si>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</si>
  <si>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</si>
  <si>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</si>
  <si>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</si>
  <si>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</si>
  <si>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</si>
  <si>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</si>
  <si>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</si>
  <si>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</si>
  <si>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</si>
  <si>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</si>
  <si>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</si>
  <si>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</si>
  <si>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</si>
  <si>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</si>
  <si>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</si>
  <si>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</si>
  <si>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</si>
  <si>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</si>
  <si>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</si>
  <si>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</si>
  <si>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</si>
  <si>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</si>
  <si>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</si>
  <si>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</si>
  <si>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</si>
  <si>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</si>
  <si>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</si>
  <si>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</si>
  <si>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</si>
  <si>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</si>
  <si>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</si>
  <si>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</si>
  <si>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</si>
  <si>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</si>
  <si>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</si>
  <si>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</si>
  <si>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</si>
  <si>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</si>
  <si>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</si>
  <si>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</si>
  <si>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</si>
  <si>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</si>
  <si>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</si>
  <si>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</si>
  <si>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</si>
  <si>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</si>
  <si>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</si>
  <si>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</si>
  <si>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</si>
  <si>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</si>
  <si>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</si>
  <si>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</si>
  <si>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</si>
  <si>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</si>
  <si>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</si>
  <si>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</si>
  <si>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</si>
  <si>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</si>
  <si>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</si>
  <si>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</si>
  <si>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</si>
  <si>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</si>
  <si>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</si>
  <si>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</si>
  <si>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</si>
  <si>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</si>
  <si>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</si>
  <si>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</si>
  <si>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</si>
  <si>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</si>
  <si>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</si>
  <si>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</si>
  <si>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</si>
  <si>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</si>
  <si>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</si>
  <si>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</si>
  <si>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</si>
  <si>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</si>
  <si>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</si>
  <si>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</si>
  <si>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</si>
  <si>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</si>
  <si>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</si>
  <si>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</si>
  <si>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</si>
  <si>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</si>
  <si>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</si>
  <si>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</si>
  <si>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</si>
  <si>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</si>
  <si>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</si>
  <si>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</si>
  <si>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</si>
  <si>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</si>
  <si>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</si>
  <si>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</si>
  <si>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</si>
  <si>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</si>
  <si>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</si>
  <si>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</si>
  <si>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</si>
  <si>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</si>
  <si>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</si>
  <si>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</si>
  <si>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</si>
  <si>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</si>
  <si>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</si>
  <si>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</si>
  <si>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</si>
  <si>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</si>
  <si>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</si>
  <si>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</si>
  <si>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</si>
  <si>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</si>
  <si>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</si>
  <si>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</si>
  <si>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</si>
  <si>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</si>
  <si>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</si>
  <si>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</si>
  <si>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</si>
  <si>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</si>
  <si>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</si>
  <si>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</si>
  <si>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</si>
  <si>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</si>
  <si>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</si>
  <si>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</si>
  <si>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</si>
  <si>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</si>
  <si>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</si>
  <si>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</si>
  <si>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</si>
  <si>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</si>
  <si>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</si>
  <si>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</si>
  <si>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</si>
  <si>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</si>
  <si>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</si>
  <si>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</si>
  <si>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</si>
  <si>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</si>
  <si>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</si>
  <si>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</si>
  <si>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</si>
  <si>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</si>
  <si>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</si>
  <si>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</si>
  <si>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</si>
  <si>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</si>
  <si>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</si>
  <si>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</si>
  <si>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</si>
  <si>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</si>
  <si>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</si>
  <si>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</si>
  <si>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</si>
  <si>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</si>
  <si>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</si>
  <si>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</si>
  <si>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</si>
  <si>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</si>
  <si>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</si>
  <si>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</si>
  <si>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</si>
  <si>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</si>
  <si>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</si>
  <si>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</si>
  <si>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</si>
  <si>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</si>
  <si>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</si>
  <si>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</si>
  <si>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</si>
  <si>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</si>
  <si>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</si>
  <si>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</si>
  <si>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</si>
  <si>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</si>
  <si>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</si>
  <si>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</si>
  <si>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</si>
  <si>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</si>
  <si>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</si>
  <si>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</si>
  <si>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</si>
  <si>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</si>
  <si>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</si>
  <si>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</si>
  <si>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</si>
  <si>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</si>
  <si>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</si>
  <si>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</si>
  <si>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</si>
  <si>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</si>
  <si>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</si>
  <si>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</si>
  <si>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</si>
  <si>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</si>
  <si>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</si>
  <si>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</si>
  <si>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</si>
  <si>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</si>
  <si>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</si>
  <si>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</si>
  <si>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</si>
  <si>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</si>
  <si>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</si>
  <si>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</si>
  <si>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</si>
  <si>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</si>
  <si>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</si>
  <si>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</si>
  <si>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</si>
  <si>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</si>
  <si>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</si>
  <si>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</si>
  <si>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</si>
  <si>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</si>
  <si>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</si>
  <si>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</si>
  <si>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</si>
  <si>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</si>
  <si>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</si>
  <si>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</si>
  <si>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</si>
  <si>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</si>
  <si>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</si>
  <si>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</si>
  <si>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</si>
  <si>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</si>
  <si>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</si>
  <si>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</si>
  <si>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</si>
  <si>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</si>
  <si>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</si>
  <si>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</si>
  <si>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</si>
  <si>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</si>
  <si>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</si>
  <si>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</si>
  <si>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</si>
  <si>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</si>
  <si>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</si>
  <si>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</si>
  <si>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</si>
  <si>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</si>
  <si>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</si>
  <si>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</si>
  <si>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</si>
  <si>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</si>
  <si>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</si>
  <si>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</si>
  <si>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</si>
  <si>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</si>
  <si>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</si>
  <si>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</si>
  <si>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</si>
  <si>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</si>
  <si>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</si>
  <si>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</si>
  <si>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</si>
  <si>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</si>
  <si>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</si>
  <si>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</si>
  <si>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</si>
  <si>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</si>
  <si>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</si>
  <si>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</si>
  <si>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</si>
  <si>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</si>
  <si>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</si>
  <si>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</si>
  <si>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</si>
  <si>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</si>
  <si>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</si>
  <si>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</si>
  <si>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</si>
  <si>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</si>
  <si>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</si>
  <si>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</si>
  <si>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</si>
  <si>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</si>
  <si>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</si>
  <si>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</si>
  <si>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</si>
  <si>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</si>
  <si>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</si>
  <si>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</si>
  <si>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</si>
  <si>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</si>
  <si>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</si>
  <si>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</si>
  <si>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</si>
  <si>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</si>
  <si>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</si>
  <si>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</si>
  <si>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</si>
  <si>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</si>
  <si>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</si>
  <si>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</si>
  <si>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</si>
  <si>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</si>
  <si>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</si>
  <si>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</si>
  <si>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</si>
  <si>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</si>
  <si>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</si>
  <si>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</si>
  <si>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</si>
  <si>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</si>
  <si>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</si>
  <si>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</si>
  <si>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</si>
  <si>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</si>
  <si>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</si>
  <si>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</si>
  <si>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</si>
  <si>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</si>
  <si>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</si>
  <si>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</si>
  <si>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</si>
  <si>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</si>
  <si>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</si>
  <si>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</si>
  <si>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</si>
  <si>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</si>
  <si>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</si>
  <si>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</si>
  <si>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</si>
  <si>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</si>
  <si>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</si>
  <si>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</si>
  <si>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</si>
  <si>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</si>
  <si>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</si>
  <si>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</si>
  <si>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</si>
  <si>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</si>
  <si>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</si>
  <si>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</si>
  <si>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</si>
  <si>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</si>
  <si>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</si>
  <si>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</si>
  <si>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</si>
  <si>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</si>
  <si>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</si>
  <si>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</si>
  <si>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</si>
  <si>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</si>
  <si>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</si>
  <si>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</si>
  <si>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</si>
  <si>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</si>
  <si>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</si>
  <si>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</si>
  <si>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</si>
  <si>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</si>
  <si>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</si>
  <si>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</si>
  <si>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</si>
  <si>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</si>
  <si>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</si>
  <si>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</si>
  <si>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</si>
  <si>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</si>
  <si>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</si>
  <si>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</si>
  <si>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</si>
  <si>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</si>
  <si>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</si>
  <si>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</si>
  <si>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</si>
  <si>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</si>
  <si>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</si>
  <si>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</si>
  <si>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</si>
  <si>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</si>
  <si>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</si>
  <si>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</si>
  <si>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</si>
  <si>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</si>
  <si>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</si>
  <si>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</si>
  <si>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</si>
  <si>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</si>
  <si>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</si>
  <si>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</si>
  <si>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</si>
  <si>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</si>
  <si>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</si>
  <si>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</si>
  <si>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</si>
  <si>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</si>
  <si>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</si>
  <si>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</si>
  <si>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</si>
  <si>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</si>
  <si>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</si>
  <si>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</si>
  <si>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</si>
  <si>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</si>
  <si>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</si>
  <si>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</si>
  <si>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</si>
  <si>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</si>
  <si>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</si>
  <si>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</si>
  <si>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</si>
  <si>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</si>
  <si>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</si>
  <si>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</si>
  <si>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</si>
  <si>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</si>
  <si>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</si>
  <si>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</si>
  <si>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</si>
  <si>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</si>
  <si>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</si>
  <si>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</si>
  <si>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</si>
  <si>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</si>
  <si>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</si>
  <si>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</si>
  <si>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</si>
  <si>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</si>
  <si>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</si>
  <si>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</si>
  <si>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</si>
  <si>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</si>
  <si>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</si>
  <si>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</si>
  <si>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</si>
  <si>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</si>
  <si>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</si>
  <si>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</si>
  <si>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</si>
  <si>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</si>
  <si>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</si>
  <si>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</si>
  <si>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</si>
  <si>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</si>
  <si>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</si>
  <si>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</si>
  <si>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</si>
  <si>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</si>
  <si>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</si>
  <si>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</si>
  <si>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</si>
  <si>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</si>
  <si>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</si>
  <si>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</si>
  <si>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</si>
  <si>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</si>
  <si>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</si>
  <si>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</si>
  <si>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</si>
  <si>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</si>
  <si>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</si>
  <si>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</si>
  <si>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</si>
  <si>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</si>
  <si>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</si>
  <si>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</si>
  <si>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</si>
  <si>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</si>
  <si>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</si>
  <si>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</si>
  <si>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</si>
  <si>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</si>
  <si>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</si>
  <si>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</si>
  <si>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</si>
  <si>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</si>
  <si>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</si>
  <si>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</si>
  <si>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</si>
  <si>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</si>
  <si>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</si>
  <si>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</si>
  <si>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</si>
  <si>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</si>
  <si>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</si>
  <si>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</si>
  <si>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</si>
  <si>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</si>
  <si>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</si>
  <si>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</si>
  <si>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</si>
  <si>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</si>
  <si>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</si>
  <si>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</si>
  <si>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</si>
  <si>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</si>
  <si>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</si>
  <si>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</si>
  <si>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</si>
  <si>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</si>
  <si>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</si>
  <si>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</si>
  <si>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</si>
  <si>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</si>
  <si>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</si>
  <si>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</si>
  <si>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</si>
  <si>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</si>
  <si>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</si>
  <si>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</si>
  <si>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</si>
  <si>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</si>
  <si>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</si>
  <si>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</si>
  <si>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</si>
  <si>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</si>
  <si>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</si>
  <si>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</si>
  <si>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</si>
  <si>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</si>
  <si>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</si>
  <si>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</si>
  <si>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</si>
  <si>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</si>
  <si>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</si>
  <si>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</si>
  <si>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</si>
  <si>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</si>
  <si>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</si>
  <si>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</si>
  <si>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</si>
  <si>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</si>
  <si>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</si>
  <si>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</si>
  <si>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</si>
  <si>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</si>
  <si>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</si>
  <si>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</si>
  <si>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</si>
  <si>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</si>
  <si>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</si>
  <si>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</si>
  <si>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</si>
  <si>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</si>
  <si>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</si>
  <si>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</si>
  <si>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</si>
  <si>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</si>
  <si>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</si>
  <si>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</si>
  <si>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</si>
  <si>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</si>
  <si>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</si>
  <si>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</si>
  <si>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</si>
  <si>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</si>
  <si>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</si>
  <si>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</si>
  <si>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</si>
  <si>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</si>
  <si>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</si>
  <si>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</si>
  <si>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</si>
  <si>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</si>
  <si>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</si>
  <si>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</si>
  <si>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</si>
  <si>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</si>
  <si>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</si>
  <si>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</si>
  <si>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</si>
  <si>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</si>
  <si>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</si>
  <si>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</si>
  <si>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</si>
  <si>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</si>
  <si>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</si>
  <si>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</si>
  <si>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</si>
  <si>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</si>
  <si>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</si>
  <si>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</si>
  <si>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</si>
  <si>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</si>
  <si>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</si>
  <si>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</si>
  <si>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</si>
  <si>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</si>
  <si>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</si>
  <si>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</si>
  <si>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</si>
  <si>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</si>
  <si>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</si>
  <si>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</si>
  <si>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</si>
  <si>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</si>
  <si>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</si>
  <si>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</si>
  <si>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</si>
  <si>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</si>
  <si>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</si>
  <si>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</si>
  <si>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</si>
  <si>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</si>
  <si>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</si>
  <si>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</si>
  <si>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</si>
  <si>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</si>
  <si>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</si>
  <si>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</si>
  <si>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</si>
  <si>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</si>
  <si>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</si>
  <si>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</si>
  <si>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</si>
  <si>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</si>
  <si>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</si>
  <si>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</si>
  <si>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</si>
  <si>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</si>
  <si>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</si>
  <si>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</si>
  <si>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</si>
  <si>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</si>
  <si>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</si>
  <si>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</si>
  <si>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</si>
  <si>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</si>
  <si>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</si>
  <si>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</si>
  <si>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</si>
  <si>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</si>
  <si>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</si>
  <si>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</si>
  <si>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</si>
  <si>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</si>
  <si>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</si>
  <si>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</si>
  <si>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</si>
  <si>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</si>
  <si>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</si>
  <si>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</si>
  <si>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</si>
  <si>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</si>
  <si>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</si>
  <si>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</si>
  <si>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</si>
  <si>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</si>
  <si>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</si>
  <si>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</si>
  <si>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</si>
  <si>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</si>
  <si>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</si>
  <si>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</si>
  <si>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</si>
  <si>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</si>
  <si>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</si>
  <si>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</si>
  <si>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</si>
  <si>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</si>
  <si>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</si>
  <si>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</si>
  <si>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</si>
  <si>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</si>
  <si>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</si>
  <si>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</si>
  <si>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</si>
  <si>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</si>
  <si>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</si>
  <si>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</si>
  <si>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</si>
  <si>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</si>
  <si>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</si>
  <si>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</si>
  <si>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</si>
  <si>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</si>
  <si>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</si>
  <si>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</si>
  <si>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</si>
  <si>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</si>
  <si>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</si>
  <si>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</si>
  <si>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</si>
  <si>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</si>
  <si>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</si>
  <si>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</si>
  <si>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</si>
  <si>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</si>
  <si>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</si>
  <si>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</si>
  <si>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</si>
  <si>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</si>
  <si>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</si>
  <si>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</si>
  <si>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</si>
  <si>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</si>
  <si>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</si>
  <si>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</si>
  <si>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</si>
  <si>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</si>
  <si>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</si>
  <si>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</si>
  <si>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</si>
  <si>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</si>
  <si>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</si>
  <si>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</si>
  <si>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</si>
  <si>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</si>
  <si>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</si>
  <si>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</si>
  <si>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</si>
  <si>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</si>
  <si>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</si>
  <si>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</si>
  <si>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</si>
  <si>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</si>
  <si>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</si>
  <si>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</si>
  <si>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</si>
  <si>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</si>
  <si>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</si>
  <si>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</si>
  <si>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</si>
  <si>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</si>
  <si>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</si>
  <si>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</si>
  <si>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</si>
  <si>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</si>
  <si>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</si>
  <si>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</si>
  <si>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</si>
  <si>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</si>
  <si>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</si>
  <si>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</si>
  <si>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</si>
  <si>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</si>
  <si>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</si>
  <si>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</si>
  <si>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</si>
  <si>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</si>
  <si>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</si>
  <si>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</si>
  <si>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</si>
  <si>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</si>
  <si>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</si>
  <si>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</si>
  <si>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</si>
  <si>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</si>
  <si>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</si>
  <si>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</si>
  <si>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</si>
  <si>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</si>
  <si>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</si>
  <si>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</si>
  <si>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</si>
  <si>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</si>
  <si>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</si>
  <si>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</si>
  <si>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</si>
  <si>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</si>
  <si>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</si>
  <si>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</si>
  <si>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</si>
  <si>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</si>
  <si>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</si>
  <si>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</si>
  <si>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</si>
  <si>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</si>
  <si>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</si>
  <si>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</si>
  <si>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</si>
  <si>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</si>
  <si>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</si>
  <si>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</si>
  <si>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</si>
  <si>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</si>
  <si>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</si>
  <si>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</si>
  <si>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</si>
  <si>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</si>
  <si>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</si>
  <si>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</si>
  <si>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</si>
  <si>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</si>
  <si>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</si>
  <si>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</si>
  <si>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</si>
  <si>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</si>
  <si>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</si>
  <si>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</si>
  <si>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</si>
  <si>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</si>
  <si>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</si>
  <si>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</si>
  <si>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</si>
  <si>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</si>
  <si>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</si>
  <si>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</si>
  <si>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</si>
  <si>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</si>
  <si>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</si>
  <si>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</si>
  <si>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</si>
  <si>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</si>
  <si>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</si>
  <si>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</si>
  <si>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</si>
  <si>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</si>
  <si>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</si>
  <si>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</si>
  <si>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</si>
  <si>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</si>
  <si>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</si>
  <si>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</si>
  <si>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</si>
  <si>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</si>
  <si>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</si>
  <si>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</si>
  <si>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</si>
  <si>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</si>
  <si>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</si>
  <si>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</si>
  <si>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</si>
  <si>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</si>
  <si>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</si>
  <si>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</si>
  <si>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</si>
  <si>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</si>
  <si>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</si>
  <si>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</si>
  <si>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</si>
  <si>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</si>
  <si>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</si>
  <si>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</si>
  <si>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</si>
  <si>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</si>
  <si>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</si>
  <si>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</si>
  <si>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</si>
  <si>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</si>
  <si>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</si>
  <si>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</si>
  <si>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</si>
  <si>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</si>
  <si>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</si>
  <si>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</si>
  <si>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</si>
  <si>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</si>
  <si>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</si>
  <si>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</si>
  <si>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</si>
  <si>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</si>
  <si>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</si>
  <si>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</si>
  <si>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</si>
  <si>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</si>
  <si>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</si>
  <si>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</si>
  <si>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</si>
  <si>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</si>
  <si>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</si>
  <si>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</si>
  <si>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</si>
  <si>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</si>
  <si>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</si>
  <si>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</si>
  <si>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</si>
  <si>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</si>
  <si>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</si>
  <si>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</si>
  <si>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</si>
  <si>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</si>
  <si>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</si>
  <si>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</si>
  <si>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</si>
  <si>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</si>
  <si>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</si>
  <si>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</si>
  <si>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</si>
  <si>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</si>
  <si>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</si>
  <si>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</si>
  <si>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</si>
  <si>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</si>
  <si>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</si>
  <si>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</si>
  <si>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</si>
  <si>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</si>
  <si>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</si>
  <si>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</si>
  <si>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</si>
  <si>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</si>
  <si>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</si>
  <si>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</si>
  <si>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</si>
  <si>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</si>
  <si>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</si>
  <si>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</si>
  <si>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</si>
  <si>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</si>
  <si>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</si>
  <si>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</si>
  <si>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</si>
  <si>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</si>
  <si>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</si>
  <si>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</si>
  <si>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</si>
  <si>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</si>
  <si>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</si>
  <si>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</si>
  <si>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</si>
  <si>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</si>
  <si>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</si>
  <si>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</si>
  <si>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</si>
  <si>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</si>
  <si>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</si>
  <si>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</si>
  <si>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</si>
  <si>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</si>
  <si>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</si>
  <si>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</si>
  <si>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</si>
  <si>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</si>
  <si>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</si>
  <si>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</si>
  <si>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</si>
  <si>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</si>
  <si>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</si>
  <si>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</si>
  <si>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</si>
  <si>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</si>
  <si>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</si>
  <si>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</si>
  <si>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</si>
  <si>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</si>
  <si>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</si>
  <si>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</si>
  <si>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</si>
  <si>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</si>
  <si>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</si>
  <si>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</si>
  <si>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</si>
  <si>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</si>
  <si>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</si>
  <si>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</si>
  <si>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</si>
  <si>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</si>
  <si>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</si>
  <si>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</si>
  <si>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</si>
  <si>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</si>
  <si>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</si>
  <si>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</si>
  <si>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</si>
  <si>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</si>
  <si>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</si>
  <si>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</si>
  <si>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</si>
  <si>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</si>
  <si>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</si>
  <si>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</si>
  <si>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</si>
  <si>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</si>
  <si>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</si>
  <si>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</si>
  <si>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</si>
  <si>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</si>
  <si>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</si>
  <si>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</si>
  <si>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</si>
  <si>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</si>
  <si>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</si>
  <si>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</si>
  <si>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</si>
  <si>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</si>
  <si>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</si>
  <si>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</si>
  <si>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</si>
  <si>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</si>
  <si>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</si>
  <si>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</si>
  <si>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</si>
  <si>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</si>
  <si>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</si>
  <si>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</si>
  <si>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</si>
  <si>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</si>
  <si>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</si>
  <si>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</si>
  <si>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</si>
  <si>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</si>
  <si>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</si>
  <si>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</si>
  <si>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</si>
  <si>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</si>
  <si>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</si>
  <si>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</si>
  <si>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</si>
  <si>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</si>
  <si>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</si>
  <si>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</si>
  <si>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</si>
  <si>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</si>
  <si>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</si>
  <si>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</si>
  <si>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</si>
  <si>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</si>
  <si>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</si>
  <si>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</si>
  <si>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</si>
  <si>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</si>
  <si>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</si>
  <si>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</si>
  <si>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</si>
  <si>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</si>
  <si>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</si>
  <si>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</si>
  <si>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</si>
  <si>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</si>
  <si>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</si>
  <si>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</si>
  <si>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</si>
  <si>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</si>
  <si>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</si>
  <si>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</si>
  <si>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</si>
  <si>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</si>
  <si>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</si>
  <si>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</si>
  <si>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</si>
  <si>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</si>
  <si>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</si>
  <si>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</si>
  <si>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</si>
  <si>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</si>
  <si>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</si>
  <si>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</si>
  <si>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</si>
  <si>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</si>
  <si>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</si>
  <si>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</si>
  <si>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</si>
  <si>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</si>
  <si>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</si>
  <si>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</si>
  <si>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</si>
  <si>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</si>
  <si>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</si>
  <si>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</si>
  <si>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</si>
  <si>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</si>
  <si>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</si>
  <si>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</si>
  <si>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</si>
  <si>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</si>
  <si>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</si>
  <si>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</si>
  <si>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</si>
  <si>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</si>
  <si>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</si>
  <si>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</si>
  <si>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</si>
  <si>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</si>
  <si>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</si>
  <si>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</si>
  <si>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</si>
  <si>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</si>
  <si>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</si>
  <si>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</si>
  <si>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</si>
  <si>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</si>
  <si>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</si>
  <si>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</si>
  <si>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</si>
  <si>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</si>
  <si>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</si>
  <si>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</si>
  <si>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</si>
  <si>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</si>
  <si>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</si>
  <si>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</si>
  <si>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</si>
  <si>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</si>
  <si>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</si>
  <si>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</si>
  <si>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</si>
  <si>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</si>
  <si>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</si>
  <si>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</si>
  <si>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</si>
  <si>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</si>
  <si>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</si>
  <si>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</si>
  <si>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</si>
  <si>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</si>
  <si>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</si>
  <si>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</si>
  <si>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</si>
  <si>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</si>
  <si>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</si>
  <si>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</si>
  <si>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</si>
  <si>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</si>
  <si>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</si>
  <si>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</si>
  <si>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</si>
  <si>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</si>
  <si>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</si>
  <si>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</si>
  <si>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</si>
  <si>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</si>
  <si>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</si>
  <si>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</si>
  <si>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</si>
  <si>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</si>
  <si>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</si>
  <si>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</si>
  <si>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</si>
  <si>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</si>
  <si>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</si>
  <si>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</si>
  <si>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</si>
  <si>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</si>
  <si>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</si>
  <si>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</si>
  <si>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</si>
  <si>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</si>
  <si>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</si>
  <si>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</si>
  <si>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</si>
  <si>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</si>
  <si>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</si>
  <si>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</si>
  <si>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</si>
  <si>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</si>
  <si>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</si>
  <si>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</si>
  <si>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</si>
  <si>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</si>
  <si>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</si>
  <si>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</si>
  <si>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</si>
  <si>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</si>
  <si>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</si>
  <si>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</si>
  <si>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</si>
  <si>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</si>
  <si>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</si>
  <si>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</si>
  <si>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</si>
  <si>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</si>
  <si>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</si>
  <si>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</si>
  <si>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</si>
  <si>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</si>
  <si>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</si>
  <si>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</si>
  <si>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</si>
  <si>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</si>
  <si>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</si>
  <si>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</si>
  <si>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</si>
  <si>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</si>
  <si>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</si>
  <si>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</si>
  <si>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</si>
  <si>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</si>
  <si>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</si>
  <si>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</si>
  <si>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</si>
  <si>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</si>
  <si>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</si>
  <si>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</si>
  <si>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</si>
  <si>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</si>
  <si>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</si>
  <si>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</si>
  <si>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</si>
  <si>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</si>
  <si>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</si>
  <si>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</si>
  <si>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</si>
  <si>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</si>
  <si>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</si>
  <si>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</si>
  <si>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</si>
  <si>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</si>
  <si>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</si>
  <si>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</si>
  <si>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</si>
  <si>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</si>
  <si>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</si>
  <si>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</si>
  <si>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</si>
  <si>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</si>
  <si>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</si>
  <si>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</si>
  <si>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</si>
  <si>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</si>
  <si>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</si>
  <si>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</si>
  <si>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</si>
  <si>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</si>
  <si>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</si>
  <si>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</si>
  <si>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</si>
  <si>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</si>
  <si>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</si>
  <si>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</si>
  <si>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</si>
  <si>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</si>
  <si>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</si>
  <si>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</si>
  <si>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</si>
  <si>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</si>
  <si>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</si>
  <si>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</si>
  <si>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</si>
  <si>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</si>
  <si>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</si>
  <si>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</si>
  <si>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</si>
  <si>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</si>
  <si>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</si>
  <si>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</si>
  <si>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</si>
  <si>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</si>
  <si>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</si>
  <si>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</si>
  <si>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</si>
  <si>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</si>
  <si>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</si>
  <si>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</si>
  <si>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</si>
  <si>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</si>
  <si>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</si>
  <si>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</si>
  <si>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</si>
  <si>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</si>
  <si>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</si>
  <si>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</si>
  <si>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</si>
  <si>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</si>
  <si>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</si>
  <si>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</si>
  <si>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</si>
  <si>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</si>
  <si>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</si>
  <si>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</si>
  <si>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</si>
  <si>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</si>
  <si>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</si>
  <si>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</si>
  <si>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</si>
  <si>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</si>
  <si>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</si>
  <si>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</si>
  <si>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</si>
  <si>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</si>
  <si>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</si>
  <si>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</si>
  <si>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</si>
  <si>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</si>
  <si>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</si>
  <si>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</si>
  <si>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</si>
  <si>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</si>
  <si>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</si>
  <si>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</si>
  <si>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</si>
  <si>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</si>
  <si>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</si>
  <si>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</si>
  <si>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</si>
  <si>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</si>
  <si>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</si>
  <si>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</si>
  <si>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</si>
  <si>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</si>
  <si>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</si>
  <si>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</si>
  <si>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</si>
  <si>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</si>
  <si>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</si>
  <si>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</si>
  <si>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</si>
  <si>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</si>
  <si>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</si>
  <si>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</si>
  <si>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</si>
  <si>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</si>
  <si>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</si>
  <si>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</si>
  <si>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</si>
  <si>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</si>
  <si>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</si>
  <si>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</si>
  <si>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</si>
  <si>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</si>
  <si>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</si>
  <si>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</si>
  <si>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</si>
  <si>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</si>
  <si>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</si>
  <si>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</si>
  <si>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</si>
  <si>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</si>
  <si>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</si>
  <si>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</si>
  <si>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</si>
  <si>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</si>
  <si>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</si>
  <si>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</si>
  <si>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</si>
  <si>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</si>
  <si>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</si>
  <si>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</si>
  <si>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</si>
  <si>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</si>
  <si>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</si>
  <si>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</si>
  <si>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</si>
  <si>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</si>
  <si>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</si>
  <si>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</si>
  <si>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</si>
  <si>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</si>
  <si>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</si>
  <si>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</si>
  <si>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</si>
  <si>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</si>
  <si>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</si>
  <si>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</si>
  <si>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</si>
  <si>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</si>
  <si>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</si>
  <si>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</si>
  <si>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</si>
  <si>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</si>
  <si>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</si>
  <si>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</si>
  <si>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</si>
  <si>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</si>
  <si>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</si>
  <si>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</si>
  <si>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</si>
  <si>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</si>
  <si>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</si>
  <si>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</si>
  <si>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</si>
  <si>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</si>
  <si>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</si>
  <si>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</si>
  <si>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</si>
  <si>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</si>
  <si>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</si>
  <si>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</si>
  <si>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</si>
  <si>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</si>
  <si>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</si>
  <si>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</si>
  <si>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</si>
  <si>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</si>
  <si>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</si>
  <si>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</si>
  <si>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</si>
  <si>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</si>
  <si>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</si>
  <si>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</si>
  <si>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</si>
  <si>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</si>
  <si>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</si>
  <si>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</si>
  <si>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</si>
  <si>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</si>
  <si>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</si>
  <si>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</si>
  <si>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</si>
  <si>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</si>
  <si>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</si>
  <si>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</si>
  <si>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</si>
  <si>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</si>
  <si>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</si>
  <si>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</si>
  <si>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</si>
  <si>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</si>
  <si>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</si>
  <si>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</si>
  <si>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</si>
  <si>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</si>
  <si>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</si>
  <si>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</si>
  <si>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</si>
  <si>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</si>
  <si>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</si>
  <si>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</si>
  <si>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</si>
  <si>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</si>
  <si>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</si>
  <si>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</si>
  <si>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</si>
  <si>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</si>
  <si>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</si>
  <si>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</si>
  <si>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</si>
  <si>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</si>
  <si>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</si>
  <si>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</si>
  <si>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</si>
  <si>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</si>
  <si>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</si>
  <si>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</si>
  <si>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</si>
  <si>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</si>
  <si>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</si>
  <si>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</si>
  <si>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</si>
  <si>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</si>
  <si>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</si>
  <si>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</si>
  <si>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</si>
  <si>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</si>
  <si>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</si>
  <si>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</si>
  <si>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</si>
  <si>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</si>
  <si>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</si>
  <si>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</si>
  <si>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</si>
  <si>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</si>
  <si>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</si>
  <si>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</si>
  <si>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</si>
  <si>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</si>
  <si>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</si>
  <si>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</si>
  <si>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</si>
  <si>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</si>
  <si>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</si>
  <si>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</si>
  <si>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</si>
  <si>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</si>
  <si>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</si>
  <si>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</si>
  <si>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</si>
  <si>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</si>
  <si>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</si>
  <si>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</si>
  <si>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</si>
  <si>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</si>
  <si>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</si>
  <si>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</si>
  <si>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</si>
  <si>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</si>
  <si>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</si>
  <si>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</si>
  <si>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</si>
  <si>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</si>
  <si>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</si>
  <si>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</si>
  <si>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</si>
  <si>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</si>
  <si>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</si>
  <si>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</si>
  <si>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</si>
  <si>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</si>
  <si>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</si>
  <si>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</si>
  <si>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</si>
  <si>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</si>
  <si>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</si>
  <si>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</si>
  <si>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</si>
  <si>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</si>
  <si>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</si>
  <si>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</si>
  <si>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</si>
  <si>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</si>
  <si>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</si>
  <si>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</si>
  <si>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</si>
  <si>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</si>
  <si>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</si>
  <si>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</si>
  <si>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</si>
  <si>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</si>
  <si>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</si>
  <si>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</si>
  <si>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</si>
  <si>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</si>
  <si>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</si>
  <si>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</si>
  <si>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</si>
  <si>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</si>
  <si>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</si>
  <si>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</si>
  <si>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</si>
  <si>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</si>
  <si>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</si>
  <si>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</si>
  <si>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</si>
  <si>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较规则</t>
  </si>
  <si>
    <t>比例较适宜</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</si>
  <si>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</si>
  <si>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</si>
  <si>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</si>
  <si>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</si>
  <si>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</si>
  <si>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</si>
  <si>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</si>
  <si>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</si>
  <si>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</si>
  <si>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</si>
  <si>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</si>
  <si>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</si>
  <si>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</si>
  <si>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</si>
  <si>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</si>
  <si>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</si>
  <si>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</si>
  <si>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</si>
  <si>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</si>
  <si>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</si>
  <si>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</si>
  <si>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住宅</t>
    <phoneticPr fontId="21" type="noConversion"/>
  </si>
  <si>
    <t>洋房</t>
    <phoneticPr fontId="21" type="noConversion"/>
  </si>
  <si>
    <t>钢混</t>
  </si>
  <si>
    <t>精装修</t>
  </si>
  <si>
    <t>专业</t>
  </si>
  <si>
    <t>平层</t>
  </si>
  <si>
    <t>商业</t>
  </si>
  <si>
    <t>地上</t>
  </si>
  <si>
    <t>车库</t>
  </si>
  <si>
    <t>剩余法-待开发</t>
  </si>
  <si>
    <t>http://www.hainan.gov.cn/data/zfwj/2010/04/2701/</t>
    <phoneticPr fontId="3" type="noConversion"/>
  </si>
  <si>
    <t>六通一平</t>
  </si>
  <si>
    <t>六通</t>
  </si>
  <si>
    <t>60-70（含）</t>
  </si>
  <si>
    <t>一般</t>
  </si>
  <si>
    <t>中档</t>
  </si>
  <si>
    <t>售价</t>
  </si>
  <si>
    <t>中高档</t>
    <phoneticPr fontId="3" type="noConversion"/>
  </si>
  <si>
    <t>0-100</t>
    <phoneticPr fontId="3" type="noConversion"/>
  </si>
  <si>
    <t>100-200</t>
    <phoneticPr fontId="3" type="noConversion"/>
  </si>
  <si>
    <t>底商</t>
  </si>
  <si>
    <t>土地（套用方法）</t>
  </si>
  <si>
    <t>押一</t>
  </si>
  <si>
    <t>70/40</t>
    <phoneticPr fontId="26" type="noConversion"/>
  </si>
  <si>
    <t>双面临街</t>
  </si>
  <si>
    <t>较差</t>
  </si>
  <si>
    <t>支路</t>
  </si>
  <si>
    <t>2014-3</t>
    <phoneticPr fontId="26" type="noConversion"/>
  </si>
  <si>
    <t>无</t>
    <phoneticPr fontId="26" type="noConversion"/>
  </si>
  <si>
    <t>无</t>
    <phoneticPr fontId="3" type="noConversion"/>
  </si>
  <si>
    <t>有</t>
    <phoneticPr fontId="3" type="noConversion"/>
  </si>
  <si>
    <t>其他省市系数</t>
  </si>
  <si>
    <t>土地</t>
  </si>
  <si>
    <t>项目全部</t>
  </si>
  <si>
    <t xml:space="preserve">                                                                                                                                    </t>
    <phoneticPr fontId="15" type="noConversion"/>
  </si>
  <si>
    <t>高档</t>
    <phoneticPr fontId="3" type="noConversion"/>
  </si>
  <si>
    <t>地下</t>
  </si>
  <si>
    <t>2017-11-13</t>
  </si>
  <si>
    <t>地块名称</t>
  </si>
  <si>
    <t>城市</t>
  </si>
  <si>
    <t>用地性质</t>
  </si>
  <si>
    <t>建设用地面积(㎡)</t>
  </si>
  <si>
    <t>规划建筑面积(㎡)</t>
  </si>
  <si>
    <t>出让方式</t>
  </si>
  <si>
    <t>成交价(万元)</t>
  </si>
  <si>
    <t>成交楼面价(元/㎡)</t>
  </si>
  <si>
    <t>溢价率</t>
  </si>
  <si>
    <t>受让单位</t>
  </si>
  <si>
    <t>官渡区小板桥、关上街道办事处</t>
  </si>
  <si>
    <t>昆明市</t>
  </si>
  <si>
    <t>住宅用地</t>
  </si>
  <si>
    <t>＞1且≤3.5</t>
  </si>
  <si>
    <t>拍卖</t>
  </si>
  <si>
    <t>2017-12-29</t>
  </si>
  <si>
    <t>中交云南建设投资发展有限公司</t>
  </si>
  <si>
    <t>＞1且≤3.2</t>
  </si>
  <si>
    <t>昆明市官渡区矣六街道办事处五腊村</t>
  </si>
  <si>
    <t>＞1且≤7.84</t>
  </si>
  <si>
    <t>挂牌</t>
  </si>
  <si>
    <t>云南中望置业有限责任公司</t>
  </si>
  <si>
    <t>＞1且≤3.47</t>
  </si>
  <si>
    <t>＞1且≤4.39</t>
  </si>
  <si>
    <t>＞1且≤5.84</t>
  </si>
  <si>
    <t>＞1且≤3.42</t>
  </si>
  <si>
    <t>＞1且≤5.15</t>
  </si>
  <si>
    <t>＞1且≤5.37</t>
  </si>
  <si>
    <t>官渡区关上街道办事处</t>
  </si>
  <si>
    <t>综合用地(含住宅)</t>
  </si>
  <si>
    <t>≤5、＞1且≤4.5、＞1且≤4.2</t>
  </si>
  <si>
    <t>2017-10-25</t>
  </si>
  <si>
    <t>保利</t>
  </si>
  <si>
    <t>＞1且≤4.5、＞1且≤4、＞1且≤6</t>
  </si>
  <si>
    <t>中交云南建设投资发展有限公司、昆明中交金汇置业有限公司</t>
  </si>
  <si>
    <t>＞1且≤5</t>
  </si>
  <si>
    <t>云南正夏、云南景成、成都中南世界</t>
  </si>
  <si>
    <t>＞1且≤5、＞1且≤4、＞1且≤8、＞1且≤3.5、＞1且≤3.8</t>
  </si>
  <si>
    <t>中铁建</t>
  </si>
  <si>
    <t>昆明市官渡区官渡街道办事处</t>
  </si>
  <si>
    <t>昆明市官渡区小板桥街道办事处</t>
  </si>
  <si>
    <t>＞1且≤6</t>
  </si>
  <si>
    <t>2017-09-13</t>
  </si>
  <si>
    <t>云南鑫城佳置业有限公司</t>
  </si>
  <si>
    <t>昆明市官渡区金马街道办事处</t>
  </si>
  <si>
    <t>＞1且≤5.35</t>
  </si>
  <si>
    <t>2017-04-28</t>
  </si>
  <si>
    <t>云南汇升房地产开发经营有限公司</t>
  </si>
  <si>
    <t>官渡区六甲街道办事处</t>
  </si>
  <si>
    <t>2017-02-08</t>
  </si>
  <si>
    <t>昆明恒汇置业有限公司</t>
  </si>
  <si>
    <t>＞1且≤3.8</t>
  </si>
  <si>
    <t>＞1且≤2</t>
  </si>
  <si>
    <t>云南金万众房地产开发有限公司</t>
  </si>
  <si>
    <t>＞1且≤3.3</t>
  </si>
  <si>
    <t>昆明恒海房地产开发有限公司</t>
  </si>
  <si>
    <t>其他：</t>
  </si>
  <si>
    <t>云南省昆明市</t>
    <phoneticPr fontId="6" type="noConversion"/>
  </si>
  <si>
    <t>企业</t>
  </si>
  <si>
    <t>官渡区官渡街道办事处</t>
    <phoneticPr fontId="6" type="noConversion"/>
  </si>
  <si>
    <t>城镇住宅用地</t>
    <phoneticPr fontId="6" type="noConversion"/>
  </si>
  <si>
    <t>否</t>
  </si>
  <si>
    <t>区县</t>
  </si>
  <si>
    <t>土地位置</t>
  </si>
  <si>
    <t>成交日期</t>
  </si>
  <si>
    <t>出让年限</t>
  </si>
  <si>
    <t>官渡区</t>
  </si>
  <si>
    <t>＞1且≤4.5</t>
  </si>
  <si>
    <t>2018-03-14</t>
  </si>
  <si>
    <t>昆明万睿房地产开发有限公司</t>
  </si>
  <si>
    <t>70年</t>
  </si>
  <si>
    <t>昆明市官渡区大板桥街道办事处</t>
  </si>
  <si>
    <t>≥1且≤2</t>
  </si>
  <si>
    <t>2018-02-27</t>
  </si>
  <si>
    <t>云南正丰兴房地产开发有限公司</t>
  </si>
  <si>
    <t>住宅70年商业40年</t>
  </si>
  <si>
    <t>69年</t>
  </si>
  <si>
    <t>2017-01-23</t>
  </si>
  <si>
    <t>昆明同荣汇房地产开发有限公司</t>
  </si>
  <si>
    <t>＞1且≤2.8</t>
  </si>
  <si>
    <t>昆明方瑞房地产开发有限公司</t>
  </si>
  <si>
    <t>昆明市官渡区关上街道办事处小街片区</t>
  </si>
  <si>
    <t>＞1且≤6.19</t>
  </si>
  <si>
    <t>云南茵悦实业有限公司</t>
  </si>
  <si>
    <t>＞1且≤5.49</t>
  </si>
  <si>
    <t>＞1且≤5.33</t>
  </si>
  <si>
    <t>官渡区矣六街道办事处</t>
  </si>
  <si>
    <t>＞1且≤2.79</t>
  </si>
  <si>
    <t>昆明市公共租赁住房开发建设管理有限公司</t>
  </si>
  <si>
    <t>＞1且≤6.11</t>
  </si>
  <si>
    <t>昆明红星海汇房地产有限公司</t>
  </si>
  <si>
    <t>2017-01-18</t>
  </si>
  <si>
    <t>昆明国瑞房地产发展有限公司</t>
  </si>
  <si>
    <t>2016-12-29</t>
  </si>
  <si>
    <t>昆明东昇达洋浦夫子楼房地产开发有限公司</t>
  </si>
  <si>
    <t>＞1且≤4.4</t>
  </si>
  <si>
    <t>2016-12-09</t>
  </si>
  <si>
    <t>昆明交投房地产开发有限公司</t>
  </si>
  <si>
    <t>＞1且≤1.6</t>
  </si>
  <si>
    <t>2016-10-27</t>
  </si>
  <si>
    <t>官渡区吴井街道办事处</t>
  </si>
  <si>
    <t>＞1且≤6.8</t>
  </si>
  <si>
    <t>2016-08-29</t>
  </si>
  <si>
    <t>昆明华润置地三联置业有限公司</t>
  </si>
  <si>
    <t>＞1且≤4.7</t>
  </si>
  <si>
    <t>＞1且≤5.4</t>
  </si>
  <si>
    <t>昆明市官渡区矣六街道办事处</t>
  </si>
  <si>
    <t>＞1且≤3.4</t>
  </si>
  <si>
    <t>2016-08-19</t>
  </si>
  <si>
    <t>云南金色之源房地产开发有限公司</t>
  </si>
  <si>
    <t>＞1且≤1.3</t>
  </si>
  <si>
    <t>＞1且≤3.1</t>
  </si>
  <si>
    <t>＞1且≤4</t>
  </si>
  <si>
    <t>昆明长颐房地产开发有限公司</t>
  </si>
  <si>
    <t>＞1且≤1.1</t>
  </si>
  <si>
    <t>＞1且≤3.7</t>
  </si>
  <si>
    <t>＞1且≤1.47</t>
  </si>
  <si>
    <t>＞1且≤3.9</t>
  </si>
  <si>
    <t>昆明市官渡区关上街道办事处</t>
  </si>
  <si>
    <t>≤8</t>
  </si>
  <si>
    <t>2016-06-30</t>
  </si>
  <si>
    <t>云南景成集团有限公司</t>
  </si>
  <si>
    <t>＞1,≤6.24</t>
  </si>
  <si>
    <t>2016-04-01</t>
  </si>
  <si>
    <t>昆明市官渡区城中村改造置业有限公司</t>
  </si>
  <si>
    <t>＞1,≤5.1</t>
  </si>
  <si>
    <t>＞1,≤3.42</t>
  </si>
  <si>
    <t>2016-02-26</t>
  </si>
  <si>
    <t>云南天祐房地产有限公司</t>
  </si>
  <si>
    <t>官渡区金马街道办事处</t>
  </si>
  <si>
    <t>＞1,≤4.4</t>
  </si>
  <si>
    <t>2015-07-15</t>
  </si>
  <si>
    <t>官渡区小板桥街道办事处</t>
  </si>
  <si>
    <t>＞1、≤3.8</t>
  </si>
  <si>
    <t>2015-05-28</t>
  </si>
  <si>
    <t>云南金科鑫海汇置业有限公司</t>
  </si>
  <si>
    <t>车位</t>
  </si>
  <si>
    <t>车位</t>
    <phoneticPr fontId="27" type="noConversion"/>
  </si>
  <si>
    <t>简装</t>
  </si>
  <si>
    <t>专业</t>
    <phoneticPr fontId="27" type="noConversion"/>
  </si>
  <si>
    <t>0-30</t>
    <phoneticPr fontId="27" type="noConversion"/>
  </si>
  <si>
    <t>地下车库</t>
    <phoneticPr fontId="27" type="noConversion"/>
  </si>
  <si>
    <t>否</t>
    <phoneticPr fontId="27" type="noConversion"/>
  </si>
  <si>
    <t>元/车位</t>
  </si>
  <si>
    <t>核定资产</t>
  </si>
  <si>
    <t>市场价格</t>
  </si>
  <si>
    <t>平层住宅</t>
  </si>
  <si>
    <t>保障房</t>
    <phoneticPr fontId="14" type="noConversion"/>
  </si>
  <si>
    <t>地面价</t>
    <phoneticPr fontId="233" type="noConversion"/>
  </si>
  <si>
    <t>云南汇升房地产开发经营有限公司</t>
    <phoneticPr fontId="233" type="noConversion"/>
  </si>
  <si>
    <t>外挂费</t>
    <phoneticPr fontId="3" type="noConversion"/>
  </si>
  <si>
    <t>楼面地价</t>
  </si>
  <si>
    <t>不动产收益法</t>
  </si>
  <si>
    <t>支路</t>
    <phoneticPr fontId="3" type="noConversion"/>
  </si>
  <si>
    <r>
      <rPr>
        <sz val="11"/>
        <color indexed="8"/>
        <rFont val="仿宋_GB2312"/>
        <family val="3"/>
        <charset val="134"/>
      </rPr>
      <t>正常</t>
    </r>
    <phoneticPr fontId="3" type="noConversion"/>
  </si>
  <si>
    <r>
      <rPr>
        <sz val="11"/>
        <color indexed="8"/>
        <rFont val="仿宋_GB2312"/>
        <family val="3"/>
        <charset val="134"/>
      </rPr>
      <t>正常</t>
    </r>
    <phoneticPr fontId="3" type="noConversion"/>
  </si>
  <si>
    <t>毛坯</t>
  </si>
  <si>
    <t>金马悦城</t>
    <phoneticPr fontId="3" type="noConversion"/>
  </si>
  <si>
    <t>金马路东骧神骏对面</t>
    <phoneticPr fontId="3" type="noConversion"/>
  </si>
  <si>
    <t>高层板楼</t>
  </si>
  <si>
    <t>高层板楼</t>
    <phoneticPr fontId="21" type="noConversion"/>
  </si>
  <si>
    <t>高层塔楼</t>
  </si>
  <si>
    <t>高层塔楼</t>
    <phoneticPr fontId="21" type="noConversion"/>
  </si>
  <si>
    <t>主干道</t>
  </si>
  <si>
    <t>主</t>
    <phoneticPr fontId="21" type="noConversion"/>
  </si>
  <si>
    <t>碧桂园璟台</t>
    <phoneticPr fontId="3" type="noConversion"/>
  </si>
  <si>
    <t>人民东路延长线虹桥路中段</t>
    <phoneticPr fontId="3" type="noConversion"/>
  </si>
  <si>
    <t>中高档</t>
  </si>
  <si>
    <t>万科·城市之光</t>
    <phoneticPr fontId="3" type="noConversion"/>
  </si>
  <si>
    <t>金瓦路中段</t>
    <phoneticPr fontId="3" type="noConversion"/>
  </si>
  <si>
    <t>中低档</t>
  </si>
  <si>
    <t>中低档</t>
    <phoneticPr fontId="21" type="noConversion"/>
  </si>
  <si>
    <t>0-40</t>
    <phoneticPr fontId="27" type="noConversion"/>
  </si>
  <si>
    <t>昆明华润置地三联置业有限公司</t>
    <phoneticPr fontId="233" type="noConversion"/>
  </si>
  <si>
    <t>次</t>
    <phoneticPr fontId="3" type="noConversion"/>
  </si>
  <si>
    <t>保障房</t>
  </si>
  <si>
    <t>次干道</t>
  </si>
  <si>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</si>
  <si>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实力山语间</t>
    <phoneticPr fontId="27" type="noConversion"/>
  </si>
  <si>
    <t>盘龙区虹桥路地铁三号线太平村站旁</t>
    <phoneticPr fontId="3" type="noConversion"/>
  </si>
  <si>
    <t>较不规则</t>
  </si>
  <si>
    <t>比较法-住宅、综合</t>
  </si>
  <si>
    <t>昆明华润置地三联置业有限公司</t>
    <phoneticPr fontId="233" type="noConversion"/>
  </si>
  <si>
    <t>昆明市官渡区关上街道办事处</t>
    <phoneticPr fontId="233" type="noConversion"/>
  </si>
  <si>
    <t>云南景成集团有限公司</t>
    <phoneticPr fontId="233" type="noConversion"/>
  </si>
  <si>
    <t>有</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</si>
</sst>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2]* #,##0.00_);_([$€-2]* \(#,##0.00\);_([$€-2]* &quot;-&quot;??_)"/>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Times New Roman"/>
      <family val="1"/>
    </font>
    <font>
      <sz val="14"/>
      <color rgb="FFFF0000"/>
      <name val="Arial"/>
      <family val="2"/>
    </font>
    <font>
      <sz val="11"/>
      <name val="宋体"/>
      <family val="3"/>
      <charset val="134"/>
      <scheme val="minor"/>
    </font>
    <font>
      <sz val="11"/>
      <color theme="9" tint="-0.249977111117893"/>
      <name val="宋体"/>
      <family val="3"/>
      <charset val="134"/>
    </font>
    <font>
      <b/>
      <sz val="11"/>
      <color rgb="FFFF0000"/>
      <name val="仿宋_GB2312"/>
      <family val="3"/>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194" fontId="32"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58"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79" fontId="76" fillId="3" borderId="5"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17" fontId="71" fillId="5" borderId="42" xfId="0" applyNumberFormat="1" applyFont="1" applyFill="1" applyBorder="1" applyAlignment="1" applyProtection="1">
      <alignment horizontal="center" vertical="center" wrapText="1"/>
      <protection locked="0"/>
    </xf>
    <xf numFmtId="179" fontId="71" fillId="0" borderId="0" xfId="0" applyNumberFormat="1" applyFont="1" applyProtection="1">
      <alignment vertical="center"/>
      <protection locked="0"/>
    </xf>
    <xf numFmtId="0" fontId="81" fillId="0" borderId="74" xfId="0" applyNumberFormat="1" applyFont="1" applyFill="1" applyBorder="1" applyAlignment="1" applyProtection="1">
      <alignment horizontal="center" vertical="center" wrapText="1"/>
      <protection locked="0"/>
    </xf>
    <xf numFmtId="0" fontId="203" fillId="0" borderId="2" xfId="0" applyFont="1" applyFill="1" applyBorder="1" applyAlignment="1" applyProtection="1">
      <alignment horizontal="center" vertical="center"/>
      <protection locked="0"/>
    </xf>
    <xf numFmtId="0" fontId="156" fillId="16" borderId="9" xfId="0" applyNumberFormat="1" applyFont="1" applyFill="1" applyBorder="1" applyAlignment="1" applyProtection="1">
      <alignment horizontal="center" vertical="center" wrapText="1"/>
      <protection locked="0"/>
    </xf>
    <xf numFmtId="0" fontId="278" fillId="0" borderId="2" xfId="15" applyNumberFormat="1" applyFont="1" applyFill="1" applyBorder="1" applyAlignment="1" applyProtection="1">
      <alignment horizontal="center" vertical="center" wrapText="1"/>
      <protection locked="0"/>
    </xf>
    <xf numFmtId="0" fontId="279" fillId="0" borderId="0" xfId="0" applyFont="1" applyAlignment="1" applyProtection="1">
      <protection locked="0"/>
    </xf>
    <xf numFmtId="184" fontId="99" fillId="8" borderId="0" xfId="0" applyNumberFormat="1" applyFont="1" applyFill="1" applyAlignment="1" applyProtection="1">
      <protection locked="0"/>
    </xf>
    <xf numFmtId="0" fontId="0" fillId="0" borderId="0" xfId="0" applyFont="1" applyAlignment="1"/>
    <xf numFmtId="0" fontId="147" fillId="0" borderId="0" xfId="0" applyFont="1" applyAlignment="1"/>
    <xf numFmtId="0" fontId="280" fillId="0" borderId="0" xfId="0" applyFont="1" applyAlignment="1"/>
    <xf numFmtId="0" fontId="144" fillId="0" borderId="11" xfId="0" applyNumberFormat="1" applyFont="1" applyFill="1" applyBorder="1" applyAlignment="1" applyProtection="1">
      <alignment horizontal="center" vertical="center" wrapText="1"/>
      <protection locked="0"/>
    </xf>
    <xf numFmtId="0" fontId="234" fillId="5" borderId="2" xfId="0" applyFont="1" applyFill="1" applyBorder="1" applyAlignment="1" applyProtection="1">
      <alignment vertical="center"/>
      <protection locked="0"/>
    </xf>
    <xf numFmtId="0" fontId="101" fillId="0" borderId="2" xfId="0" applyFont="1" applyFill="1" applyBorder="1" applyAlignment="1" applyProtection="1">
      <alignment vertical="center"/>
      <protection locked="0"/>
    </xf>
    <xf numFmtId="0" fontId="280" fillId="7" borderId="0" xfId="0" applyFont="1" applyFill="1" applyAlignment="1"/>
    <xf numFmtId="0" fontId="147" fillId="0" borderId="0" xfId="0" applyFont="1" applyFill="1" applyAlignment="1"/>
    <xf numFmtId="190" fontId="71" fillId="0" borderId="62" xfId="0" applyNumberFormat="1" applyFont="1" applyFill="1" applyBorder="1" applyAlignment="1" applyProtection="1">
      <alignment horizontal="center" vertical="center" wrapText="1"/>
      <protection locked="0"/>
    </xf>
    <xf numFmtId="0" fontId="71" fillId="2" borderId="62"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84" fillId="0" borderId="58"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protection locked="0"/>
    </xf>
    <xf numFmtId="10" fontId="71" fillId="0" borderId="64"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7" fillId="0" borderId="0" xfId="0" applyFont="1" applyAlignment="1">
      <alignment wrapText="1"/>
    </xf>
    <xf numFmtId="177" fontId="205" fillId="6" borderId="5" xfId="2" applyNumberFormat="1" applyFont="1" applyFill="1" applyBorder="1" applyAlignment="1" applyProtection="1">
      <alignment vertical="center"/>
      <protection locked="0"/>
    </xf>
    <xf numFmtId="177" fontId="205" fillId="6" borderId="11" xfId="2" applyNumberFormat="1" applyFont="1" applyFill="1" applyBorder="1" applyAlignment="1" applyProtection="1">
      <alignment horizontal="center" vertical="center"/>
    </xf>
    <xf numFmtId="0" fontId="282" fillId="6" borderId="20" xfId="0" applyNumberFormat="1" applyFont="1" applyFill="1" applyBorder="1" applyAlignment="1" applyProtection="1">
      <alignment horizontal="center" vertical="center" wrapText="1"/>
      <protection locked="0"/>
    </xf>
    <xf numFmtId="184" fontId="283" fillId="6" borderId="2" xfId="0" applyNumberFormat="1" applyFont="1" applyFill="1" applyBorder="1" applyAlignment="1" applyProtection="1">
      <alignment horizontal="center" vertical="center"/>
      <protection locked="0"/>
    </xf>
    <xf numFmtId="184" fontId="283" fillId="6" borderId="44" xfId="0" applyNumberFormat="1" applyFont="1" applyFill="1" applyBorder="1" applyAlignment="1" applyProtection="1">
      <alignment horizontal="center" vertical="center"/>
      <protection locked="0"/>
    </xf>
    <xf numFmtId="49" fontId="205" fillId="6"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81"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6" fillId="16" borderId="2" xfId="0" applyNumberFormat="1" applyFont="1" applyFill="1" applyBorder="1" applyAlignment="1" applyProtection="1">
      <alignment horizontal="center" vertical="center"/>
      <protection locked="0"/>
    </xf>
  </cellXfs>
  <cellStyles count="16">
    <cellStyle name="百分比 2" xfId="11"/>
    <cellStyle name="常规" xfId="0" builtinId="0"/>
    <cellStyle name="常规 11 2 3" xfId="15"/>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9033;&#30446;A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D19">
            <v>67282</v>
          </cell>
          <cell r="G19">
            <v>52935</v>
          </cell>
        </row>
      </sheetData>
      <sheetData sheetId="17" refreshError="1"/>
      <sheetData sheetId="18">
        <row r="6">
          <cell r="C6">
            <v>221290.03799999994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2664</v>
      </c>
      <c r="B1" s="2915" t="s">
        <v>2761</v>
      </c>
    </row>
    <row r="2" spans="1:55" s="2919" customFormat="1" ht="15" thickTop="1">
      <c r="A2" s="2917" t="s">
        <v>2668</v>
      </c>
      <c r="B2" s="2918" t="str">
        <f>'预评函-封皮'!B37</f>
        <v>云南省昆明市官渡区官渡街道办事处出让国有建设用地使用权市场价格预评估</v>
      </c>
      <c r="AX2" s="2920"/>
      <c r="AZ2" s="2920"/>
      <c r="BA2" s="2921"/>
      <c r="BC2" s="2921"/>
    </row>
    <row r="3" spans="1:55" s="2922" customFormat="1">
      <c r="A3" s="2901" t="s">
        <v>2669</v>
      </c>
      <c r="B3" s="2904">
        <f>'预评函-封皮'!B40</f>
        <v>0</v>
      </c>
    </row>
    <row r="4" spans="1:55" s="2903" customFormat="1">
      <c r="A4" s="2901" t="s">
        <v>2670</v>
      </c>
      <c r="B4" s="2902" t="str">
        <f>'预评函-封皮'!B46</f>
        <v>王鹏、郑燚</v>
      </c>
      <c r="N4" s="2903" t="str">
        <f>'预评函-1'!A28</f>
        <v>——</v>
      </c>
    </row>
    <row r="5" spans="1:55" s="2916" customFormat="1" ht="15" thickBot="1">
      <c r="A5" s="2923" t="s">
        <v>2671</v>
      </c>
      <c r="B5" s="2924" t="str">
        <f>'预评函-封皮'!B49</f>
        <v>康正预评字号</v>
      </c>
    </row>
    <row r="6" spans="1:55" s="2925" customFormat="1" ht="15" thickTop="1">
      <c r="A6" s="2917" t="s">
        <v>2713</v>
      </c>
      <c r="B6" s="2918" t="str">
        <f>'预评函-1'!A4</f>
        <v>受贵公司委托，我公司对云南省昆明市官渡区官渡街道办事处出让国有建设用地使用权市场价格进行了预评估。</v>
      </c>
      <c r="AM6" s="2926"/>
    </row>
    <row r="7" spans="1:55" s="2900" customFormat="1">
      <c r="A7" s="2901" t="s">
        <v>2665</v>
      </c>
      <c r="B7" s="2902" t="str">
        <f>'预评函-1'!A6</f>
        <v>估价对象为使用的、位于云南省昆明市官渡区官渡街道办事处出让国有建设用地使用权。根据《国有土地使用证》[]，估价对象（分摊）出让国有建设用地使用权面积为42563.17平方米。根据《建设工程规划许可证》[]、《出让合同》[]，估价对象规划建筑面积为217232平方米。</v>
      </c>
    </row>
    <row r="8" spans="1:55" s="2900" customFormat="1">
      <c r="A8" s="2901" t="s">
        <v>2666</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2716</v>
      </c>
      <c r="B9" s="2902" t="str">
        <f>'预评函-1'!A9</f>
        <v>本次评估为委托估价方了解标的物之市场价格提供参考依据而评估出让国有建设用地使用权市场价格。</v>
      </c>
    </row>
    <row r="10" spans="1:55" s="2900" customFormat="1">
      <c r="A10" s="2901" t="s">
        <v>2667</v>
      </c>
      <c r="B10" s="2902" t="str">
        <f>'预评函-1'!A11</f>
        <v>2018年3月28日（评估专业人员勘察现场之日）</v>
      </c>
    </row>
    <row r="11" spans="1:55" s="2900" customFormat="1">
      <c r="A11" s="2901" t="s">
        <v>2673</v>
      </c>
      <c r="B11" s="2902" t="str">
        <f>'预评函-1'!A14</f>
        <v>根据，本次评估估价对象证载（地类）用途为城镇住宅用地。</v>
      </c>
    </row>
    <row r="12" spans="1:55" s="2900" customFormat="1">
      <c r="A12" s="2901" t="s">
        <v>2674</v>
      </c>
      <c r="B12" s="2902" t="str">
        <f>'预评函-1'!A15</f>
        <v>本次评估设定用途即为证载用途。</v>
      </c>
    </row>
    <row r="13" spans="1:55" s="2900" customFormat="1">
      <c r="A13" s="2901" t="s">
        <v>2675</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2676</v>
      </c>
      <c r="B14" s="2902" t="str">
        <f>'预评函-1'!A18</f>
        <v>。本次评估设定土地开发程度为红线外市政基础设施达“七通”、宗地红线内场地平整。</v>
      </c>
    </row>
    <row r="15" spans="1:55" s="2900" customFormat="1">
      <c r="A15" s="2901" t="s">
        <v>2672</v>
      </c>
      <c r="B15" s="2902" t="str">
        <f>'预评函-1'!A20</f>
        <v>根据《国有土地使用证》[]，估价对象（分摊）出让国有建设用地使用权面积为42563.17平方米。根据《建设工程规划许可证》[]、《出让合同》[]，估价对象规划建筑面积为217232平方米。</v>
      </c>
    </row>
    <row r="16" spans="1:55" s="2900" customFormat="1">
      <c r="A16" s="2901" t="s">
        <v>2677</v>
      </c>
      <c r="B16" s="2902" t="str">
        <f>'预评函-1'!A22</f>
        <v>本次估价对象为出让国有建设用地使用权，证载土地终止日期为住宅2088年3月28日、商业2058年3月28日车库2088年3月28日。截至估价期日，出让国有建设用地使用权剩余土地使用年限为。</v>
      </c>
    </row>
    <row r="17" spans="1:48" s="2900" customFormat="1">
      <c r="A17" s="2901" t="s">
        <v>2678</v>
      </c>
      <c r="B17" s="2902" t="str">
        <f>'预评函-1'!A23</f>
        <v>本次评估设定估价对象剩余土地使用年限为。</v>
      </c>
    </row>
    <row r="18" spans="1:48" s="2900" customFormat="1">
      <c r="A18" s="2901" t="s">
        <v>2679</v>
      </c>
      <c r="B18" s="2902" t="str">
        <f>'预评函-1'!A25</f>
        <v>本次估价的“出让国有建设用地使用权价格”是指在估价对象土地所有权为国家所有，使用权性质为出让，在公开市场条件下、于估价期日2018年3月28日，在规划利用条件下、设定土地开发程度为红线外“七通”、宗地内场地，设定用途为，剩余土地使用年限为的出让国有建设用地使用权价格。</v>
      </c>
    </row>
    <row r="19" spans="1:48" s="2900" customFormat="1">
      <c r="A19" s="2901" t="s">
        <v>2680</v>
      </c>
      <c r="B19" s="2902" t="str">
        <f>'预评函-1'!A26</f>
        <v>——</v>
      </c>
    </row>
    <row r="20" spans="1:48" s="2900" customFormat="1">
      <c r="A20" s="2901" t="s">
        <v>2681</v>
      </c>
      <c r="B20" s="2902" t="str">
        <f>'预评函-1'!A27</f>
        <v>——</v>
      </c>
    </row>
    <row r="21" spans="1:48" s="2916" customFormat="1" ht="15" thickBot="1">
      <c r="A21" s="2923" t="s">
        <v>2682</v>
      </c>
      <c r="B21" s="2924" t="str">
        <f>'预评函-1'!A28</f>
        <v>——</v>
      </c>
    </row>
    <row r="22" spans="1:48" ht="15" thickTop="1">
      <c r="A22" s="2912" t="s">
        <v>2683</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2684</v>
      </c>
      <c r="B23" s="2902" t="str">
        <f>'预评函-2'!K2</f>
        <v>估价期日：2018年3月28日</v>
      </c>
    </row>
    <row r="24" spans="1:48">
      <c r="A24" s="2901" t="s">
        <v>2685</v>
      </c>
      <c r="B24" s="2902" t="str">
        <f>'预评函-2'!R2</f>
        <v>估价期日的国有建设用地使用权性质：出让</v>
      </c>
    </row>
    <row r="25" spans="1:48">
      <c r="A25" s="2901" t="s">
        <v>2741</v>
      </c>
      <c r="B25" s="2902" t="str">
        <f>'预评函-2'!A3</f>
        <v>估价期日土地使用者</v>
      </c>
    </row>
    <row r="26" spans="1:48">
      <c r="A26" s="2901" t="s">
        <v>2717</v>
      </c>
      <c r="B26" s="2902" t="str">
        <f>'预评函-2'!A5</f>
        <v>中信开发</v>
      </c>
    </row>
    <row r="27" spans="1:48">
      <c r="A27" s="2901" t="s">
        <v>2742</v>
      </c>
      <c r="B27" s="2902" t="str">
        <f>'预评函-2'!B3</f>
        <v>宗地编号/不动产单元号</v>
      </c>
    </row>
    <row r="28" spans="1:48">
      <c r="A28" s="2901" t="s">
        <v>2718</v>
      </c>
      <c r="B28" s="2902" t="str">
        <f>'预评函-2'!B5</f>
        <v>11111111111</v>
      </c>
    </row>
    <row r="29" spans="1:48">
      <c r="A29" s="2901" t="s">
        <v>2744</v>
      </c>
      <c r="B29" s="2902">
        <f>'预评函-2'!C5</f>
        <v>22</v>
      </c>
    </row>
    <row r="30" spans="1:48">
      <c r="A30" s="2901" t="s">
        <v>2745</v>
      </c>
      <c r="B30" s="2902" t="str">
        <f>'预评函-2'!D3</f>
        <v>土地使用证编号/不动产权证书编号</v>
      </c>
    </row>
    <row r="31" spans="1:48">
      <c r="A31" s="2901" t="s">
        <v>2719</v>
      </c>
      <c r="B31" s="2902" t="str">
        <f>'预评函-2'!D5</f>
        <v>京国土字第111号</v>
      </c>
    </row>
    <row r="32" spans="1:48">
      <c r="A32" s="2901" t="s">
        <v>2720</v>
      </c>
      <c r="B32" s="2902" t="str">
        <f>'预评函-2'!E5</f>
        <v>城镇住宅用地</v>
      </c>
      <c r="AV32" s="2906"/>
    </row>
    <row r="33" spans="1:2">
      <c r="A33" s="2901" t="s">
        <v>2721</v>
      </c>
      <c r="B33" s="2902">
        <f>'预评函-2'!F5</f>
        <v>258</v>
      </c>
    </row>
    <row r="34" spans="1:2">
      <c r="A34" s="2901" t="s">
        <v>2722</v>
      </c>
      <c r="B34" s="2902">
        <f>'预评函-2'!G5</f>
        <v>0</v>
      </c>
    </row>
    <row r="35" spans="1:2">
      <c r="A35" s="2901" t="s">
        <v>2723</v>
      </c>
      <c r="B35" s="2902">
        <f>'预评函-2'!H5</f>
        <v>1.5</v>
      </c>
    </row>
    <row r="36" spans="1:2">
      <c r="A36" s="2901" t="s">
        <v>2724</v>
      </c>
      <c r="B36" s="2902">
        <f>'预评函-2'!I5</f>
        <v>1.5</v>
      </c>
    </row>
    <row r="37" spans="1:2">
      <c r="A37" s="2901" t="s">
        <v>2725</v>
      </c>
      <c r="B37" s="2902">
        <f>'预评函-2'!J5</f>
        <v>1.5</v>
      </c>
    </row>
    <row r="38" spans="1:2">
      <c r="A38" s="2901" t="s">
        <v>2726</v>
      </c>
      <c r="B38" s="2902" t="str">
        <f>'预评函-2'!K5</f>
        <v>红线外七通、宗地红线内</v>
      </c>
    </row>
    <row r="39" spans="1:2">
      <c r="A39" s="2901" t="s">
        <v>2727</v>
      </c>
      <c r="B39" s="2902" t="str">
        <f>'预评函-2'!L5</f>
        <v>红线外七通、宗地红线内场地</v>
      </c>
    </row>
    <row r="40" spans="1:2">
      <c r="A40" s="2901" t="s">
        <v>2746</v>
      </c>
      <c r="B40" s="2902" t="str">
        <f>'预评函-2'!M3</f>
        <v>（剩余）土地使用年限/年</v>
      </c>
    </row>
    <row r="41" spans="1:2">
      <c r="A41" s="2901" t="s">
        <v>2728</v>
      </c>
      <c r="B41" s="2902">
        <f>'预评函-2'!M5</f>
        <v>0</v>
      </c>
    </row>
    <row r="42" spans="1:2">
      <c r="A42" s="2901" t="s">
        <v>2747</v>
      </c>
      <c r="B42" s="2902" t="str">
        <f>'预评函-2'!N3</f>
        <v>（分摊）出让国有建设用地使用权面积/㎡</v>
      </c>
    </row>
    <row r="43" spans="1:2">
      <c r="A43" s="2901" t="s">
        <v>2729</v>
      </c>
      <c r="B43" s="2902">
        <f>'预评函-2'!N5</f>
        <v>42563.17</v>
      </c>
    </row>
    <row r="44" spans="1:2">
      <c r="A44" s="2901" t="s">
        <v>2748</v>
      </c>
      <c r="B44" s="2902" t="str">
        <f>'预评函-2'!O3</f>
        <v>规划建筑面积/㎡</v>
      </c>
    </row>
    <row r="45" spans="1:2">
      <c r="A45" s="2901" t="s">
        <v>2730</v>
      </c>
      <c r="B45" s="2902">
        <f>'预评函-2'!O5</f>
        <v>217232</v>
      </c>
    </row>
    <row r="46" spans="1:2">
      <c r="A46" s="2901" t="s">
        <v>2731</v>
      </c>
      <c r="B46" s="2902">
        <f ca="1">'预评函-2'!P5</f>
        <v>18895</v>
      </c>
    </row>
    <row r="47" spans="1:2">
      <c r="A47" s="2901" t="s">
        <v>2732</v>
      </c>
      <c r="B47" s="2902">
        <f ca="1">'预评函-2'!Q5</f>
        <v>3702</v>
      </c>
    </row>
    <row r="48" spans="1:2">
      <c r="A48" s="2901" t="s">
        <v>2733</v>
      </c>
      <c r="B48" s="2902">
        <f ca="1">'预评函-2'!R5</f>
        <v>80423</v>
      </c>
    </row>
    <row r="49" spans="1:2">
      <c r="A49" s="2901" t="s">
        <v>2749</v>
      </c>
      <c r="B49" s="2902" t="str">
        <f>'预评函-2'!A6</f>
        <v>——</v>
      </c>
    </row>
    <row r="50" spans="1:2">
      <c r="A50" s="2901" t="s">
        <v>2734</v>
      </c>
      <c r="B50" s="2902" t="str">
        <f>'预评函-2'!R6</f>
        <v>——</v>
      </c>
    </row>
    <row r="51" spans="1:2">
      <c r="A51" s="2901" t="s">
        <v>2750</v>
      </c>
      <c r="B51" s="2902" t="str">
        <f>'预评函-2'!A7</f>
        <v>——</v>
      </c>
    </row>
    <row r="52" spans="1:2">
      <c r="A52" s="2901" t="s">
        <v>2735</v>
      </c>
      <c r="B52" s="2902" t="str">
        <f>'预评函-2'!R7</f>
        <v>——</v>
      </c>
    </row>
    <row r="53" spans="1:2">
      <c r="A53" s="2901" t="s">
        <v>2751</v>
      </c>
      <c r="B53" s="2902" t="str">
        <f>'预评函-2'!A8</f>
        <v>——</v>
      </c>
    </row>
    <row r="54" spans="1:2" s="2916" customFormat="1" ht="15" thickBot="1">
      <c r="A54" s="2923" t="s">
        <v>2736</v>
      </c>
      <c r="B54" s="2924" t="str">
        <f>'预评函-2'!R8</f>
        <v>——</v>
      </c>
    </row>
    <row r="55" spans="1:2" ht="15" thickTop="1">
      <c r="A55" s="2912" t="s">
        <v>2686</v>
      </c>
      <c r="B55" s="2913" t="str">
        <f>'预评函-3'!A2</f>
        <v>1.权利限制：根据估价对象《不动产权证书》复印件、《国有土地使用权》复印件，截至估价期日，估价对象已设定抵押。未设定租赁等其他他项权利。</v>
      </c>
    </row>
    <row r="56" spans="1:2">
      <c r="A56" s="2901" t="s">
        <v>2687</v>
      </c>
      <c r="B56" s="2902" t="str">
        <f>'预评函-3'!A3</f>
        <v>2.基础设施条件：估价对象实际开发程度为红线外七通、宗地红线内；本次评估设定开发程度为红线外七通、宗地红线内场地。</v>
      </c>
    </row>
    <row r="57" spans="1:2">
      <c r="A57" s="2901" t="s">
        <v>2688</v>
      </c>
      <c r="B57" s="2902" t="str">
        <f>'预评函-3'!A4</f>
        <v>3.估价规划限制条件：详见《建设工程规划许可证》[]、《出让合同》[]。</v>
      </c>
    </row>
    <row r="58" spans="1:2" s="2916" customFormat="1" ht="15" thickBot="1">
      <c r="A58" s="2923" t="s">
        <v>2737</v>
      </c>
      <c r="B58" s="2924" t="str">
        <f>'预评函-3'!A5</f>
        <v>4.影响价格的其他限定条件：无。</v>
      </c>
    </row>
    <row r="59" spans="1:2" ht="15" thickTop="1">
      <c r="A59" s="2912" t="s">
        <v>2689</v>
      </c>
      <c r="B59" s="2913" t="str">
        <f>'预评函-3'!A8</f>
        <v>2.本次评估设定估价对象宗地权属无争议，未被查封或者以其他形式限制其房地产权利，未设定抵押权等他项权利，不涉及第三方权利义务。</v>
      </c>
    </row>
    <row r="60" spans="1:2">
      <c r="A60" s="2901" t="s">
        <v>2690</v>
      </c>
      <c r="B60" s="2902" t="str">
        <f>'预评函-3'!A9</f>
        <v>——</v>
      </c>
    </row>
    <row r="61" spans="1:2">
      <c r="A61" s="2901" t="s">
        <v>2692</v>
      </c>
      <c r="B61" s="2902" t="str">
        <f>'预评函-3'!A10</f>
        <v>——</v>
      </c>
    </row>
    <row r="62" spans="1:2">
      <c r="A62" s="2901" t="s">
        <v>2691</v>
      </c>
      <c r="B62" s="2902" t="str">
        <f>'预评函-3'!A11</f>
        <v>——</v>
      </c>
    </row>
    <row r="63" spans="1:2">
      <c r="A63" s="2901" t="s">
        <v>2693</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2694</v>
      </c>
      <c r="B64" s="2907" t="str">
        <f>'预评函-3'!A13</f>
        <v>（3）。</v>
      </c>
    </row>
    <row r="65" spans="1:2">
      <c r="A65" s="2901" t="s">
        <v>2695</v>
      </c>
      <c r="B65" s="2908" t="str">
        <f>'预评函-3'!A14</f>
        <v>——</v>
      </c>
    </row>
    <row r="66" spans="1:2">
      <c r="A66" s="2901" t="s">
        <v>2696</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2697</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2700</v>
      </c>
      <c r="B68" s="2927">
        <f>'预评函-3'!D30</f>
        <v>42558</v>
      </c>
    </row>
    <row r="69" spans="1:2" ht="15" thickTop="1">
      <c r="A69" s="2912" t="s">
        <v>2698</v>
      </c>
      <c r="B69" s="2913" t="str">
        <f>'预评函-3'!A20</f>
        <v>王鹏</v>
      </c>
    </row>
    <row r="70" spans="1:2">
      <c r="A70" s="2901" t="s">
        <v>2698</v>
      </c>
      <c r="B70" s="2908">
        <f ca="1">'预评函-3'!B20</f>
        <v>2002110030</v>
      </c>
    </row>
    <row r="71" spans="1:2">
      <c r="A71" s="2901" t="s">
        <v>2699</v>
      </c>
      <c r="B71" s="2902" t="str">
        <f>'预评函-3'!A21</f>
        <v>郑燚</v>
      </c>
    </row>
    <row r="72" spans="1:2" s="2916" customFormat="1" ht="15" thickBot="1">
      <c r="A72" s="2923" t="s">
        <v>2699</v>
      </c>
      <c r="B72" s="2929">
        <f>'预评函-3'!B21</f>
        <v>2014110011</v>
      </c>
    </row>
    <row r="73" spans="1:2" ht="15" thickTop="1">
      <c r="A73" s="2912" t="s">
        <v>2758</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2759</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2760</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2795</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2551</v>
      </c>
      <c r="R1" s="2604" t="s">
        <v>2545</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2546</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2547</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5" t="s">
        <v>761</v>
      </c>
      <c r="Q4" s="9" t="s">
        <v>92</v>
      </c>
      <c r="R4" s="1005" t="s">
        <v>2548</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2549</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2550</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1" t="s">
        <v>2966</v>
      </c>
      <c r="C18" s="1554"/>
    </row>
    <row r="19" spans="1:3">
      <c r="A19" s="8" t="s">
        <v>120</v>
      </c>
      <c r="B19" s="3141" t="s">
        <v>2974</v>
      </c>
      <c r="C19" s="1554"/>
    </row>
    <row r="20" spans="1:3">
      <c r="A20" s="8" t="s">
        <v>121</v>
      </c>
      <c r="B20" s="8" t="s">
        <v>3253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3141" t="s">
        <v>3223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昆明市官渡区官渡街道办事处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87"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28日，在规划利用条件下、设定土地开发程度为红线外“七通”、宗地内场地，设定用途为，剩余土地使用年限为的出让国有建设用地使用权价格。</v>
      </c>
      <c r="D53" s="1768"/>
      <c r="E53" s="1768"/>
    </row>
    <row r="54" spans="1:5">
      <c r="A54" s="3287"/>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87"/>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87"/>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87"/>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90" customWidth="1"/>
    <col min="2" max="2" width="11.375" style="1690" customWidth="1"/>
    <col min="3" max="3" width="12.625" style="1690" customWidth="1"/>
    <col min="4" max="4" width="12"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303" t="str">
        <f>IF(B10="北京市","北京市",C10)&amp;F10&amp;B16&amp;"国有建设用地使用权"&amp;B9&amp;"预评估"</f>
        <v>云南省昆明市官渡区官渡街道办事处出让国有建设用地使用权市场价格预评估</v>
      </c>
      <c r="C1" s="3304"/>
      <c r="D1" s="3304"/>
      <c r="E1" s="3304"/>
      <c r="F1" s="3304"/>
      <c r="G1" s="3304"/>
      <c r="H1" s="3304"/>
      <c r="I1" s="3305"/>
      <c r="J1" s="1693"/>
      <c r="K1" s="2476" t="str">
        <f>IF(B10="北京市","北京市",C10)&amp;F10&amp;B16&amp;"国有建设用地使用权"&amp;B9</f>
        <v>云南省昆明市官渡区官渡街道办事处出让国有建设用地使用权市场价格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6" t="str">
        <f>IF(B10="北京市","北京市",C10)&amp;F10&amp;B16&amp;"国有建设用地使用权"</f>
        <v>云南省昆明市官渡区官渡街道办事处出让国有建设用地使用权</v>
      </c>
      <c r="L2" s="1722"/>
      <c r="M2" s="1722"/>
      <c r="N2" s="1693"/>
      <c r="O2" s="1694"/>
      <c r="P2" s="1693"/>
      <c r="Q2" s="1693"/>
      <c r="R2" s="1693"/>
      <c r="S2" s="1693"/>
      <c r="T2" s="1693"/>
      <c r="U2" s="1693"/>
    </row>
    <row r="3" spans="1:21">
      <c r="A3" s="1660" t="s">
        <v>1943</v>
      </c>
      <c r="B3" s="1661">
        <v>43187</v>
      </c>
      <c r="C3" s="1662" t="s">
        <v>1998</v>
      </c>
      <c r="D3" s="1661">
        <v>43187</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2980</v>
      </c>
      <c r="C4" s="1845">
        <f ca="1">SUMIF(土地估价师,B4,估价师及机构信息!E3:E24)</f>
        <v>2002110030</v>
      </c>
      <c r="D4" s="1842" t="s">
        <v>2981</v>
      </c>
      <c r="E4" s="1845">
        <f>SUMIF(土地估价师,D4,估价师及机构信息!E3:E24)</f>
        <v>2014110011</v>
      </c>
      <c r="F4" s="1842" t="s">
        <v>953</v>
      </c>
      <c r="G4" s="1845">
        <f>SUMIF(土地估价师,F4,估价师及机构信息!E3:E24)</f>
        <v>0</v>
      </c>
      <c r="H4" s="1842" t="s">
        <v>953</v>
      </c>
      <c r="I4" s="1845">
        <f>SUMIF(土地估价师,H4,估价师及机构信息!E3:E24)</f>
        <v>0</v>
      </c>
      <c r="J4" s="1693"/>
      <c r="K4" s="2476" t="str">
        <f>IF(AND(F4="——",H4="——"),B4&amp;"、"&amp;D4,IF(AND(F4&lt;&gt;"——",H4="——"),B4&amp;"、"&amp;D4&amp;"、"&amp;F4,B4&amp;"、"&amp;D4&amp;"、"&amp;F4&amp;"、"&amp;H4))</f>
        <v>王鹏、郑燚</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2714</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2715</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3220</v>
      </c>
      <c r="C8" s="1670"/>
      <c r="D8" s="3309" t="s">
        <v>1948</v>
      </c>
      <c r="E8" s="1843"/>
      <c r="F8" s="1671"/>
      <c r="G8" s="1659"/>
      <c r="H8" s="1659"/>
      <c r="I8" s="1706"/>
      <c r="J8" s="1693"/>
      <c r="K8" s="1773"/>
      <c r="L8" s="1722"/>
      <c r="M8" s="1722"/>
      <c r="N8" s="1693"/>
      <c r="O8" s="1694"/>
      <c r="P8" s="1693"/>
      <c r="Q8" s="1693"/>
      <c r="R8" s="1693"/>
      <c r="S8" s="1693"/>
      <c r="T8" s="1693"/>
      <c r="U8" s="1693"/>
    </row>
    <row r="9" spans="1:21" ht="15" thickBot="1">
      <c r="A9" s="1672" t="s">
        <v>1947</v>
      </c>
      <c r="B9" s="1673" t="s">
        <v>3221</v>
      </c>
      <c r="C9" s="1674"/>
      <c r="D9" s="3310"/>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3132</v>
      </c>
      <c r="C10" s="1675" t="s">
        <v>3133</v>
      </c>
      <c r="D10" s="1666"/>
      <c r="E10" s="1676" t="s">
        <v>1950</v>
      </c>
      <c r="F10" s="1677" t="s">
        <v>3135</v>
      </c>
      <c r="G10" s="1744"/>
      <c r="H10" s="1745"/>
      <c r="I10" s="1666"/>
      <c r="J10" s="1693"/>
      <c r="K10" s="1773"/>
      <c r="L10" s="1722"/>
      <c r="M10" s="1722"/>
      <c r="N10" s="1693"/>
      <c r="O10" s="1694"/>
      <c r="P10" s="1693"/>
      <c r="Q10" s="1693"/>
      <c r="R10" s="1693"/>
      <c r="S10" s="1693"/>
      <c r="T10" s="1693"/>
      <c r="U10" s="1693"/>
    </row>
    <row r="11" spans="1:21">
      <c r="A11" s="1696" t="s">
        <v>2003</v>
      </c>
      <c r="B11" s="1697" t="s">
        <v>3134</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306" t="s">
        <v>3136</v>
      </c>
      <c r="C12" s="3307"/>
      <c r="D12" s="3308"/>
      <c r="E12" s="1698" t="s">
        <v>2064</v>
      </c>
      <c r="F12" s="3324"/>
      <c r="G12" s="3325"/>
      <c r="H12" s="3325"/>
      <c r="I12" s="3326"/>
      <c r="J12" s="1693"/>
      <c r="K12" s="1773"/>
      <c r="L12" s="1722"/>
      <c r="M12" s="1722"/>
      <c r="N12" s="1693"/>
      <c r="O12" s="1694"/>
      <c r="P12" s="1693"/>
      <c r="Q12" s="1693"/>
      <c r="R12" s="1693"/>
      <c r="S12" s="1693"/>
      <c r="T12" s="1693"/>
      <c r="U12" s="1693"/>
    </row>
    <row r="13" spans="1:21">
      <c r="A13" s="1686" t="s">
        <v>2062</v>
      </c>
      <c r="B13" s="3306"/>
      <c r="C13" s="3307"/>
      <c r="D13" s="3308"/>
      <c r="E13" s="1698" t="s">
        <v>2064</v>
      </c>
      <c r="F13" s="3324" t="s">
        <v>2897</v>
      </c>
      <c r="G13" s="3325"/>
      <c r="H13" s="3325"/>
      <c r="I13" s="3326"/>
      <c r="J13" s="1693"/>
      <c r="K13" s="1773"/>
      <c r="L13" s="1722"/>
      <c r="M13" s="1722"/>
      <c r="N13" s="1693"/>
      <c r="O13" s="1694"/>
      <c r="P13" s="1693"/>
      <c r="Q13" s="1693"/>
      <c r="R13" s="1693"/>
      <c r="S13" s="1693"/>
      <c r="T13" s="1693"/>
      <c r="U13" s="1693"/>
    </row>
    <row r="14" spans="1:21">
      <c r="A14" s="1660" t="s">
        <v>2065</v>
      </c>
      <c r="B14" s="1698"/>
      <c r="C14" s="1844" t="s">
        <v>2983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7"/>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28.5">
      <c r="A16" s="1679" t="s">
        <v>1951</v>
      </c>
      <c r="B16" s="1680" t="s">
        <v>2982</v>
      </c>
      <c r="C16" s="1698" t="s">
        <v>1952</v>
      </c>
      <c r="D16" s="2668" t="s">
        <v>1953</v>
      </c>
      <c r="E16" s="1721" t="s">
        <v>3044</v>
      </c>
      <c r="F16" s="1721"/>
      <c r="G16" s="1721" t="s">
        <v>3046</v>
      </c>
      <c r="H16" s="1721"/>
      <c r="I16" s="1685" t="s">
        <v>1958</v>
      </c>
      <c r="J16" s="1693"/>
      <c r="K16" s="2477" t="str">
        <f>IF(D17="","",D16&amp;TEXT(D17,"yyyy年m月d日;;"))</f>
        <v>住宅2088年3月28日</v>
      </c>
      <c r="L16" s="1698" t="str">
        <f>IF(OR(K16="",M16=""),"","、")</f>
        <v>、</v>
      </c>
      <c r="M16" s="2477" t="str">
        <f>IF(E17="","",E16&amp;TEXT(E17,"yyyy年m月d日;;"))</f>
        <v>商业2058年3月28日</v>
      </c>
      <c r="N16" s="1698" t="str">
        <f>IF(OR(M16="",O16=""),"","、")</f>
        <v/>
      </c>
      <c r="O16" s="2477" t="str">
        <f>IF(F17="","",F16&amp;TEXT(F17,"yyyy年m月d日;;"))</f>
        <v/>
      </c>
      <c r="P16" s="1698" t="str">
        <f>IF(OR(O16="",Q16=""),"","、")</f>
        <v/>
      </c>
      <c r="Q16" s="2477" t="str">
        <f>IF(G17="","",G16&amp;TEXT(G17,"yyyy年m月d日;;"))</f>
        <v>车库2088年3月28日</v>
      </c>
      <c r="R16" s="1698" t="str">
        <f>IF(OR(Q16="",S16=""),"","、")</f>
        <v/>
      </c>
      <c r="S16" s="2477" t="str">
        <f>IF(H17="","",H16&amp;TEXT(H17,"yyyy年m月d日;;"))</f>
        <v/>
      </c>
      <c r="T16" s="1698" t="str">
        <f>IF(OR(S16="",U16=""),"","、")</f>
        <v/>
      </c>
      <c r="U16" s="2477" t="str">
        <f>IF(I17="","",I16&amp;TEXT(I17,"yyyy年m月d日;;"))</f>
        <v/>
      </c>
    </row>
    <row r="17" spans="1:21">
      <c r="A17" s="1762"/>
      <c r="B17" s="1681"/>
      <c r="C17" s="1682" t="s">
        <v>1959</v>
      </c>
      <c r="D17" s="1699">
        <v>68755</v>
      </c>
      <c r="E17" s="1699">
        <v>57797</v>
      </c>
      <c r="F17" s="1699"/>
      <c r="G17" s="1699">
        <v>68755</v>
      </c>
      <c r="H17" s="1699"/>
      <c r="I17" s="1699"/>
      <c r="J17" s="1693"/>
      <c r="K17" s="2476" t="str">
        <f>CONCATENATE(K16,L16,M16,N16,O16,P16,Q16,R16,S16,T16,,U16)</f>
        <v>住宅2088年3月28日、商业2058年3月28日车库2088年3月28日</v>
      </c>
      <c r="L17" s="1722"/>
      <c r="M17" s="1722"/>
      <c r="N17" s="1693"/>
      <c r="O17" s="1694"/>
      <c r="P17" s="1693"/>
      <c r="Q17" s="1693"/>
      <c r="R17" s="1693"/>
      <c r="S17" s="1693"/>
      <c r="T17" s="1693"/>
      <c r="U17" s="1693"/>
    </row>
    <row r="18" spans="1:21">
      <c r="A18" s="1762"/>
      <c r="B18" s="1681"/>
      <c r="C18" s="1682" t="s">
        <v>1960</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70</v>
      </c>
      <c r="E19" s="1684">
        <f>IF(B16="出让",IF(E17="","",ROUNDDOWN(MIN((E17-$D$3)/365,E18),2)),E18)</f>
        <v>40</v>
      </c>
      <c r="F19" s="1684" t="str">
        <f>IF(B16="出让",IF(F17="","",ROUNDDOWN(MIN((F17-$D$3)/365,F18),2)),F18)</f>
        <v/>
      </c>
      <c r="G19" s="1684">
        <f>IF(B16="出让",IF(G17="","",ROUNDDOWN(MIN((G17-$D$3)/365,G18),2)),G18)</f>
        <v>50</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321"/>
      <c r="E20" s="3322"/>
      <c r="F20" s="3322"/>
      <c r="G20" s="3322"/>
      <c r="H20" s="3322"/>
      <c r="I20" s="3323"/>
      <c r="J20" s="1693"/>
      <c r="K20" s="1773"/>
      <c r="L20" s="1722"/>
      <c r="M20" s="1722"/>
      <c r="N20" s="1693"/>
      <c r="O20" s="1694"/>
      <c r="P20" s="1693"/>
      <c r="Q20" s="1693"/>
      <c r="R20" s="1693"/>
      <c r="S20" s="1693"/>
      <c r="T20" s="1693"/>
      <c r="U20" s="1693"/>
    </row>
    <row r="21" spans="1:21">
      <c r="A21" s="1762" t="s">
        <v>1962</v>
      </c>
      <c r="B21" s="1763" t="s">
        <v>1963</v>
      </c>
      <c r="C21" s="1758">
        <f>'数据-汇总表'!E3</f>
        <v>217232</v>
      </c>
      <c r="D21" s="1759" t="s">
        <v>1964</v>
      </c>
      <c r="E21" s="3311" t="s">
        <v>2001</v>
      </c>
      <c r="F21" s="3312"/>
      <c r="G21" s="3312"/>
      <c r="H21" s="3312"/>
      <c r="I21" s="3313"/>
      <c r="J21" s="1693"/>
      <c r="K21" s="1773"/>
      <c r="L21" s="1722"/>
      <c r="M21" s="1722"/>
      <c r="N21" s="1693"/>
      <c r="O21" s="1694"/>
      <c r="P21" s="1693"/>
      <c r="Q21" s="1693"/>
      <c r="R21" s="1693"/>
      <c r="S21" s="1693"/>
      <c r="T21" s="1693"/>
      <c r="U21" s="1693"/>
    </row>
    <row r="22" spans="1:21">
      <c r="A22" s="2659" t="s">
        <v>953</v>
      </c>
      <c r="B22" s="1660" t="s">
        <v>1965</v>
      </c>
      <c r="C22" s="1685">
        <f>'数据-汇总表'!D3</f>
        <v>42563.17</v>
      </c>
      <c r="D22" s="1686" t="s">
        <v>1964</v>
      </c>
      <c r="E22" s="3311" t="s">
        <v>2898</v>
      </c>
      <c r="F22" s="3312"/>
      <c r="G22" s="3312"/>
      <c r="H22" s="3312"/>
      <c r="I22" s="3313"/>
      <c r="J22" s="1693"/>
      <c r="K22" s="1773"/>
      <c r="L22" s="1722"/>
      <c r="M22" s="1722"/>
      <c r="N22" s="1693"/>
      <c r="O22" s="1694"/>
      <c r="P22" s="1693"/>
      <c r="Q22" s="1693"/>
      <c r="R22" s="1693"/>
      <c r="S22" s="1693"/>
      <c r="T22" s="1693"/>
      <c r="U22" s="1693"/>
    </row>
    <row r="23" spans="1:21" ht="43.5" thickBot="1">
      <c r="A23" s="1764" t="s">
        <v>1966</v>
      </c>
      <c r="B23" s="1700" t="s">
        <v>1967</v>
      </c>
      <c r="C23" s="1701" t="s">
        <v>1680</v>
      </c>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314" t="s">
        <v>1970</v>
      </c>
      <c r="C24" s="3315"/>
      <c r="D24" s="3316" t="s">
        <v>1971</v>
      </c>
      <c r="E24" s="3317"/>
      <c r="F24" s="1707" t="s">
        <v>1972</v>
      </c>
      <c r="G24" s="1693"/>
      <c r="H24" s="1693"/>
      <c r="I24" s="1706"/>
      <c r="J24" s="1693"/>
      <c r="K24" s="3302" t="s">
        <v>1973</v>
      </c>
      <c r="L24" s="247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22"/>
      <c r="N24" s="1693"/>
      <c r="O24" s="1694"/>
      <c r="P24" s="1693"/>
      <c r="Q24" s="1693"/>
      <c r="R24" s="1693"/>
      <c r="S24" s="1693"/>
      <c r="T24" s="1693"/>
      <c r="U24" s="1693"/>
    </row>
    <row r="25" spans="1:21" ht="28.5">
      <c r="A25" s="1750"/>
      <c r="B25" s="1747" t="s">
        <v>2328</v>
      </c>
      <c r="C25" s="1708" t="s">
        <v>2329</v>
      </c>
      <c r="D25" s="1709"/>
      <c r="E25" s="1710" t="s">
        <v>953</v>
      </c>
      <c r="F25" s="1711"/>
      <c r="G25" s="1693"/>
      <c r="H25" s="1693"/>
      <c r="I25" s="1706"/>
      <c r="J25" s="1693"/>
      <c r="K25" s="3302"/>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302"/>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3"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4"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4"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5"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88" t="s">
        <v>2004</v>
      </c>
      <c r="B31" s="1763" t="s">
        <v>2005</v>
      </c>
      <c r="C31" s="3327"/>
      <c r="D31" s="3328"/>
      <c r="E31" s="1693"/>
      <c r="F31" s="1693"/>
      <c r="G31" s="1693"/>
      <c r="H31" s="1693"/>
      <c r="I31" s="1706"/>
      <c r="J31" s="1693"/>
      <c r="K31" s="2479"/>
      <c r="L31" s="1693"/>
      <c r="M31" s="1693"/>
      <c r="N31" s="1693"/>
      <c r="O31" s="1693"/>
      <c r="P31" s="1693"/>
      <c r="Q31" s="1693"/>
      <c r="R31" s="1693"/>
      <c r="S31" s="1693"/>
      <c r="T31" s="1693"/>
      <c r="U31" s="1693"/>
    </row>
    <row r="32" spans="1:21">
      <c r="A32" s="3288"/>
      <c r="B32" s="1660" t="s">
        <v>2006</v>
      </c>
      <c r="C32" s="1718"/>
      <c r="D32" s="1719"/>
      <c r="E32" s="1693"/>
      <c r="F32" s="1693"/>
      <c r="G32" s="1693"/>
      <c r="H32" s="1693"/>
      <c r="I32" s="1706"/>
      <c r="J32" s="1693"/>
      <c r="K32" s="2479"/>
      <c r="L32" s="1693"/>
      <c r="M32" s="1693"/>
      <c r="N32" s="1693"/>
      <c r="O32" s="1693"/>
      <c r="P32" s="1693"/>
      <c r="Q32" s="1693"/>
      <c r="R32" s="1693"/>
      <c r="S32" s="1693"/>
      <c r="T32" s="1693"/>
      <c r="U32" s="1693"/>
    </row>
    <row r="33" spans="1:21">
      <c r="A33" s="3288"/>
      <c r="B33" s="1660" t="s">
        <v>2007</v>
      </c>
      <c r="C33" s="1720"/>
      <c r="D33" s="1837"/>
      <c r="E33" s="1693"/>
      <c r="F33" s="1693"/>
      <c r="G33" s="1693"/>
      <c r="H33" s="1693"/>
      <c r="I33" s="1706"/>
      <c r="J33" s="1693"/>
      <c r="K33" s="2479"/>
      <c r="L33" s="1693"/>
      <c r="M33" s="1693"/>
      <c r="N33" s="1693"/>
      <c r="O33" s="1693"/>
      <c r="P33" s="1693"/>
      <c r="Q33" s="1693"/>
      <c r="R33" s="1693"/>
      <c r="S33" s="1693"/>
      <c r="T33" s="1693"/>
      <c r="U33" s="1693"/>
    </row>
    <row r="34" spans="1:21">
      <c r="A34" s="3289"/>
      <c r="B34" s="1660" t="s">
        <v>2008</v>
      </c>
      <c r="C34" s="3290"/>
      <c r="D34" s="3291"/>
      <c r="E34" s="1693"/>
      <c r="F34" s="1693"/>
      <c r="G34" s="1693"/>
      <c r="H34" s="1693"/>
      <c r="I34" s="1706"/>
      <c r="J34" s="1693"/>
      <c r="K34" s="2479"/>
      <c r="L34" s="1693"/>
      <c r="M34" s="1693"/>
      <c r="N34" s="1693"/>
      <c r="O34" s="1693"/>
      <c r="P34" s="1693"/>
      <c r="Q34" s="1693"/>
      <c r="R34" s="1693"/>
      <c r="S34" s="1693"/>
      <c r="T34" s="1693"/>
      <c r="U34" s="1693"/>
    </row>
    <row r="35" spans="1:21">
      <c r="A35" s="3292" t="s">
        <v>848</v>
      </c>
      <c r="B35" s="1721"/>
      <c r="C35" s="1775" t="str">
        <f>IF(B35="场地平整","——","具体情况：")</f>
        <v>具体情况：</v>
      </c>
      <c r="D35" s="3294"/>
      <c r="E35" s="3295"/>
      <c r="F35" s="3295"/>
      <c r="G35" s="3295"/>
      <c r="H35" s="3295"/>
      <c r="I35" s="3296"/>
      <c r="J35" s="1693"/>
      <c r="K35" s="1774"/>
      <c r="L35" s="1722"/>
      <c r="M35" s="1722"/>
      <c r="N35" s="1693"/>
      <c r="O35" s="1694"/>
      <c r="P35" s="1693"/>
      <c r="Q35" s="1693"/>
      <c r="R35" s="1693"/>
      <c r="S35" s="1693"/>
      <c r="T35" s="1693"/>
      <c r="U35" s="1693"/>
    </row>
    <row r="36" spans="1:21">
      <c r="A36" s="3288"/>
      <c r="B36" s="3297" t="s">
        <v>2057</v>
      </c>
      <c r="C36" s="3298"/>
      <c r="D36" s="1791"/>
      <c r="E36" s="3299"/>
      <c r="F36" s="3299"/>
      <c r="G36" s="1686" t="str">
        <f>IF(B35="场地未平整","估价结果处理","")</f>
        <v/>
      </c>
      <c r="H36" s="3300"/>
      <c r="I36" s="3300"/>
      <c r="J36" s="1693"/>
      <c r="K36" s="1774"/>
      <c r="L36" s="1722"/>
      <c r="M36" s="1722"/>
      <c r="N36" s="1693"/>
      <c r="O36" s="1694"/>
      <c r="P36" s="1693"/>
      <c r="Q36" s="1693"/>
      <c r="R36" s="1693"/>
      <c r="S36" s="1693"/>
      <c r="T36" s="1693"/>
      <c r="U36" s="1693"/>
    </row>
    <row r="37" spans="1:21" ht="28.5">
      <c r="A37" s="3288"/>
      <c r="B37" s="3318"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288"/>
      <c r="B38" s="3319"/>
      <c r="C38" s="1668" t="s">
        <v>851</v>
      </c>
      <c r="D38" s="1790">
        <f>ROUNDDOWN(MIN(('数据-取费表'!$B$2-D37)/365,D34),1)</f>
        <v>118.3</v>
      </c>
      <c r="E38" s="1726" t="s">
        <v>852</v>
      </c>
      <c r="F38" s="1693"/>
      <c r="G38" s="1693"/>
      <c r="H38" s="1693"/>
      <c r="I38" s="1706"/>
      <c r="J38" s="1693"/>
      <c r="K38" s="1774"/>
      <c r="L38" s="1693"/>
      <c r="M38" s="1693"/>
      <c r="N38" s="1693"/>
      <c r="O38" s="1693"/>
      <c r="P38" s="1693"/>
      <c r="Q38" s="1693"/>
      <c r="R38" s="1693"/>
      <c r="S38" s="1693"/>
      <c r="T38" s="1693"/>
      <c r="U38" s="1693"/>
    </row>
    <row r="39" spans="1:21">
      <c r="A39" s="3289"/>
      <c r="B39" s="332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301" t="s">
        <v>1988</v>
      </c>
      <c r="T40" s="1730" t="str">
        <f>NUMBERSTRING(7-K40,1)&amp;"通"</f>
        <v>七通</v>
      </c>
      <c r="U40" s="1693"/>
    </row>
    <row r="41" spans="1:21" ht="28.5">
      <c r="A41" s="1662"/>
      <c r="B41" s="3293" t="s">
        <v>1723</v>
      </c>
      <c r="C41" s="3293"/>
      <c r="D41" s="3293"/>
      <c r="E41" s="3293"/>
      <c r="F41" s="1731" t="str">
        <f>C10</f>
        <v>云南省昆明市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301"/>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2899</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41" width="9.5" style="15" hidden="1" customWidth="1"/>
    <col min="4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2336</v>
      </c>
      <c r="BA2" s="2361"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42563.17</v>
      </c>
      <c r="B3" s="22">
        <f>IF(C3="否",G5-AT5,G5)</f>
        <v>217232</v>
      </c>
      <c r="C3" s="23" t="s">
        <v>3137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3170">
        <f>A3</f>
        <v>42563.17</v>
      </c>
      <c r="AZ3" s="12">
        <v>122585.86</v>
      </c>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217232</v>
      </c>
      <c r="H5" s="26">
        <f t="shared" ref="H5:AT5" si="0">SUM(H13:H641)</f>
        <v>214838</v>
      </c>
      <c r="I5" s="26">
        <f t="shared" si="0"/>
        <v>154834</v>
      </c>
      <c r="J5" s="26">
        <f t="shared" si="0"/>
        <v>0</v>
      </c>
      <c r="K5" s="26">
        <f t="shared" si="0"/>
        <v>2119</v>
      </c>
      <c r="L5" s="26">
        <f t="shared" si="0"/>
        <v>0</v>
      </c>
      <c r="M5" s="26">
        <f t="shared" si="0"/>
        <v>54885</v>
      </c>
      <c r="N5" s="26">
        <f t="shared" si="0"/>
        <v>0</v>
      </c>
      <c r="O5" s="26">
        <f t="shared" si="0"/>
        <v>3000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2394</v>
      </c>
      <c r="AD5" s="26">
        <f t="shared" si="0"/>
        <v>1361</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1033</v>
      </c>
      <c r="AS5" s="26">
        <f t="shared" si="0"/>
        <v>0</v>
      </c>
      <c r="AT5" s="26">
        <f t="shared" si="0"/>
        <v>0</v>
      </c>
      <c r="AU5" s="987"/>
      <c r="AV5" s="25" t="s">
        <v>168</v>
      </c>
      <c r="AW5" s="988"/>
      <c r="AX5" s="988"/>
      <c r="AY5" s="27" t="s">
        <v>3</v>
      </c>
      <c r="AZ5" s="28">
        <f t="shared" ref="AZ5:BT5" si="1">SUM(AZ13:AZ641)</f>
        <v>217232</v>
      </c>
      <c r="BA5" s="28">
        <f t="shared" si="1"/>
        <v>214838</v>
      </c>
      <c r="BB5" s="28">
        <f t="shared" si="1"/>
        <v>154834</v>
      </c>
      <c r="BC5" s="28">
        <f t="shared" si="1"/>
        <v>2119</v>
      </c>
      <c r="BD5" s="28">
        <f t="shared" si="1"/>
        <v>54885</v>
      </c>
      <c r="BE5" s="28">
        <f t="shared" si="1"/>
        <v>3000</v>
      </c>
      <c r="BF5" s="28">
        <f t="shared" si="1"/>
        <v>0</v>
      </c>
      <c r="BG5" s="28">
        <f t="shared" si="1"/>
        <v>0</v>
      </c>
      <c r="BH5" s="28">
        <f t="shared" si="1"/>
        <v>0</v>
      </c>
      <c r="BI5" s="28">
        <f t="shared" si="1"/>
        <v>0</v>
      </c>
      <c r="BJ5" s="28">
        <f t="shared" si="1"/>
        <v>0</v>
      </c>
      <c r="BK5" s="28">
        <f t="shared" si="1"/>
        <v>0</v>
      </c>
      <c r="BL5" s="28">
        <f t="shared" si="1"/>
        <v>2394</v>
      </c>
      <c r="BM5" s="28">
        <f t="shared" si="1"/>
        <v>1361</v>
      </c>
      <c r="BN5" s="28">
        <f t="shared" si="1"/>
        <v>0</v>
      </c>
      <c r="BO5" s="28">
        <f t="shared" si="1"/>
        <v>0</v>
      </c>
      <c r="BP5" s="28">
        <f t="shared" si="1"/>
        <v>0</v>
      </c>
      <c r="BQ5" s="28">
        <f t="shared" si="1"/>
        <v>0</v>
      </c>
      <c r="BR5" s="28">
        <f t="shared" si="1"/>
        <v>0</v>
      </c>
      <c r="BS5" s="28">
        <f t="shared" si="1"/>
        <v>0</v>
      </c>
      <c r="BT5" s="29">
        <f t="shared" si="1"/>
        <v>1033</v>
      </c>
    </row>
    <row r="6" spans="1:72" s="36" customFormat="1" ht="12.75">
      <c r="A6" s="25" t="s">
        <v>169</v>
      </c>
      <c r="B6" s="30"/>
      <c r="C6" s="30"/>
      <c r="D6" s="31"/>
      <c r="E6" s="26">
        <f>H6+AC6+AT6</f>
        <v>42563.170000000006</v>
      </c>
      <c r="F6" s="26" t="s">
        <v>1</v>
      </c>
      <c r="G6" s="26" t="s">
        <v>2</v>
      </c>
      <c r="H6" s="32">
        <f>SUMIF(I$12:AB$12,"总值",I6:AB6)</f>
        <v>42094.100000000006</v>
      </c>
      <c r="I6" s="26">
        <f t="shared" ref="I6:AB6" si="2">ROUND($A$3*I5/$B$3,2)</f>
        <v>30337.27</v>
      </c>
      <c r="J6" s="26">
        <f t="shared" si="2"/>
        <v>0</v>
      </c>
      <c r="K6" s="26">
        <f t="shared" si="2"/>
        <v>415.18</v>
      </c>
      <c r="L6" s="26">
        <f t="shared" si="2"/>
        <v>0</v>
      </c>
      <c r="M6" s="26">
        <f t="shared" si="2"/>
        <v>10753.85</v>
      </c>
      <c r="N6" s="26">
        <f t="shared" si="2"/>
        <v>0</v>
      </c>
      <c r="O6" s="26">
        <f t="shared" si="2"/>
        <v>587.79999999999995</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469.07000000000005</v>
      </c>
      <c r="AD6" s="26">
        <f t="shared" ref="AD6:AS6" si="3">ROUND($A$3*AD5/$B$3,2)</f>
        <v>266.67</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202.4</v>
      </c>
      <c r="AS6" s="26">
        <f t="shared" si="3"/>
        <v>0</v>
      </c>
      <c r="AT6" s="32">
        <f>IF(C3="是",ROUND($A$3*AT5/$B$3,2),0)</f>
        <v>0</v>
      </c>
      <c r="AU6" s="33"/>
      <c r="AV6" s="25" t="s">
        <v>169</v>
      </c>
      <c r="AW6" s="30"/>
      <c r="AX6" s="30"/>
      <c r="AY6" s="34">
        <f>IF(AY3&gt;0,AY3,ROUND($A$3*AZ5/$B$3,2))</f>
        <v>42563.17</v>
      </c>
      <c r="AZ6" s="26" t="s">
        <v>3</v>
      </c>
      <c r="BA6" s="26">
        <f>ROUND($AY$6*BA5/$AZ$5,2)</f>
        <v>42094.1</v>
      </c>
      <c r="BB6" s="26">
        <f>ROUND($AY$6*BB5/$AZ$5,2)</f>
        <v>30337.27</v>
      </c>
      <c r="BC6" s="26">
        <f t="shared" ref="BC6:BH6" si="4">ROUND($AY$6*BC5/$AZ$5,2)</f>
        <v>415.18</v>
      </c>
      <c r="BD6" s="26">
        <f t="shared" si="4"/>
        <v>10753.85</v>
      </c>
      <c r="BE6" s="26">
        <f t="shared" si="4"/>
        <v>587.79999999999995</v>
      </c>
      <c r="BF6" s="26">
        <f t="shared" si="4"/>
        <v>0</v>
      </c>
      <c r="BG6" s="26">
        <f t="shared" si="4"/>
        <v>0</v>
      </c>
      <c r="BH6" s="26">
        <f t="shared" si="4"/>
        <v>0</v>
      </c>
      <c r="BI6" s="26">
        <f t="shared" ref="BI6:BT6" si="5">ROUND($AY$6*BI5/$AZ$5,2)</f>
        <v>0</v>
      </c>
      <c r="BJ6" s="26">
        <f t="shared" si="5"/>
        <v>0</v>
      </c>
      <c r="BK6" s="26">
        <f t="shared" si="5"/>
        <v>0</v>
      </c>
      <c r="BL6" s="26">
        <f t="shared" si="5"/>
        <v>469.07</v>
      </c>
      <c r="BM6" s="26">
        <f t="shared" si="5"/>
        <v>266.67</v>
      </c>
      <c r="BN6" s="26">
        <f t="shared" si="5"/>
        <v>0</v>
      </c>
      <c r="BO6" s="26">
        <f t="shared" si="5"/>
        <v>0</v>
      </c>
      <c r="BP6" s="26">
        <f t="shared" si="5"/>
        <v>0</v>
      </c>
      <c r="BQ6" s="26">
        <f t="shared" si="5"/>
        <v>0</v>
      </c>
      <c r="BR6" s="26">
        <f t="shared" si="5"/>
        <v>0</v>
      </c>
      <c r="BS6" s="26">
        <f t="shared" si="5"/>
        <v>0</v>
      </c>
      <c r="BT6" s="35">
        <f t="shared" si="5"/>
        <v>202.4</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7"/>
      <c r="AT8" s="2328" t="s">
        <v>856</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42" t="s">
        <v>3045</v>
      </c>
      <c r="J9" s="50"/>
      <c r="K9" s="3042" t="s">
        <v>3045</v>
      </c>
      <c r="L9" s="50"/>
      <c r="M9" s="3042" t="s">
        <v>3074</v>
      </c>
      <c r="N9" s="50"/>
      <c r="O9" s="58" t="s">
        <v>3045</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9"/>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42" t="s">
        <v>924</v>
      </c>
      <c r="J10" s="50"/>
      <c r="K10" s="3044" t="s">
        <v>3044</v>
      </c>
      <c r="L10" s="50"/>
      <c r="M10" s="3044" t="s">
        <v>3046</v>
      </c>
      <c r="N10" s="50"/>
      <c r="O10" s="65" t="s">
        <v>924</v>
      </c>
      <c r="P10" s="50"/>
      <c r="Q10" s="65"/>
      <c r="R10" s="50"/>
      <c r="S10" s="65"/>
      <c r="T10" s="50"/>
      <c r="U10" s="65"/>
      <c r="V10" s="50"/>
      <c r="W10" s="65"/>
      <c r="X10" s="50"/>
      <c r="Y10" s="65"/>
      <c r="Z10" s="50"/>
      <c r="AA10" s="65"/>
      <c r="AB10" s="50"/>
      <c r="AC10" s="54"/>
      <c r="AD10" s="2314" t="s">
        <v>2320</v>
      </c>
      <c r="AE10" s="2336"/>
      <c r="AF10" s="2314" t="s">
        <v>2320</v>
      </c>
      <c r="AG10" s="2336"/>
      <c r="AH10" s="2314" t="s">
        <v>2321</v>
      </c>
      <c r="AI10" s="2336"/>
      <c r="AJ10" s="25" t="s">
        <v>2334</v>
      </c>
      <c r="AK10" s="2333"/>
      <c r="AL10" s="2314" t="s">
        <v>2322</v>
      </c>
      <c r="AM10" s="2315"/>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地上</v>
      </c>
      <c r="BD10" s="68" t="str">
        <f>M9</f>
        <v>地下</v>
      </c>
      <c r="BE10" s="68" t="str">
        <f>O9</f>
        <v>地上</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43" t="s">
        <v>3222</v>
      </c>
      <c r="J11" s="70"/>
      <c r="K11" s="3043" t="s">
        <v>3058</v>
      </c>
      <c r="L11" s="70"/>
      <c r="M11" s="69" t="s">
        <v>3046</v>
      </c>
      <c r="N11" s="70"/>
      <c r="O11" s="69" t="s">
        <v>3251</v>
      </c>
      <c r="P11" s="70"/>
      <c r="Q11" s="69"/>
      <c r="R11" s="70"/>
      <c r="S11" s="69"/>
      <c r="T11" s="70"/>
      <c r="U11" s="69"/>
      <c r="V11" s="70"/>
      <c r="W11" s="69"/>
      <c r="X11" s="70"/>
      <c r="Y11" s="69"/>
      <c r="Z11" s="70"/>
      <c r="AA11" s="69"/>
      <c r="AB11" s="70"/>
      <c r="AC11" s="54"/>
      <c r="AD11" s="2334" t="s">
        <v>2333</v>
      </c>
      <c r="AE11" s="1001"/>
      <c r="AF11" s="2334" t="s">
        <v>2333</v>
      </c>
      <c r="AG11" s="1001"/>
      <c r="AH11" s="2334" t="s">
        <v>2332</v>
      </c>
      <c r="AI11" s="2335"/>
      <c r="AJ11" s="2334" t="s">
        <v>2332</v>
      </c>
      <c r="AK11" s="2333"/>
      <c r="AL11" s="999"/>
      <c r="AM11" s="1001"/>
      <c r="AN11" s="999"/>
      <c r="AO11" s="1001"/>
      <c r="AP11" s="1187"/>
      <c r="AQ11" s="1189"/>
      <c r="AR11" s="1187"/>
      <c r="AS11" s="1189"/>
      <c r="AT11" s="1002"/>
      <c r="AU11" s="44"/>
      <c r="AV11" s="54"/>
      <c r="AW11" s="1002"/>
      <c r="AX11" s="54"/>
      <c r="AY11" s="61"/>
      <c r="AZ11" s="61"/>
      <c r="BA11" s="61"/>
      <c r="BB11" s="49" t="str">
        <f>I10</f>
        <v>住宅</v>
      </c>
      <c r="BC11" s="49" t="str">
        <f>K10</f>
        <v>商业</v>
      </c>
      <c r="BD11" s="49" t="str">
        <f>M10</f>
        <v>车库</v>
      </c>
      <c r="BE11" s="49" t="str">
        <f>O10</f>
        <v>住宅</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平层住宅</v>
      </c>
      <c r="BC12" s="78" t="str">
        <f>K11</f>
        <v>底商</v>
      </c>
      <c r="BD12" s="78" t="str">
        <f>M11</f>
        <v>车库</v>
      </c>
      <c r="BE12" s="49" t="str">
        <f>O11</f>
        <v>保障房</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5">
      <c r="A13" s="3037"/>
      <c r="B13" s="3037"/>
      <c r="C13" s="3037"/>
      <c r="D13" s="3038" t="s">
        <v>1680</v>
      </c>
      <c r="E13" s="26">
        <f t="shared" ref="E13:E20" si="6">IF($C$3="是",ROUND($A$3*G13/$B$3,2),ROUND($A$3*(G13-AT13)/$B$3,2))</f>
        <v>42563.17</v>
      </c>
      <c r="F13" s="80"/>
      <c r="G13" s="81">
        <f t="shared" ref="G13:G20" si="7">H13+AC13+AT13</f>
        <v>217232</v>
      </c>
      <c r="H13" s="32">
        <f t="shared" ref="H13:H20" si="8">SUMIF(I$12:AB$12,"总值",I13:AB13)</f>
        <v>214838</v>
      </c>
      <c r="I13" s="3178">
        <v>154834</v>
      </c>
      <c r="J13" s="3041"/>
      <c r="K13" s="3041">
        <v>2119</v>
      </c>
      <c r="L13" s="3041"/>
      <c r="M13" s="3041">
        <v>54885</v>
      </c>
      <c r="N13" s="82"/>
      <c r="O13" s="82">
        <v>3000</v>
      </c>
      <c r="P13" s="82"/>
      <c r="Q13" s="82"/>
      <c r="R13" s="82"/>
      <c r="S13" s="82"/>
      <c r="T13" s="82"/>
      <c r="U13" s="82"/>
      <c r="V13" s="82"/>
      <c r="W13" s="82"/>
      <c r="X13" s="82"/>
      <c r="Y13" s="82"/>
      <c r="Z13" s="82"/>
      <c r="AA13" s="82"/>
      <c r="AB13" s="82"/>
      <c r="AC13" s="26">
        <f t="shared" ref="AC13:AC20" si="9">SUMIF(AD$12:AS$12,"总值",AD13:AS13)</f>
        <v>2394</v>
      </c>
      <c r="AD13" s="3045">
        <v>1361</v>
      </c>
      <c r="AE13" s="3045"/>
      <c r="AF13" s="3045"/>
      <c r="AG13" s="3045"/>
      <c r="AH13" s="3045"/>
      <c r="AI13" s="3045"/>
      <c r="AJ13" s="3045"/>
      <c r="AK13" s="3045"/>
      <c r="AL13" s="3045"/>
      <c r="AM13" s="3045"/>
      <c r="AN13" s="3045"/>
      <c r="AO13" s="3045"/>
      <c r="AP13" s="3045"/>
      <c r="AQ13" s="3045"/>
      <c r="AR13" s="3045">
        <f>55918-M13</f>
        <v>1033</v>
      </c>
      <c r="AS13" s="3045"/>
      <c r="AT13" s="3046"/>
      <c r="AU13" s="3047"/>
      <c r="AV13" s="17">
        <f t="shared" ref="AV13:AX20" si="10">A13</f>
        <v>0</v>
      </c>
      <c r="AW13" s="17">
        <f t="shared" si="10"/>
        <v>0</v>
      </c>
      <c r="AX13" s="17">
        <f t="shared" si="10"/>
        <v>0</v>
      </c>
      <c r="AY13" s="995">
        <f t="shared" ref="AY13:AY20" si="11">ROUND($AY$6*AZ13/$AZ$5,2)</f>
        <v>42563.17</v>
      </c>
      <c r="AZ13" s="26">
        <f t="shared" ref="AZ13:AZ20" si="12">BA13+BL13</f>
        <v>217232</v>
      </c>
      <c r="BA13" s="26">
        <f t="shared" ref="BA13:BA20" si="13">SUM(BB13:BK13)</f>
        <v>214838</v>
      </c>
      <c r="BB13" s="26">
        <f t="shared" ref="BB13:BB20" si="14">IF($D13="是",I13-J13,0)</f>
        <v>154834</v>
      </c>
      <c r="BC13" s="26">
        <f t="shared" ref="BC13:BC20" si="15">IF($D13="是",K13-L13,0)</f>
        <v>2119</v>
      </c>
      <c r="BD13" s="26">
        <f t="shared" ref="BD13:BD20" si="16">IF($D13="是",M13-N13,0)</f>
        <v>54885</v>
      </c>
      <c r="BE13" s="26">
        <f t="shared" ref="BE13:BE20" si="17">IF($D13="是",O13-P13,0)</f>
        <v>3000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2394</v>
      </c>
      <c r="BM13" s="26">
        <f t="shared" ref="BM13:BM20" si="25">IF($D13="是",AD13-AE13,0)</f>
        <v>1361</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1033</v>
      </c>
    </row>
    <row r="14" spans="1:72" s="18" customFormat="1" ht="12.75">
      <c r="A14" s="3037"/>
      <c r="B14" s="3037"/>
      <c r="C14" s="3039"/>
      <c r="D14" s="3038"/>
      <c r="E14" s="26">
        <f t="shared" si="6"/>
        <v>0</v>
      </c>
      <c r="F14" s="80"/>
      <c r="G14" s="81">
        <f t="shared" si="7"/>
        <v>0</v>
      </c>
      <c r="H14" s="32">
        <f t="shared" si="8"/>
        <v>0</v>
      </c>
      <c r="I14" s="3041"/>
      <c r="J14" s="3041"/>
      <c r="K14" s="3041"/>
      <c r="L14" s="3041"/>
      <c r="M14" s="3041"/>
      <c r="N14" s="82"/>
      <c r="O14" s="82"/>
      <c r="P14" s="82"/>
      <c r="Q14" s="82"/>
      <c r="R14" s="82"/>
      <c r="S14" s="82"/>
      <c r="T14" s="82"/>
      <c r="U14" s="82"/>
      <c r="V14" s="82"/>
      <c r="W14" s="82"/>
      <c r="X14" s="82"/>
      <c r="Y14" s="82"/>
      <c r="Z14" s="82"/>
      <c r="AA14" s="82"/>
      <c r="AB14" s="82"/>
      <c r="AC14" s="26">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7"/>
      <c r="B15" s="3037"/>
      <c r="C15" s="3039"/>
      <c r="D15" s="3038"/>
      <c r="E15" s="26">
        <f t="shared" si="6"/>
        <v>0</v>
      </c>
      <c r="F15" s="80"/>
      <c r="G15" s="81">
        <f t="shared" si="7"/>
        <v>0</v>
      </c>
      <c r="H15" s="32">
        <f t="shared" si="8"/>
        <v>0</v>
      </c>
      <c r="I15" s="3041"/>
      <c r="J15" s="3041"/>
      <c r="K15" s="3041"/>
      <c r="L15" s="3041"/>
      <c r="M15" s="3041"/>
      <c r="N15" s="82"/>
      <c r="O15" s="82"/>
      <c r="P15" s="82"/>
      <c r="Q15" s="82"/>
      <c r="R15" s="82"/>
      <c r="S15" s="82"/>
      <c r="T15" s="82"/>
      <c r="U15" s="82"/>
      <c r="V15" s="82"/>
      <c r="W15" s="82"/>
      <c r="X15" s="82"/>
      <c r="Y15" s="82"/>
      <c r="Z15" s="82"/>
      <c r="AA15" s="82"/>
      <c r="AB15" s="82"/>
      <c r="AC15" s="26">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7"/>
      <c r="B16" s="3037"/>
      <c r="C16" s="3039"/>
      <c r="D16" s="3038"/>
      <c r="E16" s="26">
        <f t="shared" si="6"/>
        <v>0</v>
      </c>
      <c r="F16" s="80"/>
      <c r="G16" s="81">
        <f t="shared" si="7"/>
        <v>0</v>
      </c>
      <c r="H16" s="32">
        <f t="shared" si="8"/>
        <v>0</v>
      </c>
      <c r="I16" s="3041"/>
      <c r="J16" s="3041"/>
      <c r="K16" s="3041"/>
      <c r="L16" s="3041"/>
      <c r="M16" s="3041"/>
      <c r="N16" s="82"/>
      <c r="O16" s="82"/>
      <c r="P16" s="82"/>
      <c r="Q16" s="82"/>
      <c r="R16" s="82"/>
      <c r="S16" s="82"/>
      <c r="T16" s="82"/>
      <c r="U16" s="82"/>
      <c r="V16" s="82"/>
      <c r="W16" s="82"/>
      <c r="X16" s="82"/>
      <c r="Y16" s="82"/>
      <c r="Z16" s="82"/>
      <c r="AA16" s="82"/>
      <c r="AB16" s="82"/>
      <c r="AC16" s="26">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7"/>
      <c r="B17" s="3037"/>
      <c r="C17" s="3039"/>
      <c r="D17" s="3038"/>
      <c r="E17" s="26">
        <f t="shared" si="6"/>
        <v>0</v>
      </c>
      <c r="F17" s="80"/>
      <c r="G17" s="81">
        <f t="shared" si="7"/>
        <v>0</v>
      </c>
      <c r="H17" s="32">
        <f t="shared" si="8"/>
        <v>0</v>
      </c>
      <c r="I17" s="3041"/>
      <c r="J17" s="3041"/>
      <c r="K17" s="3041"/>
      <c r="L17" s="3041"/>
      <c r="M17" s="3041"/>
      <c r="N17" s="82"/>
      <c r="O17" s="82"/>
      <c r="P17" s="82"/>
      <c r="Q17" s="82"/>
      <c r="R17" s="82"/>
      <c r="S17" s="82"/>
      <c r="T17" s="82"/>
      <c r="U17" s="82"/>
      <c r="V17" s="82"/>
      <c r="W17" s="82"/>
      <c r="X17" s="82"/>
      <c r="Y17" s="82"/>
      <c r="Z17" s="82"/>
      <c r="AA17" s="82"/>
      <c r="AB17" s="82"/>
      <c r="AC17" s="26">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0"/>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3"/>
      <c r="AM18" s="91"/>
      <c r="AN18" s="1394"/>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3"/>
      <c r="AO21" s="91"/>
      <c r="AP21" s="91"/>
      <c r="AQ21" s="91"/>
      <c r="AR21" s="91"/>
      <c r="AS21" s="91"/>
      <c r="AT21" s="92"/>
      <c r="AU21" s="93"/>
      <c r="AV21" s="1979">
        <f t="shared" ref="AV21:AV112" si="37">A21</f>
        <v>0</v>
      </c>
      <c r="AW21" s="1979">
        <f t="shared" ref="AW21:AW112" si="38">B21</f>
        <v>0</v>
      </c>
      <c r="AX21" s="197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1363"/>
      <c r="AO22" s="91"/>
      <c r="AP22" s="91"/>
      <c r="AQ22" s="91"/>
      <c r="AR22" s="91"/>
      <c r="AS22" s="91"/>
      <c r="AT22" s="92"/>
      <c r="AU22" s="93"/>
      <c r="AV22" s="1979">
        <f t="shared" si="37"/>
        <v>0</v>
      </c>
      <c r="AW22" s="1979">
        <f t="shared" si="38"/>
        <v>0</v>
      </c>
      <c r="AX22" s="197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1363"/>
      <c r="AO23" s="91"/>
      <c r="AP23" s="91"/>
      <c r="AQ23" s="91"/>
      <c r="AR23" s="91"/>
      <c r="AS23" s="91"/>
      <c r="AT23" s="92"/>
      <c r="AU23" s="93"/>
      <c r="AV23" s="1979">
        <f t="shared" si="37"/>
        <v>0</v>
      </c>
      <c r="AW23" s="1979">
        <f t="shared" si="38"/>
        <v>0</v>
      </c>
      <c r="AX23" s="197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3"/>
      <c r="AO24" s="91"/>
      <c r="AP24" s="91"/>
      <c r="AQ24" s="91"/>
      <c r="AR24" s="91"/>
      <c r="AS24" s="91"/>
      <c r="AT24" s="92"/>
      <c r="AU24" s="93"/>
      <c r="AV24" s="1979">
        <f t="shared" si="37"/>
        <v>0</v>
      </c>
      <c r="AW24" s="1979">
        <f t="shared" si="38"/>
        <v>0</v>
      </c>
      <c r="AX24" s="197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79">
        <f t="shared" si="37"/>
        <v>0</v>
      </c>
      <c r="AW25" s="1979">
        <f t="shared" si="38"/>
        <v>0</v>
      </c>
      <c r="AX25" s="197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79">
        <f t="shared" si="37"/>
        <v>0</v>
      </c>
      <c r="AW26" s="1979">
        <f t="shared" si="38"/>
        <v>0</v>
      </c>
      <c r="AX26" s="197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79">
        <f t="shared" si="37"/>
        <v>0</v>
      </c>
      <c r="AW27" s="1979">
        <f t="shared" si="38"/>
        <v>0</v>
      </c>
      <c r="AX27" s="197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79">
        <f t="shared" si="37"/>
        <v>0</v>
      </c>
      <c r="AW28" s="1979">
        <f t="shared" si="38"/>
        <v>0</v>
      </c>
      <c r="AX28" s="197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79">
        <f t="shared" si="37"/>
        <v>0</v>
      </c>
      <c r="AW29" s="1979">
        <f t="shared" si="38"/>
        <v>0</v>
      </c>
      <c r="AX29" s="197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79">
        <f t="shared" si="37"/>
        <v>0</v>
      </c>
      <c r="AW30" s="1979">
        <f t="shared" si="38"/>
        <v>0</v>
      </c>
      <c r="AX30" s="197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79">
        <f t="shared" si="37"/>
        <v>0</v>
      </c>
      <c r="AW31" s="1979">
        <f t="shared" si="38"/>
        <v>0</v>
      </c>
      <c r="AX31" s="197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79">
        <f t="shared" si="37"/>
        <v>0</v>
      </c>
      <c r="AW32" s="1979">
        <f t="shared" si="38"/>
        <v>0</v>
      </c>
      <c r="AX32" s="197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9">
        <f t="shared" si="37"/>
        <v>0</v>
      </c>
      <c r="AW33" s="1979">
        <f t="shared" si="38"/>
        <v>0</v>
      </c>
      <c r="AX33" s="197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9">
        <f t="shared" si="37"/>
        <v>0</v>
      </c>
      <c r="AW34" s="1979">
        <f t="shared" si="38"/>
        <v>0</v>
      </c>
      <c r="AX34" s="197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9">
        <f t="shared" si="37"/>
        <v>0</v>
      </c>
      <c r="AW35" s="1979">
        <f t="shared" si="38"/>
        <v>0</v>
      </c>
      <c r="AX35" s="197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9">
        <f t="shared" si="37"/>
        <v>0</v>
      </c>
      <c r="AW36" s="1979">
        <f t="shared" si="38"/>
        <v>0</v>
      </c>
      <c r="AX36" s="197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9">
        <f t="shared" si="37"/>
        <v>0</v>
      </c>
      <c r="AW37" s="1979">
        <f t="shared" si="38"/>
        <v>0</v>
      </c>
      <c r="AX37" s="197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9">
        <f t="shared" si="37"/>
        <v>0</v>
      </c>
      <c r="AW38" s="1979">
        <f t="shared" si="38"/>
        <v>0</v>
      </c>
      <c r="AX38" s="197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9">
        <f t="shared" si="37"/>
        <v>0</v>
      </c>
      <c r="AW39" s="1979">
        <f t="shared" si="38"/>
        <v>0</v>
      </c>
      <c r="AX39" s="197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9">
        <f t="shared" si="37"/>
        <v>0</v>
      </c>
      <c r="AW40" s="1979">
        <f t="shared" si="38"/>
        <v>0</v>
      </c>
      <c r="AX40" s="197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9">
        <f t="shared" si="37"/>
        <v>0</v>
      </c>
      <c r="AW41" s="1979">
        <f t="shared" si="38"/>
        <v>0</v>
      </c>
      <c r="AX41" s="197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9">
        <f t="shared" si="37"/>
        <v>0</v>
      </c>
      <c r="AW42" s="1979">
        <f t="shared" si="38"/>
        <v>0</v>
      </c>
      <c r="AX42" s="197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9">
        <f t="shared" si="37"/>
        <v>0</v>
      </c>
      <c r="AW43" s="1979">
        <f t="shared" si="38"/>
        <v>0</v>
      </c>
      <c r="AX43" s="197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9">
        <f t="shared" si="37"/>
        <v>0</v>
      </c>
      <c r="AW44" s="1979">
        <f t="shared" si="38"/>
        <v>0</v>
      </c>
      <c r="AX44" s="197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9">
        <f t="shared" si="37"/>
        <v>0</v>
      </c>
      <c r="AW45" s="1979">
        <f t="shared" si="38"/>
        <v>0</v>
      </c>
      <c r="AX45" s="197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9">
        <f t="shared" si="37"/>
        <v>0</v>
      </c>
      <c r="AW46" s="1979">
        <f t="shared" si="38"/>
        <v>0</v>
      </c>
      <c r="AX46" s="197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9">
        <f t="shared" si="37"/>
        <v>0</v>
      </c>
      <c r="AW47" s="1979">
        <f t="shared" si="38"/>
        <v>0</v>
      </c>
      <c r="AX47" s="197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9">
        <f t="shared" si="37"/>
        <v>0</v>
      </c>
      <c r="AW48" s="1979">
        <f t="shared" si="38"/>
        <v>0</v>
      </c>
      <c r="AX48" s="197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9">
        <f t="shared" si="37"/>
        <v>0</v>
      </c>
      <c r="AW49" s="1979">
        <f t="shared" si="38"/>
        <v>0</v>
      </c>
      <c r="AX49" s="197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9">
        <f t="shared" si="37"/>
        <v>0</v>
      </c>
      <c r="AW50" s="1979">
        <f t="shared" si="38"/>
        <v>0</v>
      </c>
      <c r="AX50" s="197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9">
        <f t="shared" si="37"/>
        <v>0</v>
      </c>
      <c r="AW51" s="1979">
        <f t="shared" si="38"/>
        <v>0</v>
      </c>
      <c r="AX51" s="197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9">
        <f t="shared" si="37"/>
        <v>0</v>
      </c>
      <c r="AW52" s="1979">
        <f t="shared" si="38"/>
        <v>0</v>
      </c>
      <c r="AX52" s="197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9">
        <f t="shared" si="37"/>
        <v>0</v>
      </c>
      <c r="AW53" s="1979">
        <f t="shared" si="38"/>
        <v>0</v>
      </c>
      <c r="AX53" s="197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9">
        <f t="shared" si="37"/>
        <v>0</v>
      </c>
      <c r="AW54" s="1979">
        <f t="shared" si="38"/>
        <v>0</v>
      </c>
      <c r="AX54" s="197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9">
        <f t="shared" si="37"/>
        <v>0</v>
      </c>
      <c r="AW55" s="1979">
        <f t="shared" si="38"/>
        <v>0</v>
      </c>
      <c r="AX55" s="197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9">
        <f t="shared" si="37"/>
        <v>0</v>
      </c>
      <c r="AW56" s="1979">
        <f t="shared" si="38"/>
        <v>0</v>
      </c>
      <c r="AX56" s="197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9">
        <f t="shared" si="37"/>
        <v>0</v>
      </c>
      <c r="AW57" s="1979">
        <f t="shared" si="38"/>
        <v>0</v>
      </c>
      <c r="AX57" s="197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9">
        <f t="shared" si="37"/>
        <v>0</v>
      </c>
      <c r="AW58" s="1979">
        <f t="shared" si="38"/>
        <v>0</v>
      </c>
      <c r="AX58" s="197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9">
        <f t="shared" si="37"/>
        <v>0</v>
      </c>
      <c r="AW59" s="1979">
        <f t="shared" si="38"/>
        <v>0</v>
      </c>
      <c r="AX59" s="197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9">
        <f t="shared" si="37"/>
        <v>0</v>
      </c>
      <c r="AW60" s="1979">
        <f t="shared" si="38"/>
        <v>0</v>
      </c>
      <c r="AX60" s="197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9">
        <f t="shared" si="37"/>
        <v>0</v>
      </c>
      <c r="AW61" s="1979">
        <f t="shared" si="38"/>
        <v>0</v>
      </c>
      <c r="AX61" s="197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9">
        <f t="shared" si="37"/>
        <v>0</v>
      </c>
      <c r="AW62" s="1979">
        <f t="shared" si="38"/>
        <v>0</v>
      </c>
      <c r="AX62" s="197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9">
        <f t="shared" si="37"/>
        <v>0</v>
      </c>
      <c r="AW63" s="1979">
        <f t="shared" si="38"/>
        <v>0</v>
      </c>
      <c r="AX63" s="197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9">
        <f t="shared" si="37"/>
        <v>0</v>
      </c>
      <c r="AW64" s="1979">
        <f t="shared" si="38"/>
        <v>0</v>
      </c>
      <c r="AX64" s="197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9">
        <f t="shared" si="37"/>
        <v>0</v>
      </c>
      <c r="AW65" s="1979">
        <f t="shared" si="38"/>
        <v>0</v>
      </c>
      <c r="AX65" s="197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9">
        <f t="shared" si="37"/>
        <v>0</v>
      </c>
      <c r="AW66" s="1979">
        <f t="shared" si="38"/>
        <v>0</v>
      </c>
      <c r="AX66" s="197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9">
        <f t="shared" si="37"/>
        <v>0</v>
      </c>
      <c r="AW67" s="1979">
        <f t="shared" si="38"/>
        <v>0</v>
      </c>
      <c r="AX67" s="197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9">
        <f t="shared" si="37"/>
        <v>0</v>
      </c>
      <c r="AW68" s="1979">
        <f t="shared" si="38"/>
        <v>0</v>
      </c>
      <c r="AX68" s="197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9">
        <f t="shared" si="37"/>
        <v>0</v>
      </c>
      <c r="AW69" s="1979">
        <f t="shared" si="38"/>
        <v>0</v>
      </c>
      <c r="AX69" s="197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9">
        <f t="shared" si="37"/>
        <v>0</v>
      </c>
      <c r="AW70" s="1979">
        <f t="shared" si="38"/>
        <v>0</v>
      </c>
      <c r="AX70" s="197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9">
        <f t="shared" si="37"/>
        <v>0</v>
      </c>
      <c r="AW71" s="1979">
        <f t="shared" si="38"/>
        <v>0</v>
      </c>
      <c r="AX71" s="197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9">
        <f t="shared" si="37"/>
        <v>0</v>
      </c>
      <c r="AW72" s="1979">
        <f t="shared" si="38"/>
        <v>0</v>
      </c>
      <c r="AX72" s="197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9">
        <f t="shared" si="37"/>
        <v>0</v>
      </c>
      <c r="AW73" s="1979">
        <f t="shared" si="38"/>
        <v>0</v>
      </c>
      <c r="AX73" s="197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9">
        <f t="shared" si="37"/>
        <v>0</v>
      </c>
      <c r="AW74" s="1979">
        <f t="shared" si="38"/>
        <v>0</v>
      </c>
      <c r="AX74" s="197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9">
        <f t="shared" si="37"/>
        <v>0</v>
      </c>
      <c r="AW75" s="1979">
        <f t="shared" si="38"/>
        <v>0</v>
      </c>
      <c r="AX75" s="197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9">
        <f t="shared" si="37"/>
        <v>0</v>
      </c>
      <c r="AW76" s="1979">
        <f t="shared" si="38"/>
        <v>0</v>
      </c>
      <c r="AX76" s="197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9">
        <f t="shared" si="37"/>
        <v>0</v>
      </c>
      <c r="AW77" s="1979">
        <f t="shared" si="38"/>
        <v>0</v>
      </c>
      <c r="AX77" s="197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9">
        <f t="shared" si="37"/>
        <v>0</v>
      </c>
      <c r="AW78" s="1979">
        <f t="shared" si="38"/>
        <v>0</v>
      </c>
      <c r="AX78" s="197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9">
        <f t="shared" si="37"/>
        <v>0</v>
      </c>
      <c r="AW79" s="1979">
        <f t="shared" si="38"/>
        <v>0</v>
      </c>
      <c r="AX79" s="197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9">
        <f t="shared" si="37"/>
        <v>0</v>
      </c>
      <c r="AW80" s="1979">
        <f t="shared" si="38"/>
        <v>0</v>
      </c>
      <c r="AX80" s="197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9">
        <f t="shared" si="37"/>
        <v>0</v>
      </c>
      <c r="AW81" s="1979">
        <f t="shared" si="38"/>
        <v>0</v>
      </c>
      <c r="AX81" s="197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9">
        <f t="shared" si="37"/>
        <v>0</v>
      </c>
      <c r="AW82" s="1979">
        <f t="shared" si="38"/>
        <v>0</v>
      </c>
      <c r="AX82" s="197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9">
        <f t="shared" si="37"/>
        <v>0</v>
      </c>
      <c r="AW83" s="1979">
        <f t="shared" si="38"/>
        <v>0</v>
      </c>
      <c r="AX83" s="197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9">
        <f t="shared" si="37"/>
        <v>0</v>
      </c>
      <c r="AW84" s="1979">
        <f t="shared" si="38"/>
        <v>0</v>
      </c>
      <c r="AX84" s="197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9">
        <f t="shared" si="37"/>
        <v>0</v>
      </c>
      <c r="AW85" s="1979">
        <f t="shared" si="38"/>
        <v>0</v>
      </c>
      <c r="AX85" s="197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9">
        <f t="shared" si="37"/>
        <v>0</v>
      </c>
      <c r="AW86" s="1979">
        <f t="shared" si="38"/>
        <v>0</v>
      </c>
      <c r="AX86" s="197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9">
        <f t="shared" si="37"/>
        <v>0</v>
      </c>
      <c r="AW87" s="1979">
        <f t="shared" si="38"/>
        <v>0</v>
      </c>
      <c r="AX87" s="197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9">
        <f t="shared" si="37"/>
        <v>0</v>
      </c>
      <c r="AW88" s="1979">
        <f t="shared" si="38"/>
        <v>0</v>
      </c>
      <c r="AX88" s="197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9">
        <f t="shared" si="37"/>
        <v>0</v>
      </c>
      <c r="AW89" s="1979">
        <f t="shared" si="38"/>
        <v>0</v>
      </c>
      <c r="AX89" s="197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9">
        <f t="shared" si="37"/>
        <v>0</v>
      </c>
      <c r="AW90" s="1979">
        <f t="shared" si="38"/>
        <v>0</v>
      </c>
      <c r="AX90" s="197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9">
        <f t="shared" si="37"/>
        <v>0</v>
      </c>
      <c r="AW91" s="1979">
        <f t="shared" si="38"/>
        <v>0</v>
      </c>
      <c r="AX91" s="197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9">
        <f t="shared" si="37"/>
        <v>0</v>
      </c>
      <c r="AW92" s="1979">
        <f t="shared" si="38"/>
        <v>0</v>
      </c>
      <c r="AX92" s="197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9">
        <f t="shared" si="37"/>
        <v>0</v>
      </c>
      <c r="AW93" s="1979">
        <f t="shared" si="38"/>
        <v>0</v>
      </c>
      <c r="AX93" s="197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9">
        <f t="shared" si="37"/>
        <v>0</v>
      </c>
      <c r="AW94" s="1979">
        <f t="shared" si="38"/>
        <v>0</v>
      </c>
      <c r="AX94" s="197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9">
        <f t="shared" si="37"/>
        <v>0</v>
      </c>
      <c r="AW95" s="1979">
        <f t="shared" si="38"/>
        <v>0</v>
      </c>
      <c r="AX95" s="197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9">
        <f t="shared" si="37"/>
        <v>0</v>
      </c>
      <c r="AW96" s="1979">
        <f t="shared" si="38"/>
        <v>0</v>
      </c>
      <c r="AX96" s="197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9">
        <f t="shared" si="37"/>
        <v>0</v>
      </c>
      <c r="AW97" s="1979">
        <f t="shared" si="38"/>
        <v>0</v>
      </c>
      <c r="AX97" s="197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9">
        <f t="shared" si="37"/>
        <v>0</v>
      </c>
      <c r="AW98" s="1979">
        <f t="shared" si="38"/>
        <v>0</v>
      </c>
      <c r="AX98" s="197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9">
        <f t="shared" si="37"/>
        <v>0</v>
      </c>
      <c r="AW99" s="1979">
        <f t="shared" si="38"/>
        <v>0</v>
      </c>
      <c r="AX99" s="197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9">
        <f t="shared" si="37"/>
        <v>0</v>
      </c>
      <c r="AW100" s="1979">
        <f t="shared" si="38"/>
        <v>0</v>
      </c>
      <c r="AX100" s="197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9">
        <f t="shared" si="37"/>
        <v>0</v>
      </c>
      <c r="AW101" s="1979">
        <f t="shared" si="38"/>
        <v>0</v>
      </c>
      <c r="AX101" s="197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9">
        <f t="shared" si="37"/>
        <v>0</v>
      </c>
      <c r="AW102" s="1979">
        <f t="shared" si="38"/>
        <v>0</v>
      </c>
      <c r="AX102" s="197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9">
        <f t="shared" si="37"/>
        <v>0</v>
      </c>
      <c r="AW103" s="1979">
        <f t="shared" si="38"/>
        <v>0</v>
      </c>
      <c r="AX103" s="197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9">
        <f t="shared" si="37"/>
        <v>0</v>
      </c>
      <c r="AW104" s="1979">
        <f t="shared" si="38"/>
        <v>0</v>
      </c>
      <c r="AX104" s="197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9">
        <f t="shared" si="37"/>
        <v>0</v>
      </c>
      <c r="AW105" s="1979">
        <f t="shared" si="38"/>
        <v>0</v>
      </c>
      <c r="AX105" s="197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9">
        <f t="shared" si="37"/>
        <v>0</v>
      </c>
      <c r="AW106" s="1979">
        <f t="shared" si="38"/>
        <v>0</v>
      </c>
      <c r="AX106" s="197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9">
        <f t="shared" si="37"/>
        <v>0</v>
      </c>
      <c r="AW107" s="1979">
        <f t="shared" si="38"/>
        <v>0</v>
      </c>
      <c r="AX107" s="197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9">
        <f t="shared" si="37"/>
        <v>0</v>
      </c>
      <c r="AW108" s="1979">
        <f t="shared" si="38"/>
        <v>0</v>
      </c>
      <c r="AX108" s="197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9">
        <f t="shared" si="37"/>
        <v>0</v>
      </c>
      <c r="AW109" s="1979">
        <f t="shared" si="38"/>
        <v>0</v>
      </c>
      <c r="AX109" s="197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9">
        <f t="shared" si="37"/>
        <v>0</v>
      </c>
      <c r="AW110" s="1979">
        <f t="shared" si="38"/>
        <v>0</v>
      </c>
      <c r="AX110" s="197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9">
        <f t="shared" si="37"/>
        <v>0</v>
      </c>
      <c r="AW111" s="1979">
        <f t="shared" si="38"/>
        <v>0</v>
      </c>
      <c r="AX111" s="197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9">
        <f t="shared" si="37"/>
        <v>0</v>
      </c>
      <c r="AW112" s="1979">
        <f t="shared" si="38"/>
        <v>0</v>
      </c>
      <c r="AX112" s="197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9">
        <f t="shared" ref="AV113:AV144" si="88">A113</f>
        <v>0</v>
      </c>
      <c r="AW113" s="1979">
        <f t="shared" ref="AW113:AW144" si="89">B113</f>
        <v>0</v>
      </c>
      <c r="AX113" s="197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9">
        <f t="shared" si="88"/>
        <v>0</v>
      </c>
      <c r="AW114" s="1979">
        <f t="shared" si="89"/>
        <v>0</v>
      </c>
      <c r="AX114" s="197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9">
        <f t="shared" si="88"/>
        <v>0</v>
      </c>
      <c r="AW115" s="1979">
        <f t="shared" si="89"/>
        <v>0</v>
      </c>
      <c r="AX115" s="197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9">
        <f t="shared" si="88"/>
        <v>0</v>
      </c>
      <c r="AW116" s="1979">
        <f t="shared" si="89"/>
        <v>0</v>
      </c>
      <c r="AX116" s="197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9">
        <f t="shared" si="88"/>
        <v>0</v>
      </c>
      <c r="AW117" s="1979">
        <f t="shared" si="89"/>
        <v>0</v>
      </c>
      <c r="AX117" s="197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9">
        <f t="shared" si="88"/>
        <v>0</v>
      </c>
      <c r="AW118" s="1979">
        <f t="shared" si="89"/>
        <v>0</v>
      </c>
      <c r="AX118" s="197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9">
        <f t="shared" si="88"/>
        <v>0</v>
      </c>
      <c r="AW119" s="1979">
        <f t="shared" si="89"/>
        <v>0</v>
      </c>
      <c r="AX119" s="197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9">
        <f t="shared" si="88"/>
        <v>0</v>
      </c>
      <c r="AW120" s="1979">
        <f t="shared" si="89"/>
        <v>0</v>
      </c>
      <c r="AX120" s="197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9">
        <f t="shared" si="88"/>
        <v>0</v>
      </c>
      <c r="AW121" s="1979">
        <f t="shared" si="89"/>
        <v>0</v>
      </c>
      <c r="AX121" s="197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9">
        <f t="shared" si="88"/>
        <v>0</v>
      </c>
      <c r="AW122" s="1979">
        <f t="shared" si="89"/>
        <v>0</v>
      </c>
      <c r="AX122" s="197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9">
        <f t="shared" si="88"/>
        <v>0</v>
      </c>
      <c r="AW123" s="1979">
        <f t="shared" si="89"/>
        <v>0</v>
      </c>
      <c r="AX123" s="197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9">
        <f t="shared" si="88"/>
        <v>0</v>
      </c>
      <c r="AW124" s="1979">
        <f t="shared" si="89"/>
        <v>0</v>
      </c>
      <c r="AX124" s="197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9">
        <f t="shared" si="88"/>
        <v>0</v>
      </c>
      <c r="AW125" s="1979">
        <f t="shared" si="89"/>
        <v>0</v>
      </c>
      <c r="AX125" s="197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9">
        <f t="shared" si="88"/>
        <v>0</v>
      </c>
      <c r="AW126" s="1979">
        <f t="shared" si="89"/>
        <v>0</v>
      </c>
      <c r="AX126" s="197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9">
        <f t="shared" si="88"/>
        <v>0</v>
      </c>
      <c r="AW127" s="1979">
        <f t="shared" si="89"/>
        <v>0</v>
      </c>
      <c r="AX127" s="197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9">
        <f t="shared" si="88"/>
        <v>0</v>
      </c>
      <c r="AW128" s="1979">
        <f t="shared" si="89"/>
        <v>0</v>
      </c>
      <c r="AX128" s="197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9">
        <f t="shared" si="88"/>
        <v>0</v>
      </c>
      <c r="AW129" s="1979">
        <f t="shared" si="89"/>
        <v>0</v>
      </c>
      <c r="AX129" s="197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9">
        <f t="shared" si="88"/>
        <v>0</v>
      </c>
      <c r="AW130" s="1979">
        <f t="shared" si="89"/>
        <v>0</v>
      </c>
      <c r="AX130" s="197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9">
        <f t="shared" si="88"/>
        <v>0</v>
      </c>
      <c r="AW131" s="1979">
        <f t="shared" si="89"/>
        <v>0</v>
      </c>
      <c r="AX131" s="197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9">
        <f t="shared" si="88"/>
        <v>0</v>
      </c>
      <c r="AW132" s="1979">
        <f t="shared" si="89"/>
        <v>0</v>
      </c>
      <c r="AX132" s="197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9">
        <f t="shared" si="88"/>
        <v>0</v>
      </c>
      <c r="AW133" s="1979">
        <f t="shared" si="89"/>
        <v>0</v>
      </c>
      <c r="AX133" s="197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9">
        <f t="shared" si="88"/>
        <v>0</v>
      </c>
      <c r="AW134" s="1979">
        <f t="shared" si="89"/>
        <v>0</v>
      </c>
      <c r="AX134" s="197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9">
        <f t="shared" si="88"/>
        <v>0</v>
      </c>
      <c r="AW135" s="1979">
        <f t="shared" si="89"/>
        <v>0</v>
      </c>
      <c r="AX135" s="197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9">
        <f t="shared" si="88"/>
        <v>0</v>
      </c>
      <c r="AW136" s="1979">
        <f t="shared" si="89"/>
        <v>0</v>
      </c>
      <c r="AX136" s="197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9">
        <f t="shared" si="88"/>
        <v>0</v>
      </c>
      <c r="AW137" s="1979">
        <f t="shared" si="89"/>
        <v>0</v>
      </c>
      <c r="AX137" s="197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9">
        <f t="shared" si="88"/>
        <v>0</v>
      </c>
      <c r="AW138" s="1979">
        <f t="shared" si="89"/>
        <v>0</v>
      </c>
      <c r="AX138" s="197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9">
        <f t="shared" si="88"/>
        <v>0</v>
      </c>
      <c r="AW139" s="1979">
        <f t="shared" si="89"/>
        <v>0</v>
      </c>
      <c r="AX139" s="197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9">
        <f t="shared" si="88"/>
        <v>0</v>
      </c>
      <c r="AW140" s="1979">
        <f t="shared" si="89"/>
        <v>0</v>
      </c>
      <c r="AX140" s="197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9">
        <f t="shared" si="88"/>
        <v>0</v>
      </c>
      <c r="AW141" s="1979">
        <f t="shared" si="89"/>
        <v>0</v>
      </c>
      <c r="AX141" s="197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9">
        <f t="shared" si="88"/>
        <v>0</v>
      </c>
      <c r="AW142" s="1979">
        <f t="shared" si="89"/>
        <v>0</v>
      </c>
      <c r="AX142" s="197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9">
        <f t="shared" si="88"/>
        <v>0</v>
      </c>
      <c r="AW143" s="1979">
        <f t="shared" si="89"/>
        <v>0</v>
      </c>
      <c r="AX143" s="197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9">
        <f t="shared" si="88"/>
        <v>0</v>
      </c>
      <c r="AW144" s="1979">
        <f t="shared" si="89"/>
        <v>0</v>
      </c>
      <c r="AX144" s="197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9">
        <f t="shared" ref="AV145:AV176" si="117">A145</f>
        <v>0</v>
      </c>
      <c r="AW145" s="1979">
        <f t="shared" ref="AW145:AW176" si="118">B145</f>
        <v>0</v>
      </c>
      <c r="AX145" s="197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9">
        <f t="shared" si="117"/>
        <v>0</v>
      </c>
      <c r="AW146" s="1979">
        <f t="shared" si="118"/>
        <v>0</v>
      </c>
      <c r="AX146" s="197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9">
        <f t="shared" si="117"/>
        <v>0</v>
      </c>
      <c r="AW147" s="1979">
        <f t="shared" si="118"/>
        <v>0</v>
      </c>
      <c r="AX147" s="197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9">
        <f t="shared" si="117"/>
        <v>0</v>
      </c>
      <c r="AW148" s="1979">
        <f t="shared" si="118"/>
        <v>0</v>
      </c>
      <c r="AX148" s="197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9">
        <f t="shared" si="117"/>
        <v>0</v>
      </c>
      <c r="AW149" s="1979">
        <f t="shared" si="118"/>
        <v>0</v>
      </c>
      <c r="AX149" s="197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9">
        <f t="shared" si="117"/>
        <v>0</v>
      </c>
      <c r="AW150" s="1979">
        <f t="shared" si="118"/>
        <v>0</v>
      </c>
      <c r="AX150" s="197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9">
        <f t="shared" si="117"/>
        <v>0</v>
      </c>
      <c r="AW151" s="1979">
        <f t="shared" si="118"/>
        <v>0</v>
      </c>
      <c r="AX151" s="197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9">
        <f t="shared" si="117"/>
        <v>0</v>
      </c>
      <c r="AW152" s="1979">
        <f t="shared" si="118"/>
        <v>0</v>
      </c>
      <c r="AX152" s="197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9">
        <f t="shared" si="117"/>
        <v>0</v>
      </c>
      <c r="AW153" s="1979">
        <f t="shared" si="118"/>
        <v>0</v>
      </c>
      <c r="AX153" s="197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9">
        <f t="shared" si="117"/>
        <v>0</v>
      </c>
      <c r="AW154" s="1979">
        <f t="shared" si="118"/>
        <v>0</v>
      </c>
      <c r="AX154" s="197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9">
        <f t="shared" si="117"/>
        <v>0</v>
      </c>
      <c r="AW155" s="1979">
        <f t="shared" si="118"/>
        <v>0</v>
      </c>
      <c r="AX155" s="197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9">
        <f t="shared" si="117"/>
        <v>0</v>
      </c>
      <c r="AW156" s="1979">
        <f t="shared" si="118"/>
        <v>0</v>
      </c>
      <c r="AX156" s="197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9">
        <f t="shared" si="117"/>
        <v>0</v>
      </c>
      <c r="AW157" s="1979">
        <f t="shared" si="118"/>
        <v>0</v>
      </c>
      <c r="AX157" s="197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9">
        <f t="shared" si="117"/>
        <v>0</v>
      </c>
      <c r="AW158" s="1979">
        <f t="shared" si="118"/>
        <v>0</v>
      </c>
      <c r="AX158" s="197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9">
        <f t="shared" si="117"/>
        <v>0</v>
      </c>
      <c r="AW159" s="1979">
        <f t="shared" si="118"/>
        <v>0</v>
      </c>
      <c r="AX159" s="197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9">
        <f t="shared" si="117"/>
        <v>0</v>
      </c>
      <c r="AW160" s="1979">
        <f t="shared" si="118"/>
        <v>0</v>
      </c>
      <c r="AX160" s="197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9">
        <f t="shared" si="117"/>
        <v>0</v>
      </c>
      <c r="AW161" s="1979">
        <f t="shared" si="118"/>
        <v>0</v>
      </c>
      <c r="AX161" s="197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9">
        <f t="shared" si="117"/>
        <v>0</v>
      </c>
      <c r="AW162" s="1979">
        <f t="shared" si="118"/>
        <v>0</v>
      </c>
      <c r="AX162" s="197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9">
        <f t="shared" si="117"/>
        <v>0</v>
      </c>
      <c r="AW163" s="1979">
        <f t="shared" si="118"/>
        <v>0</v>
      </c>
      <c r="AX163" s="197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9">
        <f t="shared" si="117"/>
        <v>0</v>
      </c>
      <c r="AW164" s="1979">
        <f t="shared" si="118"/>
        <v>0</v>
      </c>
      <c r="AX164" s="197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9">
        <f t="shared" si="117"/>
        <v>0</v>
      </c>
      <c r="AW165" s="1979">
        <f t="shared" si="118"/>
        <v>0</v>
      </c>
      <c r="AX165" s="197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9">
        <f t="shared" si="117"/>
        <v>0</v>
      </c>
      <c r="AW166" s="1979">
        <f t="shared" si="118"/>
        <v>0</v>
      </c>
      <c r="AX166" s="197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9">
        <f t="shared" si="117"/>
        <v>0</v>
      </c>
      <c r="AW167" s="1979">
        <f t="shared" si="118"/>
        <v>0</v>
      </c>
      <c r="AX167" s="197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9">
        <f t="shared" si="117"/>
        <v>0</v>
      </c>
      <c r="AW168" s="1979">
        <f t="shared" si="118"/>
        <v>0</v>
      </c>
      <c r="AX168" s="197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9">
        <f t="shared" si="117"/>
        <v>0</v>
      </c>
      <c r="AW169" s="1979">
        <f t="shared" si="118"/>
        <v>0</v>
      </c>
      <c r="AX169" s="197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9">
        <f t="shared" si="117"/>
        <v>0</v>
      </c>
      <c r="AW170" s="1979">
        <f t="shared" si="118"/>
        <v>0</v>
      </c>
      <c r="AX170" s="197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9">
        <f t="shared" si="117"/>
        <v>0</v>
      </c>
      <c r="AW171" s="1979">
        <f t="shared" si="118"/>
        <v>0</v>
      </c>
      <c r="AX171" s="197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9">
        <f t="shared" si="117"/>
        <v>0</v>
      </c>
      <c r="AW172" s="1979">
        <f t="shared" si="118"/>
        <v>0</v>
      </c>
      <c r="AX172" s="197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9">
        <f t="shared" si="117"/>
        <v>0</v>
      </c>
      <c r="AW173" s="1979">
        <f t="shared" si="118"/>
        <v>0</v>
      </c>
      <c r="AX173" s="197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9">
        <f t="shared" si="117"/>
        <v>0</v>
      </c>
      <c r="AW174" s="1979">
        <f t="shared" si="118"/>
        <v>0</v>
      </c>
      <c r="AX174" s="197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9">
        <f t="shared" si="117"/>
        <v>0</v>
      </c>
      <c r="AW175" s="1979">
        <f t="shared" si="118"/>
        <v>0</v>
      </c>
      <c r="AX175" s="197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9">
        <f t="shared" si="117"/>
        <v>0</v>
      </c>
      <c r="AW176" s="1979">
        <f t="shared" si="118"/>
        <v>0</v>
      </c>
      <c r="AX176" s="197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9">
        <f t="shared" ref="AV177:AV204" si="146">A177</f>
        <v>0</v>
      </c>
      <c r="AW177" s="1979">
        <f t="shared" ref="AW177:AW204" si="147">B177</f>
        <v>0</v>
      </c>
      <c r="AX177" s="197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9">
        <f t="shared" si="146"/>
        <v>0</v>
      </c>
      <c r="AW178" s="1979">
        <f t="shared" si="147"/>
        <v>0</v>
      </c>
      <c r="AX178" s="197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9">
        <f t="shared" si="146"/>
        <v>0</v>
      </c>
      <c r="AW179" s="1979">
        <f t="shared" si="147"/>
        <v>0</v>
      </c>
      <c r="AX179" s="197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9">
        <f t="shared" si="146"/>
        <v>0</v>
      </c>
      <c r="AW180" s="1979">
        <f t="shared" si="147"/>
        <v>0</v>
      </c>
      <c r="AX180" s="197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9">
        <f t="shared" si="146"/>
        <v>0</v>
      </c>
      <c r="AW181" s="1979">
        <f t="shared" si="147"/>
        <v>0</v>
      </c>
      <c r="AX181" s="197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9">
        <f t="shared" si="146"/>
        <v>0</v>
      </c>
      <c r="AW182" s="1979">
        <f t="shared" si="147"/>
        <v>0</v>
      </c>
      <c r="AX182" s="197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9">
        <f t="shared" si="146"/>
        <v>0</v>
      </c>
      <c r="AW183" s="1979">
        <f t="shared" si="147"/>
        <v>0</v>
      </c>
      <c r="AX183" s="197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9">
        <f t="shared" si="146"/>
        <v>0</v>
      </c>
      <c r="AW184" s="1979">
        <f t="shared" si="147"/>
        <v>0</v>
      </c>
      <c r="AX184" s="197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9">
        <f t="shared" si="146"/>
        <v>0</v>
      </c>
      <c r="AW185" s="1979">
        <f t="shared" si="147"/>
        <v>0</v>
      </c>
      <c r="AX185" s="197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9">
        <f t="shared" si="146"/>
        <v>0</v>
      </c>
      <c r="AW186" s="1979">
        <f t="shared" si="147"/>
        <v>0</v>
      </c>
      <c r="AX186" s="197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9">
        <f t="shared" si="146"/>
        <v>0</v>
      </c>
      <c r="AW187" s="1979">
        <f t="shared" si="147"/>
        <v>0</v>
      </c>
      <c r="AX187" s="197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9">
        <f t="shared" si="146"/>
        <v>0</v>
      </c>
      <c r="AW188" s="1979">
        <f t="shared" si="147"/>
        <v>0</v>
      </c>
      <c r="AX188" s="197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9">
        <f t="shared" si="146"/>
        <v>0</v>
      </c>
      <c r="AW189" s="1979">
        <f t="shared" si="147"/>
        <v>0</v>
      </c>
      <c r="AX189" s="197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9">
        <f t="shared" si="146"/>
        <v>0</v>
      </c>
      <c r="AW190" s="1979">
        <f t="shared" si="147"/>
        <v>0</v>
      </c>
      <c r="AX190" s="197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9">
        <f t="shared" si="146"/>
        <v>0</v>
      </c>
      <c r="AW191" s="1979">
        <f t="shared" si="147"/>
        <v>0</v>
      </c>
      <c r="AX191" s="197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9">
        <f t="shared" si="146"/>
        <v>0</v>
      </c>
      <c r="AW192" s="1979">
        <f t="shared" si="147"/>
        <v>0</v>
      </c>
      <c r="AX192" s="197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9">
        <f t="shared" si="146"/>
        <v>0</v>
      </c>
      <c r="AW193" s="1979">
        <f t="shared" si="147"/>
        <v>0</v>
      </c>
      <c r="AX193" s="197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9">
        <f t="shared" si="146"/>
        <v>0</v>
      </c>
      <c r="AW194" s="1979">
        <f t="shared" si="147"/>
        <v>0</v>
      </c>
      <c r="AX194" s="197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9">
        <f t="shared" si="146"/>
        <v>0</v>
      </c>
      <c r="AW195" s="1979">
        <f t="shared" si="147"/>
        <v>0</v>
      </c>
      <c r="AX195" s="197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9">
        <f t="shared" si="146"/>
        <v>0</v>
      </c>
      <c r="AW196" s="1979">
        <f t="shared" si="147"/>
        <v>0</v>
      </c>
      <c r="AX196" s="197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9">
        <f t="shared" si="146"/>
        <v>0</v>
      </c>
      <c r="AW197" s="1979">
        <f t="shared" si="147"/>
        <v>0</v>
      </c>
      <c r="AX197" s="197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9">
        <f t="shared" si="146"/>
        <v>0</v>
      </c>
      <c r="AW198" s="1979">
        <f t="shared" si="147"/>
        <v>0</v>
      </c>
      <c r="AX198" s="197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9">
        <f t="shared" si="146"/>
        <v>0</v>
      </c>
      <c r="AW199" s="1979">
        <f t="shared" si="147"/>
        <v>0</v>
      </c>
      <c r="AX199" s="197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9">
        <f t="shared" si="146"/>
        <v>0</v>
      </c>
      <c r="AW200" s="1979">
        <f t="shared" si="147"/>
        <v>0</v>
      </c>
      <c r="AX200" s="197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9">
        <f t="shared" si="146"/>
        <v>0</v>
      </c>
      <c r="AW201" s="1979">
        <f t="shared" si="147"/>
        <v>0</v>
      </c>
      <c r="AX201" s="197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9">
        <f t="shared" si="146"/>
        <v>0</v>
      </c>
      <c r="AW202" s="1979">
        <f t="shared" si="147"/>
        <v>0</v>
      </c>
      <c r="AX202" s="197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9">
        <f t="shared" si="146"/>
        <v>0</v>
      </c>
      <c r="AW203" s="1979">
        <f t="shared" si="147"/>
        <v>0</v>
      </c>
      <c r="AX203" s="197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9">
        <f t="shared" si="146"/>
        <v>0</v>
      </c>
      <c r="AW204" s="1979">
        <f t="shared" si="147"/>
        <v>0</v>
      </c>
      <c r="AX204" s="197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9">
        <f t="shared" ref="AV205:AV296" si="153">A205</f>
        <v>0</v>
      </c>
      <c r="AW205" s="1979">
        <f t="shared" ref="AW205:AW296" si="154">B205</f>
        <v>0</v>
      </c>
      <c r="AX205" s="197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9">
        <f t="shared" si="153"/>
        <v>0</v>
      </c>
      <c r="AW206" s="1979">
        <f t="shared" si="154"/>
        <v>0</v>
      </c>
      <c r="AX206" s="197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9">
        <f t="shared" si="153"/>
        <v>0</v>
      </c>
      <c r="AW207" s="1979">
        <f t="shared" si="154"/>
        <v>0</v>
      </c>
      <c r="AX207" s="197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9">
        <f t="shared" si="153"/>
        <v>0</v>
      </c>
      <c r="AW208" s="1979">
        <f t="shared" si="154"/>
        <v>0</v>
      </c>
      <c r="AX208" s="197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9">
        <f t="shared" si="153"/>
        <v>0</v>
      </c>
      <c r="AW209" s="1979">
        <f t="shared" si="154"/>
        <v>0</v>
      </c>
      <c r="AX209" s="197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9">
        <f t="shared" si="153"/>
        <v>0</v>
      </c>
      <c r="AW210" s="1979">
        <f t="shared" si="154"/>
        <v>0</v>
      </c>
      <c r="AX210" s="197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9">
        <f t="shared" si="153"/>
        <v>0</v>
      </c>
      <c r="AW211" s="1979">
        <f t="shared" si="154"/>
        <v>0</v>
      </c>
      <c r="AX211" s="197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9">
        <f t="shared" si="153"/>
        <v>0</v>
      </c>
      <c r="AW212" s="1979">
        <f t="shared" si="154"/>
        <v>0</v>
      </c>
      <c r="AX212" s="197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9">
        <f t="shared" si="153"/>
        <v>0</v>
      </c>
      <c r="AW213" s="1979">
        <f t="shared" si="154"/>
        <v>0</v>
      </c>
      <c r="AX213" s="197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9">
        <f t="shared" si="153"/>
        <v>0</v>
      </c>
      <c r="AW214" s="1979">
        <f t="shared" si="154"/>
        <v>0</v>
      </c>
      <c r="AX214" s="197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9">
        <f t="shared" si="153"/>
        <v>0</v>
      </c>
      <c r="AW215" s="1979">
        <f t="shared" si="154"/>
        <v>0</v>
      </c>
      <c r="AX215" s="197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9">
        <f t="shared" si="153"/>
        <v>0</v>
      </c>
      <c r="AW216" s="1979">
        <f t="shared" si="154"/>
        <v>0</v>
      </c>
      <c r="AX216" s="197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9">
        <f t="shared" si="153"/>
        <v>0</v>
      </c>
      <c r="AW217" s="1979">
        <f t="shared" si="154"/>
        <v>0</v>
      </c>
      <c r="AX217" s="197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9">
        <f t="shared" si="153"/>
        <v>0</v>
      </c>
      <c r="AW218" s="1979">
        <f t="shared" si="154"/>
        <v>0</v>
      </c>
      <c r="AX218" s="197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9">
        <f t="shared" si="153"/>
        <v>0</v>
      </c>
      <c r="AW219" s="1979">
        <f t="shared" si="154"/>
        <v>0</v>
      </c>
      <c r="AX219" s="197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9">
        <f t="shared" si="153"/>
        <v>0</v>
      </c>
      <c r="AW220" s="1979">
        <f t="shared" si="154"/>
        <v>0</v>
      </c>
      <c r="AX220" s="197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9">
        <f t="shared" si="153"/>
        <v>0</v>
      </c>
      <c r="AW221" s="1979">
        <f t="shared" si="154"/>
        <v>0</v>
      </c>
      <c r="AX221" s="197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9">
        <f t="shared" si="153"/>
        <v>0</v>
      </c>
      <c r="AW222" s="1979">
        <f t="shared" si="154"/>
        <v>0</v>
      </c>
      <c r="AX222" s="197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9">
        <f t="shared" si="153"/>
        <v>0</v>
      </c>
      <c r="AW223" s="1979">
        <f t="shared" si="154"/>
        <v>0</v>
      </c>
      <c r="AX223" s="197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9">
        <f t="shared" si="153"/>
        <v>0</v>
      </c>
      <c r="AW224" s="1979">
        <f t="shared" si="154"/>
        <v>0</v>
      </c>
      <c r="AX224" s="197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9">
        <f t="shared" si="153"/>
        <v>0</v>
      </c>
      <c r="AW225" s="1979">
        <f t="shared" si="154"/>
        <v>0</v>
      </c>
      <c r="AX225" s="197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9">
        <f t="shared" si="153"/>
        <v>0</v>
      </c>
      <c r="AW226" s="1979">
        <f t="shared" si="154"/>
        <v>0</v>
      </c>
      <c r="AX226" s="197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9">
        <f t="shared" si="153"/>
        <v>0</v>
      </c>
      <c r="AW227" s="1979">
        <f t="shared" si="154"/>
        <v>0</v>
      </c>
      <c r="AX227" s="197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9">
        <f t="shared" si="153"/>
        <v>0</v>
      </c>
      <c r="AW228" s="1979">
        <f t="shared" si="154"/>
        <v>0</v>
      </c>
      <c r="AX228" s="197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9">
        <f t="shared" si="153"/>
        <v>0</v>
      </c>
      <c r="AW229" s="1979">
        <f t="shared" si="154"/>
        <v>0</v>
      </c>
      <c r="AX229" s="197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9">
        <f t="shared" si="153"/>
        <v>0</v>
      </c>
      <c r="AW230" s="1979">
        <f t="shared" si="154"/>
        <v>0</v>
      </c>
      <c r="AX230" s="197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9">
        <f t="shared" si="153"/>
        <v>0</v>
      </c>
      <c r="AW231" s="1979">
        <f t="shared" si="154"/>
        <v>0</v>
      </c>
      <c r="AX231" s="197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9">
        <f t="shared" si="153"/>
        <v>0</v>
      </c>
      <c r="AW232" s="1979">
        <f t="shared" si="154"/>
        <v>0</v>
      </c>
      <c r="AX232" s="197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9">
        <f t="shared" si="153"/>
        <v>0</v>
      </c>
      <c r="AW233" s="1979">
        <f t="shared" si="154"/>
        <v>0</v>
      </c>
      <c r="AX233" s="197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9">
        <f t="shared" si="153"/>
        <v>0</v>
      </c>
      <c r="AW234" s="1979">
        <f t="shared" si="154"/>
        <v>0</v>
      </c>
      <c r="AX234" s="197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9">
        <f t="shared" si="153"/>
        <v>0</v>
      </c>
      <c r="AW235" s="1979">
        <f t="shared" si="154"/>
        <v>0</v>
      </c>
      <c r="AX235" s="197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9">
        <f t="shared" si="153"/>
        <v>0</v>
      </c>
      <c r="AW236" s="1979">
        <f t="shared" si="154"/>
        <v>0</v>
      </c>
      <c r="AX236" s="197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9">
        <f t="shared" si="153"/>
        <v>0</v>
      </c>
      <c r="AW237" s="1979">
        <f t="shared" si="154"/>
        <v>0</v>
      </c>
      <c r="AX237" s="197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9">
        <f t="shared" si="153"/>
        <v>0</v>
      </c>
      <c r="AW238" s="1979">
        <f t="shared" si="154"/>
        <v>0</v>
      </c>
      <c r="AX238" s="197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9">
        <f t="shared" si="153"/>
        <v>0</v>
      </c>
      <c r="AW239" s="1979">
        <f t="shared" si="154"/>
        <v>0</v>
      </c>
      <c r="AX239" s="197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9">
        <f t="shared" si="153"/>
        <v>0</v>
      </c>
      <c r="AW240" s="1979">
        <f t="shared" si="154"/>
        <v>0</v>
      </c>
      <c r="AX240" s="197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9">
        <f t="shared" si="153"/>
        <v>0</v>
      </c>
      <c r="AW241" s="1979">
        <f t="shared" si="154"/>
        <v>0</v>
      </c>
      <c r="AX241" s="197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9">
        <f t="shared" si="153"/>
        <v>0</v>
      </c>
      <c r="AW242" s="1979">
        <f t="shared" si="154"/>
        <v>0</v>
      </c>
      <c r="AX242" s="197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9">
        <f t="shared" si="153"/>
        <v>0</v>
      </c>
      <c r="AW243" s="1979">
        <f t="shared" si="154"/>
        <v>0</v>
      </c>
      <c r="AX243" s="197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9">
        <f t="shared" si="153"/>
        <v>0</v>
      </c>
      <c r="AW244" s="1979">
        <f t="shared" si="154"/>
        <v>0</v>
      </c>
      <c r="AX244" s="197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9">
        <f t="shared" si="153"/>
        <v>0</v>
      </c>
      <c r="AW245" s="1979">
        <f t="shared" si="154"/>
        <v>0</v>
      </c>
      <c r="AX245" s="197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9">
        <f t="shared" si="153"/>
        <v>0</v>
      </c>
      <c r="AW246" s="1979">
        <f t="shared" si="154"/>
        <v>0</v>
      </c>
      <c r="AX246" s="197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9">
        <f t="shared" si="153"/>
        <v>0</v>
      </c>
      <c r="AW247" s="1979">
        <f t="shared" si="154"/>
        <v>0</v>
      </c>
      <c r="AX247" s="197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9">
        <f t="shared" si="153"/>
        <v>0</v>
      </c>
      <c r="AW248" s="1979">
        <f t="shared" si="154"/>
        <v>0</v>
      </c>
      <c r="AX248" s="197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9">
        <f t="shared" si="153"/>
        <v>0</v>
      </c>
      <c r="AW249" s="1979">
        <f t="shared" si="154"/>
        <v>0</v>
      </c>
      <c r="AX249" s="197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9">
        <f t="shared" si="153"/>
        <v>0</v>
      </c>
      <c r="AW250" s="1979">
        <f t="shared" si="154"/>
        <v>0</v>
      </c>
      <c r="AX250" s="197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9">
        <f t="shared" si="153"/>
        <v>0</v>
      </c>
      <c r="AW251" s="1979">
        <f t="shared" si="154"/>
        <v>0</v>
      </c>
      <c r="AX251" s="197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9">
        <f t="shared" si="153"/>
        <v>0</v>
      </c>
      <c r="AW252" s="1979">
        <f t="shared" si="154"/>
        <v>0</v>
      </c>
      <c r="AX252" s="197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9">
        <f t="shared" si="153"/>
        <v>0</v>
      </c>
      <c r="AW253" s="1979">
        <f t="shared" si="154"/>
        <v>0</v>
      </c>
      <c r="AX253" s="197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9">
        <f t="shared" si="153"/>
        <v>0</v>
      </c>
      <c r="AW254" s="1979">
        <f t="shared" si="154"/>
        <v>0</v>
      </c>
      <c r="AX254" s="197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9">
        <f t="shared" si="153"/>
        <v>0</v>
      </c>
      <c r="AW255" s="1979">
        <f t="shared" si="154"/>
        <v>0</v>
      </c>
      <c r="AX255" s="197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9">
        <f t="shared" si="153"/>
        <v>0</v>
      </c>
      <c r="AW256" s="1979">
        <f t="shared" si="154"/>
        <v>0</v>
      </c>
      <c r="AX256" s="197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9">
        <f t="shared" si="153"/>
        <v>0</v>
      </c>
      <c r="AW257" s="1979">
        <f t="shared" si="154"/>
        <v>0</v>
      </c>
      <c r="AX257" s="197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9">
        <f t="shared" si="153"/>
        <v>0</v>
      </c>
      <c r="AW258" s="1979">
        <f t="shared" si="154"/>
        <v>0</v>
      </c>
      <c r="AX258" s="197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9">
        <f t="shared" si="153"/>
        <v>0</v>
      </c>
      <c r="AW259" s="1979">
        <f t="shared" si="154"/>
        <v>0</v>
      </c>
      <c r="AX259" s="197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9">
        <f t="shared" si="153"/>
        <v>0</v>
      </c>
      <c r="AW260" s="1979">
        <f t="shared" si="154"/>
        <v>0</v>
      </c>
      <c r="AX260" s="197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9">
        <f t="shared" si="153"/>
        <v>0</v>
      </c>
      <c r="AW261" s="1979">
        <f t="shared" si="154"/>
        <v>0</v>
      </c>
      <c r="AX261" s="197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9">
        <f t="shared" si="153"/>
        <v>0</v>
      </c>
      <c r="AW262" s="1979">
        <f t="shared" si="154"/>
        <v>0</v>
      </c>
      <c r="AX262" s="197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9">
        <f t="shared" si="153"/>
        <v>0</v>
      </c>
      <c r="AW263" s="1979">
        <f t="shared" si="154"/>
        <v>0</v>
      </c>
      <c r="AX263" s="197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9">
        <f t="shared" si="153"/>
        <v>0</v>
      </c>
      <c r="AW264" s="1979">
        <f t="shared" si="154"/>
        <v>0</v>
      </c>
      <c r="AX264" s="197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9">
        <f t="shared" si="153"/>
        <v>0</v>
      </c>
      <c r="AW265" s="1979">
        <f t="shared" si="154"/>
        <v>0</v>
      </c>
      <c r="AX265" s="197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9">
        <f t="shared" si="153"/>
        <v>0</v>
      </c>
      <c r="AW266" s="1979">
        <f t="shared" si="154"/>
        <v>0</v>
      </c>
      <c r="AX266" s="197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9">
        <f t="shared" si="153"/>
        <v>0</v>
      </c>
      <c r="AW267" s="1979">
        <f t="shared" si="154"/>
        <v>0</v>
      </c>
      <c r="AX267" s="197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9">
        <f t="shared" si="153"/>
        <v>0</v>
      </c>
      <c r="AW268" s="1979">
        <f t="shared" si="154"/>
        <v>0</v>
      </c>
      <c r="AX268" s="197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9">
        <f t="shared" si="153"/>
        <v>0</v>
      </c>
      <c r="AW269" s="1979">
        <f t="shared" si="154"/>
        <v>0</v>
      </c>
      <c r="AX269" s="197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9">
        <f t="shared" si="153"/>
        <v>0</v>
      </c>
      <c r="AW270" s="1979">
        <f t="shared" si="154"/>
        <v>0</v>
      </c>
      <c r="AX270" s="197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9">
        <f t="shared" si="153"/>
        <v>0</v>
      </c>
      <c r="AW271" s="1979">
        <f t="shared" si="154"/>
        <v>0</v>
      </c>
      <c r="AX271" s="197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9">
        <f t="shared" si="153"/>
        <v>0</v>
      </c>
      <c r="AW272" s="1979">
        <f t="shared" si="154"/>
        <v>0</v>
      </c>
      <c r="AX272" s="197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9">
        <f t="shared" si="153"/>
        <v>0</v>
      </c>
      <c r="AW273" s="1979">
        <f t="shared" si="154"/>
        <v>0</v>
      </c>
      <c r="AX273" s="197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9">
        <f t="shared" si="153"/>
        <v>0</v>
      </c>
      <c r="AW274" s="1979">
        <f t="shared" si="154"/>
        <v>0</v>
      </c>
      <c r="AX274" s="197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9">
        <f t="shared" si="153"/>
        <v>0</v>
      </c>
      <c r="AW275" s="1979">
        <f t="shared" si="154"/>
        <v>0</v>
      </c>
      <c r="AX275" s="197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9">
        <f t="shared" si="153"/>
        <v>0</v>
      </c>
      <c r="AW276" s="1979">
        <f t="shared" si="154"/>
        <v>0</v>
      </c>
      <c r="AX276" s="197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9">
        <f t="shared" si="153"/>
        <v>0</v>
      </c>
      <c r="AW277" s="1979">
        <f t="shared" si="154"/>
        <v>0</v>
      </c>
      <c r="AX277" s="197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9">
        <f t="shared" si="153"/>
        <v>0</v>
      </c>
      <c r="AW278" s="1979">
        <f t="shared" si="154"/>
        <v>0</v>
      </c>
      <c r="AX278" s="197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9">
        <f t="shared" si="153"/>
        <v>0</v>
      </c>
      <c r="AW279" s="1979">
        <f t="shared" si="154"/>
        <v>0</v>
      </c>
      <c r="AX279" s="197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9">
        <f t="shared" si="153"/>
        <v>0</v>
      </c>
      <c r="AW280" s="1979">
        <f t="shared" si="154"/>
        <v>0</v>
      </c>
      <c r="AX280" s="197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9">
        <f t="shared" si="153"/>
        <v>0</v>
      </c>
      <c r="AW281" s="1979">
        <f t="shared" si="154"/>
        <v>0</v>
      </c>
      <c r="AX281" s="197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9">
        <f t="shared" si="153"/>
        <v>0</v>
      </c>
      <c r="AW282" s="1979">
        <f t="shared" si="154"/>
        <v>0</v>
      </c>
      <c r="AX282" s="197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9">
        <f t="shared" si="153"/>
        <v>0</v>
      </c>
      <c r="AW283" s="1979">
        <f t="shared" si="154"/>
        <v>0</v>
      </c>
      <c r="AX283" s="197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9">
        <f t="shared" si="153"/>
        <v>0</v>
      </c>
      <c r="AW284" s="1979">
        <f t="shared" si="154"/>
        <v>0</v>
      </c>
      <c r="AX284" s="197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9">
        <f t="shared" si="153"/>
        <v>0</v>
      </c>
      <c r="AW285" s="1979">
        <f t="shared" si="154"/>
        <v>0</v>
      </c>
      <c r="AX285" s="197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9">
        <f t="shared" si="153"/>
        <v>0</v>
      </c>
      <c r="AW286" s="1979">
        <f t="shared" si="154"/>
        <v>0</v>
      </c>
      <c r="AX286" s="197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9">
        <f t="shared" si="153"/>
        <v>0</v>
      </c>
      <c r="AW287" s="1979">
        <f t="shared" si="154"/>
        <v>0</v>
      </c>
      <c r="AX287" s="197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9">
        <f t="shared" si="153"/>
        <v>0</v>
      </c>
      <c r="AW288" s="1979">
        <f t="shared" si="154"/>
        <v>0</v>
      </c>
      <c r="AX288" s="197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9">
        <f t="shared" si="153"/>
        <v>0</v>
      </c>
      <c r="AW289" s="1979">
        <f t="shared" si="154"/>
        <v>0</v>
      </c>
      <c r="AX289" s="197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9">
        <f t="shared" si="153"/>
        <v>0</v>
      </c>
      <c r="AW290" s="1979">
        <f t="shared" si="154"/>
        <v>0</v>
      </c>
      <c r="AX290" s="197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9">
        <f t="shared" si="153"/>
        <v>0</v>
      </c>
      <c r="AW291" s="1979">
        <f t="shared" si="154"/>
        <v>0</v>
      </c>
      <c r="AX291" s="197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9">
        <f t="shared" si="153"/>
        <v>0</v>
      </c>
      <c r="AW292" s="1979">
        <f t="shared" si="154"/>
        <v>0</v>
      </c>
      <c r="AX292" s="197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9">
        <f t="shared" si="153"/>
        <v>0</v>
      </c>
      <c r="AW293" s="1979">
        <f t="shared" si="154"/>
        <v>0</v>
      </c>
      <c r="AX293" s="197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9">
        <f t="shared" si="153"/>
        <v>0</v>
      </c>
      <c r="AW294" s="1979">
        <f t="shared" si="154"/>
        <v>0</v>
      </c>
      <c r="AX294" s="197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9">
        <f t="shared" si="153"/>
        <v>0</v>
      </c>
      <c r="AW295" s="1979">
        <f t="shared" si="154"/>
        <v>0</v>
      </c>
      <c r="AX295" s="197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9">
        <f t="shared" si="153"/>
        <v>0</v>
      </c>
      <c r="AW296" s="1979">
        <f t="shared" si="154"/>
        <v>0</v>
      </c>
      <c r="AX296" s="197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9">
        <f t="shared" ref="AV297:AV328" si="204">A297</f>
        <v>0</v>
      </c>
      <c r="AW297" s="1979">
        <f t="shared" ref="AW297:AW328" si="205">B297</f>
        <v>0</v>
      </c>
      <c r="AX297" s="197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9">
        <f t="shared" si="204"/>
        <v>0</v>
      </c>
      <c r="AW298" s="1979">
        <f t="shared" si="205"/>
        <v>0</v>
      </c>
      <c r="AX298" s="197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9">
        <f t="shared" si="204"/>
        <v>0</v>
      </c>
      <c r="AW299" s="1979">
        <f t="shared" si="205"/>
        <v>0</v>
      </c>
      <c r="AX299" s="197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9">
        <f t="shared" si="204"/>
        <v>0</v>
      </c>
      <c r="AW300" s="1979">
        <f t="shared" si="205"/>
        <v>0</v>
      </c>
      <c r="AX300" s="197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9">
        <f t="shared" si="204"/>
        <v>0</v>
      </c>
      <c r="AW301" s="1979">
        <f t="shared" si="205"/>
        <v>0</v>
      </c>
      <c r="AX301" s="197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9">
        <f t="shared" si="204"/>
        <v>0</v>
      </c>
      <c r="AW302" s="1979">
        <f t="shared" si="205"/>
        <v>0</v>
      </c>
      <c r="AX302" s="197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9">
        <f t="shared" si="204"/>
        <v>0</v>
      </c>
      <c r="AW303" s="1979">
        <f t="shared" si="205"/>
        <v>0</v>
      </c>
      <c r="AX303" s="197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9">
        <f t="shared" si="204"/>
        <v>0</v>
      </c>
      <c r="AW304" s="1979">
        <f t="shared" si="205"/>
        <v>0</v>
      </c>
      <c r="AX304" s="197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9">
        <f t="shared" si="204"/>
        <v>0</v>
      </c>
      <c r="AW305" s="1979">
        <f t="shared" si="205"/>
        <v>0</v>
      </c>
      <c r="AX305" s="197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9">
        <f t="shared" si="204"/>
        <v>0</v>
      </c>
      <c r="AW306" s="1979">
        <f t="shared" si="205"/>
        <v>0</v>
      </c>
      <c r="AX306" s="197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9">
        <f t="shared" si="204"/>
        <v>0</v>
      </c>
      <c r="AW307" s="1979">
        <f t="shared" si="205"/>
        <v>0</v>
      </c>
      <c r="AX307" s="197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9">
        <f t="shared" si="204"/>
        <v>0</v>
      </c>
      <c r="AW308" s="1979">
        <f t="shared" si="205"/>
        <v>0</v>
      </c>
      <c r="AX308" s="197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9">
        <f t="shared" si="204"/>
        <v>0</v>
      </c>
      <c r="AW309" s="1979">
        <f t="shared" si="205"/>
        <v>0</v>
      </c>
      <c r="AX309" s="197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9">
        <f t="shared" si="204"/>
        <v>0</v>
      </c>
      <c r="AW310" s="1979">
        <f t="shared" si="205"/>
        <v>0</v>
      </c>
      <c r="AX310" s="197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9">
        <f t="shared" si="204"/>
        <v>0</v>
      </c>
      <c r="AW311" s="1979">
        <f t="shared" si="205"/>
        <v>0</v>
      </c>
      <c r="AX311" s="197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9">
        <f t="shared" si="204"/>
        <v>0</v>
      </c>
      <c r="AW312" s="1979">
        <f t="shared" si="205"/>
        <v>0</v>
      </c>
      <c r="AX312" s="197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9">
        <f t="shared" si="204"/>
        <v>0</v>
      </c>
      <c r="AW313" s="1979">
        <f t="shared" si="205"/>
        <v>0</v>
      </c>
      <c r="AX313" s="197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9">
        <f t="shared" si="204"/>
        <v>0</v>
      </c>
      <c r="AW314" s="1979">
        <f t="shared" si="205"/>
        <v>0</v>
      </c>
      <c r="AX314" s="197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9">
        <f t="shared" si="204"/>
        <v>0</v>
      </c>
      <c r="AW315" s="1979">
        <f t="shared" si="205"/>
        <v>0</v>
      </c>
      <c r="AX315" s="197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9">
        <f t="shared" si="204"/>
        <v>0</v>
      </c>
      <c r="AW316" s="1979">
        <f t="shared" si="205"/>
        <v>0</v>
      </c>
      <c r="AX316" s="197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9">
        <f t="shared" si="204"/>
        <v>0</v>
      </c>
      <c r="AW317" s="1979">
        <f t="shared" si="205"/>
        <v>0</v>
      </c>
      <c r="AX317" s="197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9">
        <f t="shared" si="204"/>
        <v>0</v>
      </c>
      <c r="AW318" s="1979">
        <f t="shared" si="205"/>
        <v>0</v>
      </c>
      <c r="AX318" s="197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9">
        <f t="shared" si="204"/>
        <v>0</v>
      </c>
      <c r="AW319" s="1979">
        <f t="shared" si="205"/>
        <v>0</v>
      </c>
      <c r="AX319" s="197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9">
        <f t="shared" si="204"/>
        <v>0</v>
      </c>
      <c r="AW320" s="1979">
        <f t="shared" si="205"/>
        <v>0</v>
      </c>
      <c r="AX320" s="197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9">
        <f t="shared" si="204"/>
        <v>0</v>
      </c>
      <c r="AW321" s="1979">
        <f t="shared" si="205"/>
        <v>0</v>
      </c>
      <c r="AX321" s="197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9">
        <f t="shared" si="204"/>
        <v>0</v>
      </c>
      <c r="AW322" s="1979">
        <f t="shared" si="205"/>
        <v>0</v>
      </c>
      <c r="AX322" s="197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9">
        <f t="shared" si="204"/>
        <v>0</v>
      </c>
      <c r="AW323" s="1979">
        <f t="shared" si="205"/>
        <v>0</v>
      </c>
      <c r="AX323" s="197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9">
        <f t="shared" si="204"/>
        <v>0</v>
      </c>
      <c r="AW324" s="1979">
        <f t="shared" si="205"/>
        <v>0</v>
      </c>
      <c r="AX324" s="197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9">
        <f t="shared" si="204"/>
        <v>0</v>
      </c>
      <c r="AW325" s="1979">
        <f t="shared" si="205"/>
        <v>0</v>
      </c>
      <c r="AX325" s="197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9">
        <f t="shared" si="204"/>
        <v>0</v>
      </c>
      <c r="AW326" s="1979">
        <f t="shared" si="205"/>
        <v>0</v>
      </c>
      <c r="AX326" s="197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9">
        <f t="shared" si="204"/>
        <v>0</v>
      </c>
      <c r="AW327" s="1979">
        <f t="shared" si="205"/>
        <v>0</v>
      </c>
      <c r="AX327" s="197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9">
        <f t="shared" si="204"/>
        <v>0</v>
      </c>
      <c r="AW328" s="1979">
        <f t="shared" si="205"/>
        <v>0</v>
      </c>
      <c r="AX328" s="197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9">
        <f t="shared" ref="AV329:AV360" si="233">A329</f>
        <v>0</v>
      </c>
      <c r="AW329" s="1979">
        <f t="shared" ref="AW329:AW360" si="234">B329</f>
        <v>0</v>
      </c>
      <c r="AX329" s="197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9">
        <f t="shared" si="233"/>
        <v>0</v>
      </c>
      <c r="AW330" s="1979">
        <f t="shared" si="234"/>
        <v>0</v>
      </c>
      <c r="AX330" s="197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9">
        <f t="shared" si="233"/>
        <v>0</v>
      </c>
      <c r="AW331" s="1979">
        <f t="shared" si="234"/>
        <v>0</v>
      </c>
      <c r="AX331" s="197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9">
        <f t="shared" si="233"/>
        <v>0</v>
      </c>
      <c r="AW332" s="1979">
        <f t="shared" si="234"/>
        <v>0</v>
      </c>
      <c r="AX332" s="197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9">
        <f t="shared" si="233"/>
        <v>0</v>
      </c>
      <c r="AW333" s="1979">
        <f t="shared" si="234"/>
        <v>0</v>
      </c>
      <c r="AX333" s="197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9">
        <f t="shared" si="233"/>
        <v>0</v>
      </c>
      <c r="AW334" s="1979">
        <f t="shared" si="234"/>
        <v>0</v>
      </c>
      <c r="AX334" s="197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9">
        <f t="shared" si="233"/>
        <v>0</v>
      </c>
      <c r="AW335" s="1979">
        <f t="shared" si="234"/>
        <v>0</v>
      </c>
      <c r="AX335" s="197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9">
        <f t="shared" si="233"/>
        <v>0</v>
      </c>
      <c r="AW336" s="1979">
        <f t="shared" si="234"/>
        <v>0</v>
      </c>
      <c r="AX336" s="197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9">
        <f t="shared" si="233"/>
        <v>0</v>
      </c>
      <c r="AW337" s="1979">
        <f t="shared" si="234"/>
        <v>0</v>
      </c>
      <c r="AX337" s="197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9">
        <f t="shared" si="233"/>
        <v>0</v>
      </c>
      <c r="AW338" s="1979">
        <f t="shared" si="234"/>
        <v>0</v>
      </c>
      <c r="AX338" s="197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9">
        <f t="shared" si="233"/>
        <v>0</v>
      </c>
      <c r="AW339" s="1979">
        <f t="shared" si="234"/>
        <v>0</v>
      </c>
      <c r="AX339" s="197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9">
        <f t="shared" si="233"/>
        <v>0</v>
      </c>
      <c r="AW340" s="1979">
        <f t="shared" si="234"/>
        <v>0</v>
      </c>
      <c r="AX340" s="197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9">
        <f t="shared" si="233"/>
        <v>0</v>
      </c>
      <c r="AW341" s="1979">
        <f t="shared" si="234"/>
        <v>0</v>
      </c>
      <c r="AX341" s="197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9">
        <f t="shared" si="233"/>
        <v>0</v>
      </c>
      <c r="AW342" s="1979">
        <f t="shared" si="234"/>
        <v>0</v>
      </c>
      <c r="AX342" s="197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9">
        <f t="shared" si="233"/>
        <v>0</v>
      </c>
      <c r="AW343" s="1979">
        <f t="shared" si="234"/>
        <v>0</v>
      </c>
      <c r="AX343" s="197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9">
        <f t="shared" si="233"/>
        <v>0</v>
      </c>
      <c r="AW344" s="1979">
        <f t="shared" si="234"/>
        <v>0</v>
      </c>
      <c r="AX344" s="197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9">
        <f t="shared" si="233"/>
        <v>0</v>
      </c>
      <c r="AW345" s="1979">
        <f t="shared" si="234"/>
        <v>0</v>
      </c>
      <c r="AX345" s="197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9">
        <f t="shared" si="233"/>
        <v>0</v>
      </c>
      <c r="AW346" s="1979">
        <f t="shared" si="234"/>
        <v>0</v>
      </c>
      <c r="AX346" s="197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9">
        <f t="shared" si="233"/>
        <v>0</v>
      </c>
      <c r="AW347" s="1979">
        <f t="shared" si="234"/>
        <v>0</v>
      </c>
      <c r="AX347" s="197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9">
        <f t="shared" si="233"/>
        <v>0</v>
      </c>
      <c r="AW348" s="1979">
        <f t="shared" si="234"/>
        <v>0</v>
      </c>
      <c r="AX348" s="197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9">
        <f t="shared" si="233"/>
        <v>0</v>
      </c>
      <c r="AW349" s="1979">
        <f t="shared" si="234"/>
        <v>0</v>
      </c>
      <c r="AX349" s="197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9">
        <f t="shared" si="233"/>
        <v>0</v>
      </c>
      <c r="AW350" s="1979">
        <f t="shared" si="234"/>
        <v>0</v>
      </c>
      <c r="AX350" s="197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9">
        <f t="shared" si="233"/>
        <v>0</v>
      </c>
      <c r="AW351" s="1979">
        <f t="shared" si="234"/>
        <v>0</v>
      </c>
      <c r="AX351" s="197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9">
        <f t="shared" si="233"/>
        <v>0</v>
      </c>
      <c r="AW352" s="1979">
        <f t="shared" si="234"/>
        <v>0</v>
      </c>
      <c r="AX352" s="197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9">
        <f t="shared" si="233"/>
        <v>0</v>
      </c>
      <c r="AW353" s="1979">
        <f t="shared" si="234"/>
        <v>0</v>
      </c>
      <c r="AX353" s="197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9">
        <f t="shared" si="233"/>
        <v>0</v>
      </c>
      <c r="AW354" s="1979">
        <f t="shared" si="234"/>
        <v>0</v>
      </c>
      <c r="AX354" s="197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9">
        <f t="shared" si="233"/>
        <v>0</v>
      </c>
      <c r="AW355" s="1979">
        <f t="shared" si="234"/>
        <v>0</v>
      </c>
      <c r="AX355" s="197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9">
        <f t="shared" si="233"/>
        <v>0</v>
      </c>
      <c r="AW356" s="1979">
        <f t="shared" si="234"/>
        <v>0</v>
      </c>
      <c r="AX356" s="197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9">
        <f t="shared" si="233"/>
        <v>0</v>
      </c>
      <c r="AW357" s="1979">
        <f t="shared" si="234"/>
        <v>0</v>
      </c>
      <c r="AX357" s="197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9">
        <f t="shared" si="233"/>
        <v>0</v>
      </c>
      <c r="AW358" s="1979">
        <f t="shared" si="234"/>
        <v>0</v>
      </c>
      <c r="AX358" s="197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9">
        <f t="shared" si="233"/>
        <v>0</v>
      </c>
      <c r="AW359" s="1979">
        <f t="shared" si="234"/>
        <v>0</v>
      </c>
      <c r="AX359" s="197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9">
        <f t="shared" si="233"/>
        <v>0</v>
      </c>
      <c r="AW360" s="1979">
        <f t="shared" si="234"/>
        <v>0</v>
      </c>
      <c r="AX360" s="197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9">
        <f t="shared" ref="AV361:AV388" si="262">A361</f>
        <v>0</v>
      </c>
      <c r="AW361" s="1979">
        <f t="shared" ref="AW361:AW388" si="263">B361</f>
        <v>0</v>
      </c>
      <c r="AX361" s="197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9">
        <f t="shared" si="262"/>
        <v>0</v>
      </c>
      <c r="AW362" s="1979">
        <f t="shared" si="263"/>
        <v>0</v>
      </c>
      <c r="AX362" s="197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9">
        <f t="shared" si="262"/>
        <v>0</v>
      </c>
      <c r="AW363" s="1979">
        <f t="shared" si="263"/>
        <v>0</v>
      </c>
      <c r="AX363" s="197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9">
        <f t="shared" si="262"/>
        <v>0</v>
      </c>
      <c r="AW364" s="1979">
        <f t="shared" si="263"/>
        <v>0</v>
      </c>
      <c r="AX364" s="197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9">
        <f t="shared" si="262"/>
        <v>0</v>
      </c>
      <c r="AW365" s="1979">
        <f t="shared" si="263"/>
        <v>0</v>
      </c>
      <c r="AX365" s="197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9">
        <f t="shared" si="262"/>
        <v>0</v>
      </c>
      <c r="AW366" s="1979">
        <f t="shared" si="263"/>
        <v>0</v>
      </c>
      <c r="AX366" s="197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9">
        <f t="shared" si="262"/>
        <v>0</v>
      </c>
      <c r="AW367" s="1979">
        <f t="shared" si="263"/>
        <v>0</v>
      </c>
      <c r="AX367" s="197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9">
        <f t="shared" si="262"/>
        <v>0</v>
      </c>
      <c r="AW368" s="1979">
        <f t="shared" si="263"/>
        <v>0</v>
      </c>
      <c r="AX368" s="197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9">
        <f t="shared" si="262"/>
        <v>0</v>
      </c>
      <c r="AW369" s="1979">
        <f t="shared" si="263"/>
        <v>0</v>
      </c>
      <c r="AX369" s="197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9">
        <f t="shared" si="262"/>
        <v>0</v>
      </c>
      <c r="AW370" s="1979">
        <f t="shared" si="263"/>
        <v>0</v>
      </c>
      <c r="AX370" s="197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9">
        <f t="shared" si="262"/>
        <v>0</v>
      </c>
      <c r="AW371" s="1979">
        <f t="shared" si="263"/>
        <v>0</v>
      </c>
      <c r="AX371" s="197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9">
        <f t="shared" si="262"/>
        <v>0</v>
      </c>
      <c r="AW372" s="1979">
        <f t="shared" si="263"/>
        <v>0</v>
      </c>
      <c r="AX372" s="197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9">
        <f t="shared" si="262"/>
        <v>0</v>
      </c>
      <c r="AW373" s="1979">
        <f t="shared" si="263"/>
        <v>0</v>
      </c>
      <c r="AX373" s="197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9">
        <f t="shared" si="262"/>
        <v>0</v>
      </c>
      <c r="AW374" s="1979">
        <f t="shared" si="263"/>
        <v>0</v>
      </c>
      <c r="AX374" s="197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9">
        <f t="shared" si="262"/>
        <v>0</v>
      </c>
      <c r="AW375" s="1979">
        <f t="shared" si="263"/>
        <v>0</v>
      </c>
      <c r="AX375" s="197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9">
        <f t="shared" si="262"/>
        <v>0</v>
      </c>
      <c r="AW376" s="1979">
        <f t="shared" si="263"/>
        <v>0</v>
      </c>
      <c r="AX376" s="197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9">
        <f t="shared" si="262"/>
        <v>0</v>
      </c>
      <c r="AW377" s="1979">
        <f t="shared" si="263"/>
        <v>0</v>
      </c>
      <c r="AX377" s="197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9">
        <f t="shared" si="262"/>
        <v>0</v>
      </c>
      <c r="AW378" s="1979">
        <f t="shared" si="263"/>
        <v>0</v>
      </c>
      <c r="AX378" s="197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9">
        <f t="shared" si="262"/>
        <v>0</v>
      </c>
      <c r="AW379" s="1979">
        <f t="shared" si="263"/>
        <v>0</v>
      </c>
      <c r="AX379" s="197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9">
        <f t="shared" si="262"/>
        <v>0</v>
      </c>
      <c r="AW380" s="1979">
        <f t="shared" si="263"/>
        <v>0</v>
      </c>
      <c r="AX380" s="197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9">
        <f t="shared" si="262"/>
        <v>0</v>
      </c>
      <c r="AW381" s="1979">
        <f t="shared" si="263"/>
        <v>0</v>
      </c>
      <c r="AX381" s="197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9">
        <f t="shared" si="262"/>
        <v>0</v>
      </c>
      <c r="AW382" s="1979">
        <f t="shared" si="263"/>
        <v>0</v>
      </c>
      <c r="AX382" s="197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9">
        <f t="shared" si="262"/>
        <v>0</v>
      </c>
      <c r="AW383" s="1979">
        <f t="shared" si="263"/>
        <v>0</v>
      </c>
      <c r="AX383" s="197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9">
        <f t="shared" si="262"/>
        <v>0</v>
      </c>
      <c r="AW384" s="1979">
        <f t="shared" si="263"/>
        <v>0</v>
      </c>
      <c r="AX384" s="197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9">
        <f t="shared" si="262"/>
        <v>0</v>
      </c>
      <c r="AW385" s="1979">
        <f t="shared" si="263"/>
        <v>0</v>
      </c>
      <c r="AX385" s="197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9">
        <f t="shared" si="262"/>
        <v>0</v>
      </c>
      <c r="AW386" s="1979">
        <f t="shared" si="263"/>
        <v>0</v>
      </c>
      <c r="AX386" s="197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9">
        <f t="shared" si="262"/>
        <v>0</v>
      </c>
      <c r="AW387" s="1979">
        <f t="shared" si="263"/>
        <v>0</v>
      </c>
      <c r="AX387" s="197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9">
        <f t="shared" si="262"/>
        <v>0</v>
      </c>
      <c r="AW388" s="1979">
        <f t="shared" si="263"/>
        <v>0</v>
      </c>
      <c r="AX388" s="197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9">
        <f t="shared" ref="AV389:AV480" si="269">A389</f>
        <v>0</v>
      </c>
      <c r="AW389" s="1979">
        <f t="shared" ref="AW389:AW480" si="270">B389</f>
        <v>0</v>
      </c>
      <c r="AX389" s="197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9">
        <f t="shared" si="269"/>
        <v>0</v>
      </c>
      <c r="AW390" s="1979">
        <f t="shared" si="270"/>
        <v>0</v>
      </c>
      <c r="AX390" s="197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9">
        <f t="shared" si="269"/>
        <v>0</v>
      </c>
      <c r="AW391" s="1979">
        <f t="shared" si="270"/>
        <v>0</v>
      </c>
      <c r="AX391" s="197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9">
        <f t="shared" si="269"/>
        <v>0</v>
      </c>
      <c r="AW392" s="1979">
        <f t="shared" si="270"/>
        <v>0</v>
      </c>
      <c r="AX392" s="197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9">
        <f t="shared" si="269"/>
        <v>0</v>
      </c>
      <c r="AW393" s="1979">
        <f t="shared" si="270"/>
        <v>0</v>
      </c>
      <c r="AX393" s="197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9">
        <f t="shared" si="269"/>
        <v>0</v>
      </c>
      <c r="AW394" s="1979">
        <f t="shared" si="270"/>
        <v>0</v>
      </c>
      <c r="AX394" s="197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9">
        <f t="shared" si="269"/>
        <v>0</v>
      </c>
      <c r="AW395" s="1979">
        <f t="shared" si="270"/>
        <v>0</v>
      </c>
      <c r="AX395" s="197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9">
        <f t="shared" si="269"/>
        <v>0</v>
      </c>
      <c r="AW396" s="1979">
        <f t="shared" si="270"/>
        <v>0</v>
      </c>
      <c r="AX396" s="197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9">
        <f t="shared" si="269"/>
        <v>0</v>
      </c>
      <c r="AW397" s="1979">
        <f t="shared" si="270"/>
        <v>0</v>
      </c>
      <c r="AX397" s="197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9">
        <f t="shared" si="269"/>
        <v>0</v>
      </c>
      <c r="AW398" s="1979">
        <f t="shared" si="270"/>
        <v>0</v>
      </c>
      <c r="AX398" s="197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9">
        <f t="shared" si="269"/>
        <v>0</v>
      </c>
      <c r="AW399" s="1979">
        <f t="shared" si="270"/>
        <v>0</v>
      </c>
      <c r="AX399" s="197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9">
        <f t="shared" si="269"/>
        <v>0</v>
      </c>
      <c r="AW400" s="1979">
        <f t="shared" si="270"/>
        <v>0</v>
      </c>
      <c r="AX400" s="197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9">
        <f t="shared" si="269"/>
        <v>0</v>
      </c>
      <c r="AW401" s="1979">
        <f t="shared" si="270"/>
        <v>0</v>
      </c>
      <c r="AX401" s="197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9">
        <f t="shared" si="269"/>
        <v>0</v>
      </c>
      <c r="AW402" s="1979">
        <f t="shared" si="270"/>
        <v>0</v>
      </c>
      <c r="AX402" s="197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9">
        <f t="shared" si="269"/>
        <v>0</v>
      </c>
      <c r="AW403" s="1979">
        <f t="shared" si="270"/>
        <v>0</v>
      </c>
      <c r="AX403" s="197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9">
        <f t="shared" si="269"/>
        <v>0</v>
      </c>
      <c r="AW404" s="1979">
        <f t="shared" si="270"/>
        <v>0</v>
      </c>
      <c r="AX404" s="197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9">
        <f t="shared" si="269"/>
        <v>0</v>
      </c>
      <c r="AW405" s="1979">
        <f t="shared" si="270"/>
        <v>0</v>
      </c>
      <c r="AX405" s="197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9">
        <f t="shared" si="269"/>
        <v>0</v>
      </c>
      <c r="AW406" s="1979">
        <f t="shared" si="270"/>
        <v>0</v>
      </c>
      <c r="AX406" s="197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9">
        <f t="shared" si="269"/>
        <v>0</v>
      </c>
      <c r="AW407" s="1979">
        <f t="shared" si="270"/>
        <v>0</v>
      </c>
      <c r="AX407" s="197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9">
        <f t="shared" si="269"/>
        <v>0</v>
      </c>
      <c r="AW408" s="1979">
        <f t="shared" si="270"/>
        <v>0</v>
      </c>
      <c r="AX408" s="197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9">
        <f t="shared" si="269"/>
        <v>0</v>
      </c>
      <c r="AW409" s="1979">
        <f t="shared" si="270"/>
        <v>0</v>
      </c>
      <c r="AX409" s="197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9">
        <f t="shared" si="269"/>
        <v>0</v>
      </c>
      <c r="AW410" s="1979">
        <f t="shared" si="270"/>
        <v>0</v>
      </c>
      <c r="AX410" s="197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9">
        <f t="shared" si="269"/>
        <v>0</v>
      </c>
      <c r="AW411" s="1979">
        <f t="shared" si="270"/>
        <v>0</v>
      </c>
      <c r="AX411" s="197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9">
        <f t="shared" si="269"/>
        <v>0</v>
      </c>
      <c r="AW412" s="1979">
        <f t="shared" si="270"/>
        <v>0</v>
      </c>
      <c r="AX412" s="197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9">
        <f t="shared" si="269"/>
        <v>0</v>
      </c>
      <c r="AW413" s="1979">
        <f t="shared" si="270"/>
        <v>0</v>
      </c>
      <c r="AX413" s="197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9">
        <f t="shared" si="269"/>
        <v>0</v>
      </c>
      <c r="AW414" s="1979">
        <f t="shared" si="270"/>
        <v>0</v>
      </c>
      <c r="AX414" s="197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9">
        <f t="shared" si="269"/>
        <v>0</v>
      </c>
      <c r="AW415" s="1979">
        <f t="shared" si="270"/>
        <v>0</v>
      </c>
      <c r="AX415" s="197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9">
        <f t="shared" si="269"/>
        <v>0</v>
      </c>
      <c r="AW416" s="1979">
        <f t="shared" si="270"/>
        <v>0</v>
      </c>
      <c r="AX416" s="197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9">
        <f t="shared" si="269"/>
        <v>0</v>
      </c>
      <c r="AW417" s="1979">
        <f t="shared" si="270"/>
        <v>0</v>
      </c>
      <c r="AX417" s="197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9">
        <f t="shared" si="269"/>
        <v>0</v>
      </c>
      <c r="AW418" s="1979">
        <f t="shared" si="270"/>
        <v>0</v>
      </c>
      <c r="AX418" s="197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9">
        <f t="shared" si="269"/>
        <v>0</v>
      </c>
      <c r="AW419" s="1979">
        <f t="shared" si="270"/>
        <v>0</v>
      </c>
      <c r="AX419" s="197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9">
        <f t="shared" si="269"/>
        <v>0</v>
      </c>
      <c r="AW420" s="1979">
        <f t="shared" si="270"/>
        <v>0</v>
      </c>
      <c r="AX420" s="197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9">
        <f t="shared" si="269"/>
        <v>0</v>
      </c>
      <c r="AW421" s="1979">
        <f t="shared" si="270"/>
        <v>0</v>
      </c>
      <c r="AX421" s="197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9">
        <f t="shared" si="269"/>
        <v>0</v>
      </c>
      <c r="AW422" s="1979">
        <f t="shared" si="270"/>
        <v>0</v>
      </c>
      <c r="AX422" s="197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9">
        <f t="shared" si="269"/>
        <v>0</v>
      </c>
      <c r="AW423" s="1979">
        <f t="shared" si="270"/>
        <v>0</v>
      </c>
      <c r="AX423" s="197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9">
        <f t="shared" si="269"/>
        <v>0</v>
      </c>
      <c r="AW424" s="1979">
        <f t="shared" si="270"/>
        <v>0</v>
      </c>
      <c r="AX424" s="197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9">
        <f t="shared" si="269"/>
        <v>0</v>
      </c>
      <c r="AW425" s="1979">
        <f t="shared" si="270"/>
        <v>0</v>
      </c>
      <c r="AX425" s="197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9">
        <f t="shared" si="269"/>
        <v>0</v>
      </c>
      <c r="AW426" s="1979">
        <f t="shared" si="270"/>
        <v>0</v>
      </c>
      <c r="AX426" s="197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9">
        <f t="shared" si="269"/>
        <v>0</v>
      </c>
      <c r="AW427" s="1979">
        <f t="shared" si="270"/>
        <v>0</v>
      </c>
      <c r="AX427" s="197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9">
        <f t="shared" si="269"/>
        <v>0</v>
      </c>
      <c r="AW428" s="1979">
        <f t="shared" si="270"/>
        <v>0</v>
      </c>
      <c r="AX428" s="197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9">
        <f t="shared" si="269"/>
        <v>0</v>
      </c>
      <c r="AW429" s="1979">
        <f t="shared" si="270"/>
        <v>0</v>
      </c>
      <c r="AX429" s="197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9">
        <f t="shared" si="269"/>
        <v>0</v>
      </c>
      <c r="AW430" s="1979">
        <f t="shared" si="270"/>
        <v>0</v>
      </c>
      <c r="AX430" s="197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9">
        <f t="shared" si="269"/>
        <v>0</v>
      </c>
      <c r="AW431" s="1979">
        <f t="shared" si="270"/>
        <v>0</v>
      </c>
      <c r="AX431" s="197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9">
        <f t="shared" si="269"/>
        <v>0</v>
      </c>
      <c r="AW432" s="1979">
        <f t="shared" si="270"/>
        <v>0</v>
      </c>
      <c r="AX432" s="197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9">
        <f t="shared" si="269"/>
        <v>0</v>
      </c>
      <c r="AW433" s="1979">
        <f t="shared" si="270"/>
        <v>0</v>
      </c>
      <c r="AX433" s="197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9">
        <f t="shared" si="269"/>
        <v>0</v>
      </c>
      <c r="AW434" s="1979">
        <f t="shared" si="270"/>
        <v>0</v>
      </c>
      <c r="AX434" s="197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9">
        <f t="shared" si="269"/>
        <v>0</v>
      </c>
      <c r="AW435" s="1979">
        <f t="shared" si="270"/>
        <v>0</v>
      </c>
      <c r="AX435" s="197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9">
        <f t="shared" si="269"/>
        <v>0</v>
      </c>
      <c r="AW436" s="1979">
        <f t="shared" si="270"/>
        <v>0</v>
      </c>
      <c r="AX436" s="197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9">
        <f t="shared" si="269"/>
        <v>0</v>
      </c>
      <c r="AW437" s="1979">
        <f t="shared" si="270"/>
        <v>0</v>
      </c>
      <c r="AX437" s="197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9">
        <f t="shared" si="269"/>
        <v>0</v>
      </c>
      <c r="AW438" s="1979">
        <f t="shared" si="270"/>
        <v>0</v>
      </c>
      <c r="AX438" s="197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9">
        <f t="shared" si="269"/>
        <v>0</v>
      </c>
      <c r="AW439" s="1979">
        <f t="shared" si="270"/>
        <v>0</v>
      </c>
      <c r="AX439" s="197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9">
        <f t="shared" si="269"/>
        <v>0</v>
      </c>
      <c r="AW440" s="1979">
        <f t="shared" si="270"/>
        <v>0</v>
      </c>
      <c r="AX440" s="197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9">
        <f t="shared" si="269"/>
        <v>0</v>
      </c>
      <c r="AW441" s="1979">
        <f t="shared" si="270"/>
        <v>0</v>
      </c>
      <c r="AX441" s="197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9">
        <f t="shared" si="269"/>
        <v>0</v>
      </c>
      <c r="AW442" s="1979">
        <f t="shared" si="270"/>
        <v>0</v>
      </c>
      <c r="AX442" s="197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9">
        <f t="shared" si="269"/>
        <v>0</v>
      </c>
      <c r="AW443" s="1979">
        <f t="shared" si="270"/>
        <v>0</v>
      </c>
      <c r="AX443" s="197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9">
        <f t="shared" si="269"/>
        <v>0</v>
      </c>
      <c r="AW444" s="1979">
        <f t="shared" si="270"/>
        <v>0</v>
      </c>
      <c r="AX444" s="197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9">
        <f t="shared" si="269"/>
        <v>0</v>
      </c>
      <c r="AW445" s="1979">
        <f t="shared" si="270"/>
        <v>0</v>
      </c>
      <c r="AX445" s="197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9">
        <f t="shared" si="269"/>
        <v>0</v>
      </c>
      <c r="AW446" s="1979">
        <f t="shared" si="270"/>
        <v>0</v>
      </c>
      <c r="AX446" s="197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9">
        <f t="shared" si="269"/>
        <v>0</v>
      </c>
      <c r="AW447" s="1979">
        <f t="shared" si="270"/>
        <v>0</v>
      </c>
      <c r="AX447" s="197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9">
        <f t="shared" si="269"/>
        <v>0</v>
      </c>
      <c r="AW448" s="1979">
        <f t="shared" si="270"/>
        <v>0</v>
      </c>
      <c r="AX448" s="197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9">
        <f t="shared" si="269"/>
        <v>0</v>
      </c>
      <c r="AW449" s="1979">
        <f t="shared" si="270"/>
        <v>0</v>
      </c>
      <c r="AX449" s="197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9">
        <f t="shared" si="269"/>
        <v>0</v>
      </c>
      <c r="AW450" s="1979">
        <f t="shared" si="270"/>
        <v>0</v>
      </c>
      <c r="AX450" s="197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9">
        <f t="shared" si="269"/>
        <v>0</v>
      </c>
      <c r="AW451" s="1979">
        <f t="shared" si="270"/>
        <v>0</v>
      </c>
      <c r="AX451" s="197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9">
        <f t="shared" si="269"/>
        <v>0</v>
      </c>
      <c r="AW452" s="1979">
        <f t="shared" si="270"/>
        <v>0</v>
      </c>
      <c r="AX452" s="197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9">
        <f t="shared" si="269"/>
        <v>0</v>
      </c>
      <c r="AW453" s="1979">
        <f t="shared" si="270"/>
        <v>0</v>
      </c>
      <c r="AX453" s="197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9">
        <f t="shared" si="269"/>
        <v>0</v>
      </c>
      <c r="AW454" s="1979">
        <f t="shared" si="270"/>
        <v>0</v>
      </c>
      <c r="AX454" s="197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9">
        <f t="shared" si="269"/>
        <v>0</v>
      </c>
      <c r="AW455" s="1979">
        <f t="shared" si="270"/>
        <v>0</v>
      </c>
      <c r="AX455" s="197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9">
        <f t="shared" si="269"/>
        <v>0</v>
      </c>
      <c r="AW456" s="1979">
        <f t="shared" si="270"/>
        <v>0</v>
      </c>
      <c r="AX456" s="197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9">
        <f t="shared" si="269"/>
        <v>0</v>
      </c>
      <c r="AW457" s="1979">
        <f t="shared" si="270"/>
        <v>0</v>
      </c>
      <c r="AX457" s="197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9">
        <f t="shared" si="269"/>
        <v>0</v>
      </c>
      <c r="AW458" s="1979">
        <f t="shared" si="270"/>
        <v>0</v>
      </c>
      <c r="AX458" s="197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9">
        <f t="shared" si="269"/>
        <v>0</v>
      </c>
      <c r="AW459" s="1979">
        <f t="shared" si="270"/>
        <v>0</v>
      </c>
      <c r="AX459" s="197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9">
        <f t="shared" si="269"/>
        <v>0</v>
      </c>
      <c r="AW460" s="1979">
        <f t="shared" si="270"/>
        <v>0</v>
      </c>
      <c r="AX460" s="197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9">
        <f t="shared" si="269"/>
        <v>0</v>
      </c>
      <c r="AW461" s="1979">
        <f t="shared" si="270"/>
        <v>0</v>
      </c>
      <c r="AX461" s="197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9">
        <f t="shared" si="269"/>
        <v>0</v>
      </c>
      <c r="AW462" s="1979">
        <f t="shared" si="270"/>
        <v>0</v>
      </c>
      <c r="AX462" s="197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9">
        <f t="shared" si="269"/>
        <v>0</v>
      </c>
      <c r="AW463" s="1979">
        <f t="shared" si="270"/>
        <v>0</v>
      </c>
      <c r="AX463" s="197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9">
        <f t="shared" si="269"/>
        <v>0</v>
      </c>
      <c r="AW464" s="1979">
        <f t="shared" si="270"/>
        <v>0</v>
      </c>
      <c r="AX464" s="197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9">
        <f t="shared" si="269"/>
        <v>0</v>
      </c>
      <c r="AW465" s="1979">
        <f t="shared" si="270"/>
        <v>0</v>
      </c>
      <c r="AX465" s="197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9">
        <f t="shared" si="269"/>
        <v>0</v>
      </c>
      <c r="AW466" s="1979">
        <f t="shared" si="270"/>
        <v>0</v>
      </c>
      <c r="AX466" s="197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9">
        <f t="shared" si="269"/>
        <v>0</v>
      </c>
      <c r="AW467" s="1979">
        <f t="shared" si="270"/>
        <v>0</v>
      </c>
      <c r="AX467" s="197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9">
        <f t="shared" si="269"/>
        <v>0</v>
      </c>
      <c r="AW468" s="1979">
        <f t="shared" si="270"/>
        <v>0</v>
      </c>
      <c r="AX468" s="197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9">
        <f t="shared" si="269"/>
        <v>0</v>
      </c>
      <c r="AW469" s="1979">
        <f t="shared" si="270"/>
        <v>0</v>
      </c>
      <c r="AX469" s="197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9">
        <f t="shared" si="269"/>
        <v>0</v>
      </c>
      <c r="AW470" s="1979">
        <f t="shared" si="270"/>
        <v>0</v>
      </c>
      <c r="AX470" s="197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9">
        <f t="shared" si="269"/>
        <v>0</v>
      </c>
      <c r="AW471" s="1979">
        <f t="shared" si="270"/>
        <v>0</v>
      </c>
      <c r="AX471" s="197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9">
        <f t="shared" si="269"/>
        <v>0</v>
      </c>
      <c r="AW472" s="1979">
        <f t="shared" si="270"/>
        <v>0</v>
      </c>
      <c r="AX472" s="197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9">
        <f t="shared" si="269"/>
        <v>0</v>
      </c>
      <c r="AW473" s="1979">
        <f t="shared" si="270"/>
        <v>0</v>
      </c>
      <c r="AX473" s="197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9">
        <f t="shared" si="269"/>
        <v>0</v>
      </c>
      <c r="AW474" s="1979">
        <f t="shared" si="270"/>
        <v>0</v>
      </c>
      <c r="AX474" s="197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9">
        <f t="shared" si="269"/>
        <v>0</v>
      </c>
      <c r="AW475" s="1979">
        <f t="shared" si="270"/>
        <v>0</v>
      </c>
      <c r="AX475" s="197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9">
        <f t="shared" si="269"/>
        <v>0</v>
      </c>
      <c r="AW476" s="1979">
        <f t="shared" si="270"/>
        <v>0</v>
      </c>
      <c r="AX476" s="197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9">
        <f t="shared" si="269"/>
        <v>0</v>
      </c>
      <c r="AW477" s="1979">
        <f t="shared" si="270"/>
        <v>0</v>
      </c>
      <c r="AX477" s="197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9">
        <f t="shared" si="269"/>
        <v>0</v>
      </c>
      <c r="AW478" s="1979">
        <f t="shared" si="270"/>
        <v>0</v>
      </c>
      <c r="AX478" s="197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9">
        <f t="shared" si="269"/>
        <v>0</v>
      </c>
      <c r="AW479" s="1979">
        <f t="shared" si="270"/>
        <v>0</v>
      </c>
      <c r="AX479" s="197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9">
        <f t="shared" si="269"/>
        <v>0</v>
      </c>
      <c r="AW480" s="1979">
        <f t="shared" si="270"/>
        <v>0</v>
      </c>
      <c r="AX480" s="197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9" t="s">
        <v>0</v>
      </c>
      <c r="B1" s="3329" t="s">
        <v>4</v>
      </c>
      <c r="C1" s="3329" t="s">
        <v>5</v>
      </c>
      <c r="D1" s="3330" t="s">
        <v>40</v>
      </c>
      <c r="E1" s="3330" t="s">
        <v>41</v>
      </c>
      <c r="F1" s="3330"/>
      <c r="G1" s="3330"/>
      <c r="H1" s="3330"/>
      <c r="I1" s="3330"/>
      <c r="J1" s="3330"/>
      <c r="K1" s="3330"/>
      <c r="L1" s="3330"/>
      <c r="M1" s="3330"/>
    </row>
    <row r="2" spans="1:13" ht="27" customHeight="1">
      <c r="A2" s="3329"/>
      <c r="B2" s="3329"/>
      <c r="C2" s="3329"/>
      <c r="D2" s="3330"/>
      <c r="E2" s="3330" t="s">
        <v>24</v>
      </c>
      <c r="F2" s="3330" t="s">
        <v>25</v>
      </c>
      <c r="G2" s="3330"/>
      <c r="H2" s="3330"/>
      <c r="I2" s="3330"/>
      <c r="J2" s="3330" t="s">
        <v>26</v>
      </c>
      <c r="K2" s="3330"/>
      <c r="L2" s="3330"/>
      <c r="M2" s="3330"/>
    </row>
    <row r="3" spans="1:13" ht="28.5">
      <c r="A3" s="3329"/>
      <c r="B3" s="3329"/>
      <c r="C3" s="3329"/>
      <c r="D3" s="3330"/>
      <c r="E3" s="333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0" t="s">
        <v>42</v>
      </c>
      <c r="B9" s="3330"/>
      <c r="C9" s="333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A23" sqref="A23:XFD2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3" t="s">
        <v>202</v>
      </c>
      <c r="B1" s="1984"/>
      <c r="C1" s="1984"/>
      <c r="D1" s="1984"/>
      <c r="E1" s="1984"/>
      <c r="F1" s="1984"/>
      <c r="G1" s="1984"/>
      <c r="H1" s="1984"/>
      <c r="I1" s="1984"/>
      <c r="J1" s="1984"/>
      <c r="K1" s="1984"/>
      <c r="L1" s="1984"/>
    </row>
    <row r="2" spans="1:16" ht="15">
      <c r="A2" s="3340" t="s">
        <v>203</v>
      </c>
      <c r="B2" s="3340"/>
      <c r="C2" s="3340"/>
      <c r="D2" s="1975" t="s">
        <v>204</v>
      </c>
      <c r="E2" s="105" t="s">
        <v>205</v>
      </c>
      <c r="F2" s="1984"/>
      <c r="G2" s="1197"/>
      <c r="H2" s="1198"/>
      <c r="I2" s="1199" t="s">
        <v>858</v>
      </c>
      <c r="J2" s="1984"/>
      <c r="K2" s="1984"/>
      <c r="L2" s="1984"/>
    </row>
    <row r="3" spans="1:16" ht="15.75" thickBot="1">
      <c r="A3" s="3341" t="s">
        <v>206</v>
      </c>
      <c r="B3" s="3341"/>
      <c r="C3" s="3341"/>
      <c r="D3" s="106">
        <f>'数据-基础表'!AY6</f>
        <v>42563.17</v>
      </c>
      <c r="E3" s="106">
        <f>'数据-基础表'!AZ5</f>
        <v>217232</v>
      </c>
      <c r="F3" s="1984"/>
      <c r="G3" s="279" t="s">
        <v>859</v>
      </c>
      <c r="H3" s="274" t="s">
        <v>860</v>
      </c>
      <c r="I3" s="1976">
        <f>ROUND('数据-基础表'!B3/'数据-基础表'!A3,2)</f>
        <v>5.0999999999999996</v>
      </c>
      <c r="J3" s="1984"/>
      <c r="K3" s="1984"/>
      <c r="L3" s="1984"/>
    </row>
    <row r="4" spans="1:16" ht="15">
      <c r="A4" s="3342"/>
      <c r="B4" s="3343"/>
      <c r="C4" s="3344"/>
      <c r="D4" s="107" t="s">
        <v>204</v>
      </c>
      <c r="E4" s="108" t="s">
        <v>205</v>
      </c>
      <c r="F4" s="1984"/>
      <c r="G4" s="1200"/>
      <c r="H4" s="274" t="s">
        <v>861</v>
      </c>
      <c r="I4" s="1976">
        <f>ROUND(SUMIF('数据-基础表'!I9:AS9,"地上",'数据-基础表'!I5:AS5)/'数据-基础表'!A3,2)</f>
        <v>3.79</v>
      </c>
      <c r="J4" s="1984"/>
      <c r="K4" s="1984"/>
      <c r="L4" s="1984"/>
    </row>
    <row r="5" spans="1:16">
      <c r="A5" s="109" t="s">
        <v>207</v>
      </c>
      <c r="B5" s="3345" t="s">
        <v>230</v>
      </c>
      <c r="C5" s="3345"/>
      <c r="D5" s="110">
        <f>ROUND($D$3*E5/$E$3,2)</f>
        <v>30925.07</v>
      </c>
      <c r="E5" s="111">
        <f>SUMIF('数据-基础表'!$11:$11,"住宅",'数据-基础表'!$5:$5)</f>
        <v>157834</v>
      </c>
      <c r="F5" s="1984"/>
      <c r="G5" s="279" t="s">
        <v>862</v>
      </c>
      <c r="H5" s="274" t="s">
        <v>860</v>
      </c>
      <c r="I5" s="1976">
        <f>ROUND(E31/D31,2)</f>
        <v>5.0999999999999996</v>
      </c>
      <c r="J5" s="1984"/>
      <c r="K5" s="1984"/>
      <c r="L5" s="1984"/>
    </row>
    <row r="6" spans="1:16" ht="15" thickBot="1">
      <c r="A6" s="112"/>
      <c r="B6" s="3345" t="s">
        <v>208</v>
      </c>
      <c r="C6" s="3345"/>
      <c r="D6" s="110">
        <f>ROUND($D$3*E6/$E$3,2)</f>
        <v>11638.1</v>
      </c>
      <c r="E6" s="111">
        <f>E3-E5</f>
        <v>59398</v>
      </c>
      <c r="F6" s="1984"/>
      <c r="G6" s="1200"/>
      <c r="H6" s="274" t="s">
        <v>861</v>
      </c>
      <c r="I6" s="1976">
        <f>ROUND(F31/D31,2)</f>
        <v>3.79</v>
      </c>
      <c r="J6" s="1984"/>
      <c r="K6" s="1984"/>
      <c r="L6" s="1984"/>
    </row>
    <row r="7" spans="1:16" ht="15">
      <c r="A7" s="3337"/>
      <c r="B7" s="3338"/>
      <c r="C7" s="3339"/>
      <c r="D7" s="107" t="s">
        <v>204</v>
      </c>
      <c r="E7" s="113" t="s">
        <v>231</v>
      </c>
      <c r="F7" s="1984"/>
      <c r="G7" s="1155" t="s">
        <v>1647</v>
      </c>
      <c r="H7" s="1156"/>
      <c r="I7" s="1846"/>
      <c r="J7" s="1984"/>
      <c r="K7" s="1984"/>
      <c r="L7" s="1984"/>
    </row>
    <row r="8" spans="1:16">
      <c r="A8" s="109" t="s">
        <v>209</v>
      </c>
      <c r="B8" s="114" t="s">
        <v>210</v>
      </c>
      <c r="C8" s="110" t="s">
        <v>211</v>
      </c>
      <c r="D8" s="110">
        <f t="shared" ref="D8:D15" si="0">ROUND($D$3*E8/$E$3,2)</f>
        <v>31340.26</v>
      </c>
      <c r="E8" s="115">
        <f>SUMIF('数据-基础表'!BB10:BK10,"地上",'数据-基础表'!BB5:BK5)</f>
        <v>159953</v>
      </c>
      <c r="F8" s="1984"/>
      <c r="G8" s="1986"/>
      <c r="H8" s="1986"/>
      <c r="I8" s="1984"/>
      <c r="J8" s="1984"/>
      <c r="K8" s="1984"/>
      <c r="L8" s="1984"/>
    </row>
    <row r="9" spans="1:16">
      <c r="A9" s="116"/>
      <c r="B9" s="117"/>
      <c r="C9" s="110" t="s">
        <v>212</v>
      </c>
      <c r="D9" s="110">
        <f t="shared" si="0"/>
        <v>0</v>
      </c>
      <c r="E9" s="118"/>
      <c r="F9" s="1984"/>
      <c r="G9" s="1986"/>
      <c r="H9" s="1986"/>
      <c r="I9" s="1984"/>
      <c r="J9" s="1984"/>
      <c r="K9" s="1984"/>
      <c r="L9" s="1984"/>
    </row>
    <row r="10" spans="1:16">
      <c r="A10" s="116"/>
      <c r="B10" s="117"/>
      <c r="C10" s="110" t="s">
        <v>213</v>
      </c>
      <c r="D10" s="110">
        <f t="shared" si="0"/>
        <v>0</v>
      </c>
      <c r="E10" s="115">
        <f>SUMPRODUCT(('数据-基础表'!BB10:BK10="地下")*('数据-基础表'!BB11:BK11="商业")*('数据-基础表'!BB5:BK5))</f>
        <v>0</v>
      </c>
      <c r="F10" s="1984"/>
      <c r="G10" s="1986"/>
      <c r="H10" s="1986"/>
      <c r="I10" s="1984"/>
      <c r="J10" s="1984"/>
      <c r="K10" s="1984"/>
      <c r="L10" s="1984"/>
    </row>
    <row r="11" spans="1:16">
      <c r="A11" s="116"/>
      <c r="B11" s="117"/>
      <c r="C11" s="2331" t="s">
        <v>2330</v>
      </c>
      <c r="D11" s="110">
        <f t="shared" si="0"/>
        <v>0</v>
      </c>
      <c r="E11" s="115">
        <f>SUMPRODUCT(('数据-基础表'!BB10:BK10="地下")*('数据-基础表'!BB11:BK11="办公")*('数据-基础表'!BB5:BK5))+'数据-基础表'!AJ5</f>
        <v>0</v>
      </c>
      <c r="F11" s="1984"/>
      <c r="G11" s="1986"/>
      <c r="H11" s="1986"/>
      <c r="I11" s="1984"/>
      <c r="J11" s="1984"/>
      <c r="K11" s="1984"/>
      <c r="L11" s="1984"/>
    </row>
    <row r="12" spans="1:16">
      <c r="A12" s="116"/>
      <c r="B12" s="117"/>
      <c r="C12" s="110" t="s">
        <v>214</v>
      </c>
      <c r="D12" s="110">
        <f t="shared" si="0"/>
        <v>0</v>
      </c>
      <c r="E12" s="115">
        <f>SUMPRODUCT(('数据-基础表'!BB10:BK10="地下")*('数据-基础表'!BB11:BK11="仓储")*('数据-基础表'!BB5:BK5))</f>
        <v>0</v>
      </c>
      <c r="F12" s="1984"/>
      <c r="G12" s="1986"/>
      <c r="H12" s="1986"/>
      <c r="I12" s="1984"/>
      <c r="J12" s="1984"/>
      <c r="K12" s="1984"/>
      <c r="L12" s="1984"/>
    </row>
    <row r="13" spans="1:16">
      <c r="A13" s="116"/>
      <c r="B13" s="117"/>
      <c r="C13" s="2331" t="s">
        <v>2337</v>
      </c>
      <c r="D13" s="110">
        <f t="shared" si="0"/>
        <v>10753.85</v>
      </c>
      <c r="E13" s="115">
        <f>SUMPRODUCT(('数据-基础表'!BB10:BK10="地下")*('数据-基础表'!BB11:BK11="车库")*('数据-基础表'!BB5:BK5))</f>
        <v>54885</v>
      </c>
      <c r="F13" s="1984"/>
      <c r="G13" s="1986"/>
      <c r="H13" s="1986"/>
      <c r="I13" s="1984"/>
      <c r="J13" s="1984"/>
      <c r="K13" s="1984"/>
      <c r="L13" s="1984"/>
    </row>
    <row r="14" spans="1:16">
      <c r="A14" s="116"/>
      <c r="B14" s="117"/>
      <c r="C14" s="110" t="s">
        <v>232</v>
      </c>
      <c r="D14" s="110">
        <f t="shared" si="0"/>
        <v>0</v>
      </c>
      <c r="E14" s="115">
        <f>SUMPRODUCT(('数据-基础表'!BB10:BK10="地下")*('数据-基础表'!BB11:BK11="车库—商业")*('数据-基础表'!BB5:BK5))</f>
        <v>0</v>
      </c>
      <c r="F14" s="1984"/>
      <c r="G14" s="1986"/>
      <c r="H14" s="1986"/>
      <c r="I14" s="1984"/>
      <c r="J14" s="1984"/>
      <c r="K14" s="1984"/>
      <c r="L14" s="1984"/>
    </row>
    <row r="15" spans="1:16" ht="15" thickBot="1">
      <c r="A15" s="116"/>
      <c r="B15" s="117"/>
      <c r="C15" s="110" t="s">
        <v>233</v>
      </c>
      <c r="D15" s="110">
        <f t="shared" si="0"/>
        <v>0</v>
      </c>
      <c r="E15" s="115">
        <f>SUMPRODUCT(('数据-基础表'!BB10:BK10="地下")*('数据-基础表'!BB11:BK11="车库—办公")*('数据-基础表'!BB5:BK5))</f>
        <v>0</v>
      </c>
      <c r="F15" s="1984"/>
      <c r="G15" s="1986"/>
      <c r="H15" s="1986"/>
      <c r="I15" s="1984"/>
      <c r="J15" s="1984"/>
      <c r="K15" s="1984"/>
      <c r="L15" s="1984"/>
    </row>
    <row r="16" spans="1:16" ht="15.75" thickBot="1">
      <c r="A16" s="112"/>
      <c r="B16" s="117"/>
      <c r="C16" s="114" t="s">
        <v>215</v>
      </c>
      <c r="D16" s="114">
        <f>SUM(D8:D15)</f>
        <v>42094.11</v>
      </c>
      <c r="E16" s="119">
        <f>SUM(E8:E15)</f>
        <v>214838</v>
      </c>
      <c r="F16" s="1984"/>
      <c r="G16" s="1986"/>
      <c r="H16" s="967" t="s">
        <v>219</v>
      </c>
      <c r="I16" s="968"/>
      <c r="J16" s="1984"/>
      <c r="K16" s="3331" t="s">
        <v>2572</v>
      </c>
      <c r="L16" s="3332"/>
      <c r="M16" s="3332"/>
      <c r="N16" s="3332"/>
      <c r="O16" s="3332"/>
      <c r="P16" s="3333"/>
    </row>
    <row r="17" spans="1:19" ht="15">
      <c r="A17" s="120" t="s">
        <v>216</v>
      </c>
      <c r="B17" s="121" t="s">
        <v>217</v>
      </c>
      <c r="C17" s="2298" t="s">
        <v>2316</v>
      </c>
      <c r="D17" s="107" t="s">
        <v>204</v>
      </c>
      <c r="E17" s="123" t="s">
        <v>205</v>
      </c>
      <c r="F17" s="124"/>
      <c r="G17" s="1365"/>
      <c r="H17" s="969" t="s">
        <v>218</v>
      </c>
      <c r="I17" s="970" t="s">
        <v>2315</v>
      </c>
      <c r="J17" s="1984"/>
      <c r="K17" s="3334" t="s">
        <v>2573</v>
      </c>
      <c r="L17" s="3335"/>
      <c r="M17" s="3336"/>
      <c r="N17" s="3334" t="s">
        <v>2574</v>
      </c>
      <c r="O17" s="3335"/>
      <c r="P17" s="3336"/>
      <c r="R17" s="2299" t="s">
        <v>2314</v>
      </c>
      <c r="S17" s="143"/>
    </row>
    <row r="18" spans="1:19" ht="15">
      <c r="A18" s="116"/>
      <c r="B18" s="127"/>
      <c r="C18" s="128"/>
      <c r="D18" s="2664"/>
      <c r="E18" s="129" t="s">
        <v>220</v>
      </c>
      <c r="F18" s="130" t="s">
        <v>221</v>
      </c>
      <c r="G18" s="1366" t="s">
        <v>222</v>
      </c>
      <c r="H18" s="971" t="s">
        <v>223</v>
      </c>
      <c r="I18" s="972" t="s">
        <v>224</v>
      </c>
      <c r="J18" s="1984"/>
      <c r="K18" s="2626" t="s">
        <v>2575</v>
      </c>
      <c r="L18" s="2627" t="s">
        <v>2576</v>
      </c>
      <c r="M18" s="2628" t="s">
        <v>2577</v>
      </c>
      <c r="N18" s="2626" t="s">
        <v>2575</v>
      </c>
      <c r="O18" s="2627" t="s">
        <v>2576</v>
      </c>
      <c r="P18" s="2628" t="s">
        <v>2577</v>
      </c>
      <c r="R18" s="2300" t="s">
        <v>2312</v>
      </c>
      <c r="S18" s="2300" t="s">
        <v>2313</v>
      </c>
    </row>
    <row r="19" spans="1:19">
      <c r="A19" s="132"/>
      <c r="B19" s="114" t="s">
        <v>225</v>
      </c>
      <c r="C19" s="3048" t="str">
        <f>'数据-基础表'!I11</f>
        <v>平层住宅</v>
      </c>
      <c r="D19" s="110">
        <f t="shared" ref="D19:D26" si="1">ROUND($D$3*E19/$E$3,2)</f>
        <v>30337.27</v>
      </c>
      <c r="E19" s="133">
        <f t="shared" ref="E19:E26" si="2">SUM(F19:G19)</f>
        <v>154834</v>
      </c>
      <c r="F19" s="134">
        <f>'数据-基础表'!I13</f>
        <v>154834</v>
      </c>
      <c r="G19" s="1367"/>
      <c r="H19" s="973">
        <f>ROUND($D$3*I19/$E$3,2)</f>
        <v>412.54</v>
      </c>
      <c r="I19" s="115">
        <f>IF($I$17="自定义",P19,M19)</f>
        <v>2105.48</v>
      </c>
      <c r="J19" s="1984"/>
      <c r="K19" s="2629">
        <f t="shared" ref="K19:K26" si="3">ROUND(E$28*E19/E$27,2)</f>
        <v>744.48</v>
      </c>
      <c r="L19" s="274">
        <f t="shared" ref="L19:L26" si="4">ROUND(IF(COUNTIF(C19,"*住宅*")&gt;0,E$29*E19/E$32,0),2)</f>
        <v>1361</v>
      </c>
      <c r="M19" s="2630">
        <f>K19+L19</f>
        <v>2105.48</v>
      </c>
      <c r="N19" s="2631"/>
      <c r="O19" s="2632"/>
      <c r="P19" s="2633">
        <f>N19+O19</f>
        <v>0</v>
      </c>
      <c r="R19" s="274">
        <f t="shared" ref="R19:S26" si="5">D19+H19</f>
        <v>30749.81</v>
      </c>
      <c r="S19" s="2301">
        <f t="shared" si="5"/>
        <v>156939.48000000001</v>
      </c>
    </row>
    <row r="20" spans="1:19">
      <c r="A20" s="137"/>
      <c r="B20" s="114" t="s">
        <v>226</v>
      </c>
      <c r="C20" s="3048" t="str">
        <f>'数据-基础表'!K11</f>
        <v>底商</v>
      </c>
      <c r="D20" s="110">
        <f t="shared" si="1"/>
        <v>415.18</v>
      </c>
      <c r="E20" s="133">
        <f t="shared" si="2"/>
        <v>2119</v>
      </c>
      <c r="F20" s="134">
        <f>'数据-基础表'!K13</f>
        <v>2119</v>
      </c>
      <c r="G20" s="1367"/>
      <c r="H20" s="973">
        <f t="shared" ref="H20:H26" si="6">ROUND($D$3*I20/$E$3,2)</f>
        <v>2</v>
      </c>
      <c r="I20" s="115">
        <f t="shared" ref="I20:I26" si="7">IF($I$17="自定义",P20,M20)</f>
        <v>10.19</v>
      </c>
      <c r="J20" s="1984"/>
      <c r="K20" s="2629">
        <f t="shared" si="3"/>
        <v>10.19</v>
      </c>
      <c r="L20" s="274">
        <f t="shared" si="4"/>
        <v>0</v>
      </c>
      <c r="M20" s="2630">
        <f t="shared" ref="M20:M26" si="8">K20+L20</f>
        <v>10.19</v>
      </c>
      <c r="N20" s="2631"/>
      <c r="O20" s="2632"/>
      <c r="P20" s="2633">
        <f t="shared" ref="P20:P26" si="9">N20+O20</f>
        <v>0</v>
      </c>
      <c r="R20" s="274">
        <f t="shared" si="5"/>
        <v>417.18</v>
      </c>
      <c r="S20" s="2301">
        <f t="shared" si="5"/>
        <v>2129.19</v>
      </c>
    </row>
    <row r="21" spans="1:19">
      <c r="A21" s="137"/>
      <c r="B21" s="114" t="s">
        <v>226</v>
      </c>
      <c r="C21" s="3048" t="str">
        <f>'数据-基础表'!M11</f>
        <v>车库</v>
      </c>
      <c r="D21" s="110">
        <f t="shared" si="1"/>
        <v>10753.85</v>
      </c>
      <c r="E21" s="133">
        <f t="shared" si="2"/>
        <v>54885</v>
      </c>
      <c r="F21" s="134"/>
      <c r="G21" s="1367">
        <f>'数据-基础表'!M13</f>
        <v>54885</v>
      </c>
      <c r="H21" s="973">
        <f t="shared" si="6"/>
        <v>51.71</v>
      </c>
      <c r="I21" s="115">
        <f t="shared" si="7"/>
        <v>263.89999999999998</v>
      </c>
      <c r="J21" s="1984"/>
      <c r="K21" s="2629">
        <f t="shared" si="3"/>
        <v>263.89999999999998</v>
      </c>
      <c r="L21" s="274">
        <f t="shared" si="4"/>
        <v>0</v>
      </c>
      <c r="M21" s="2630">
        <f t="shared" si="8"/>
        <v>263.89999999999998</v>
      </c>
      <c r="N21" s="2631"/>
      <c r="O21" s="2632"/>
      <c r="P21" s="2633">
        <f t="shared" si="9"/>
        <v>0</v>
      </c>
      <c r="R21" s="274">
        <f t="shared" si="5"/>
        <v>10805.56</v>
      </c>
      <c r="S21" s="2301">
        <f t="shared" si="5"/>
        <v>55148.9</v>
      </c>
    </row>
    <row r="22" spans="1:19">
      <c r="A22" s="137"/>
      <c r="B22" s="114" t="s">
        <v>226</v>
      </c>
      <c r="C22" s="1364" t="str">
        <f>'数据-基础表'!O11</f>
        <v>保障房</v>
      </c>
      <c r="D22" s="110">
        <f t="shared" si="1"/>
        <v>587.79999999999995</v>
      </c>
      <c r="E22" s="133">
        <f t="shared" si="2"/>
        <v>3000</v>
      </c>
      <c r="F22" s="139">
        <f>'数据-基础表'!O13</f>
        <v>3000</v>
      </c>
      <c r="G22" s="1368"/>
      <c r="H22" s="973">
        <f t="shared" si="6"/>
        <v>2.83</v>
      </c>
      <c r="I22" s="115">
        <f t="shared" si="7"/>
        <v>14.42</v>
      </c>
      <c r="J22" s="1984"/>
      <c r="K22" s="2629">
        <f t="shared" si="3"/>
        <v>14.42</v>
      </c>
      <c r="L22" s="274">
        <f t="shared" si="4"/>
        <v>0</v>
      </c>
      <c r="M22" s="2630">
        <f t="shared" si="8"/>
        <v>14.42</v>
      </c>
      <c r="N22" s="2631"/>
      <c r="O22" s="2632"/>
      <c r="P22" s="2633">
        <f t="shared" si="9"/>
        <v>0</v>
      </c>
      <c r="R22" s="274">
        <f t="shared" si="5"/>
        <v>590.63</v>
      </c>
      <c r="S22" s="2301">
        <f t="shared" si="5"/>
        <v>3014.42</v>
      </c>
    </row>
    <row r="23" spans="1:19" hidden="1">
      <c r="A23" s="137"/>
      <c r="B23" s="114" t="s">
        <v>226</v>
      </c>
      <c r="C23" s="138"/>
      <c r="D23" s="110">
        <f>ROUND($D$3*E23/$E$3,2)</f>
        <v>0</v>
      </c>
      <c r="E23" s="133">
        <f>SUM(F23:G23)</f>
        <v>0</v>
      </c>
      <c r="F23" s="139"/>
      <c r="G23" s="1368"/>
      <c r="H23" s="973">
        <f>ROUND($D$3*I23/$E$3,2)</f>
        <v>0</v>
      </c>
      <c r="I23" s="115">
        <f t="shared" si="7"/>
        <v>0</v>
      </c>
      <c r="J23" s="1984"/>
      <c r="K23" s="2629">
        <f t="shared" si="3"/>
        <v>0</v>
      </c>
      <c r="L23" s="274">
        <f t="shared" si="4"/>
        <v>0</v>
      </c>
      <c r="M23" s="2630">
        <f t="shared" si="8"/>
        <v>0</v>
      </c>
      <c r="N23" s="2631"/>
      <c r="O23" s="2632"/>
      <c r="P23" s="2633">
        <f t="shared" si="9"/>
        <v>0</v>
      </c>
      <c r="R23" s="274">
        <f t="shared" si="5"/>
        <v>0</v>
      </c>
      <c r="S23" s="2301">
        <f t="shared" si="5"/>
        <v>0</v>
      </c>
    </row>
    <row r="24" spans="1:19" hidden="1">
      <c r="A24" s="137"/>
      <c r="B24" s="114" t="s">
        <v>226</v>
      </c>
      <c r="C24" s="138"/>
      <c r="D24" s="110">
        <f>ROUND($D$3*E24/$E$3,2)</f>
        <v>0</v>
      </c>
      <c r="E24" s="133">
        <f>SUM(F24:G24)</f>
        <v>0</v>
      </c>
      <c r="F24" s="139"/>
      <c r="G24" s="1368"/>
      <c r="H24" s="973">
        <f>ROUND($D$3*I24/$E$3,2)</f>
        <v>0</v>
      </c>
      <c r="I24" s="115">
        <f t="shared" si="7"/>
        <v>0</v>
      </c>
      <c r="J24" s="1984"/>
      <c r="K24" s="2629">
        <f t="shared" si="3"/>
        <v>0</v>
      </c>
      <c r="L24" s="274">
        <f t="shared" si="4"/>
        <v>0</v>
      </c>
      <c r="M24" s="2630">
        <f t="shared" si="8"/>
        <v>0</v>
      </c>
      <c r="N24" s="2631"/>
      <c r="O24" s="2632"/>
      <c r="P24" s="2633">
        <f t="shared" si="9"/>
        <v>0</v>
      </c>
      <c r="R24" s="274">
        <f t="shared" si="5"/>
        <v>0</v>
      </c>
      <c r="S24" s="2301">
        <f t="shared" si="5"/>
        <v>0</v>
      </c>
    </row>
    <row r="25" spans="1:19" hidden="1">
      <c r="A25" s="137"/>
      <c r="B25" s="114" t="s">
        <v>226</v>
      </c>
      <c r="C25" s="138"/>
      <c r="D25" s="110">
        <f t="shared" si="1"/>
        <v>0</v>
      </c>
      <c r="E25" s="133">
        <f t="shared" si="2"/>
        <v>0</v>
      </c>
      <c r="F25" s="139"/>
      <c r="G25" s="1368"/>
      <c r="H25" s="109">
        <f t="shared" si="6"/>
        <v>0</v>
      </c>
      <c r="I25" s="115">
        <f t="shared" si="7"/>
        <v>0</v>
      </c>
      <c r="J25" s="1984"/>
      <c r="K25" s="2629">
        <f t="shared" si="3"/>
        <v>0</v>
      </c>
      <c r="L25" s="274">
        <f t="shared" si="4"/>
        <v>0</v>
      </c>
      <c r="M25" s="2630">
        <f t="shared" si="8"/>
        <v>0</v>
      </c>
      <c r="N25" s="2631"/>
      <c r="O25" s="2632"/>
      <c r="P25" s="2633">
        <f t="shared" si="9"/>
        <v>0</v>
      </c>
      <c r="R25" s="274">
        <f t="shared" si="5"/>
        <v>0</v>
      </c>
      <c r="S25" s="2301">
        <f t="shared" si="5"/>
        <v>0</v>
      </c>
    </row>
    <row r="26" spans="1:19" hidden="1">
      <c r="A26" s="137"/>
      <c r="B26" s="114" t="s">
        <v>226</v>
      </c>
      <c r="C26" s="141"/>
      <c r="D26" s="110">
        <f t="shared" si="1"/>
        <v>0</v>
      </c>
      <c r="E26" s="133">
        <f t="shared" si="2"/>
        <v>0</v>
      </c>
      <c r="F26" s="139"/>
      <c r="G26" s="1368"/>
      <c r="H26" s="109">
        <f t="shared" si="6"/>
        <v>0</v>
      </c>
      <c r="I26" s="115">
        <f t="shared" si="7"/>
        <v>0</v>
      </c>
      <c r="J26" s="1984"/>
      <c r="K26" s="2634">
        <f t="shared" si="3"/>
        <v>0</v>
      </c>
      <c r="L26" s="279">
        <f t="shared" si="4"/>
        <v>0</v>
      </c>
      <c r="M26" s="145">
        <f t="shared" si="8"/>
        <v>0</v>
      </c>
      <c r="N26" s="2635"/>
      <c r="O26" s="2636"/>
      <c r="P26" s="2637">
        <f t="shared" si="9"/>
        <v>0</v>
      </c>
      <c r="R26" s="274">
        <f t="shared" si="5"/>
        <v>0</v>
      </c>
      <c r="S26" s="2301">
        <f t="shared" si="5"/>
        <v>0</v>
      </c>
    </row>
    <row r="27" spans="1:19" ht="29.25" thickBot="1">
      <c r="A27" s="137"/>
      <c r="B27" s="110"/>
      <c r="C27" s="126" t="s">
        <v>215</v>
      </c>
      <c r="D27" s="133">
        <f>SUM(D19:D26)</f>
        <v>42094.100000000006</v>
      </c>
      <c r="E27" s="142">
        <f>IF(SUM(E19:E26)='数据-基础表'!BA5,SUM(E19:E26),IF(F27="地上面积有误","面积有误","地下面积有误"))</f>
        <v>214838</v>
      </c>
      <c r="F27" s="133">
        <f>IF(SUM(F19:F26)=E8,SUM(F19:F26),"地上面积有误")</f>
        <v>159953</v>
      </c>
      <c r="G27" s="111">
        <f>SUM(G19:G26)</f>
        <v>54885</v>
      </c>
      <c r="H27" s="974">
        <f>SUM(H19:H26)</f>
        <v>469.08</v>
      </c>
      <c r="I27" s="975">
        <f>SUM(I19:I26)</f>
        <v>2393.9900000000002</v>
      </c>
      <c r="J27" s="1984"/>
      <c r="K27" s="2638">
        <f t="shared" ref="K27:P27" si="10">SUM(K19:K26)</f>
        <v>1032.99</v>
      </c>
      <c r="L27" s="2639">
        <f t="shared" si="10"/>
        <v>1361</v>
      </c>
      <c r="M27" s="2640">
        <f t="shared" si="10"/>
        <v>2393.9900000000002</v>
      </c>
      <c r="N27" s="2638">
        <f t="shared" si="10"/>
        <v>0</v>
      </c>
      <c r="O27" s="2639">
        <f t="shared" si="10"/>
        <v>0</v>
      </c>
      <c r="P27" s="2641">
        <f t="shared" si="10"/>
        <v>0</v>
      </c>
      <c r="R27" s="2305" t="str">
        <f>IF(SUM(R19:R26)=$D$3,SUM(R19:R26),SUM(R19:R26)&amp;"误差"&amp;ROUND(SUM(R19:R26)-$D$3,2))</f>
        <v>42563.18误差0.01</v>
      </c>
      <c r="S27" s="274" t="str">
        <f>IF(SUM(S19:S26)=$E$3,SUM(S19:S26),SUM(S19:S26)&amp;"误差"&amp;ROUND(SUM(S19:S26)-E3,2))</f>
        <v>217231.99误差-0.01</v>
      </c>
    </row>
    <row r="28" spans="1:19">
      <c r="A28" s="137"/>
      <c r="B28" s="114" t="s">
        <v>227</v>
      </c>
      <c r="C28" s="135" t="s">
        <v>228</v>
      </c>
      <c r="D28" s="110">
        <f>ROUND($D$3*E28/$E$3,2)</f>
        <v>202.4</v>
      </c>
      <c r="E28" s="133">
        <f>SUM(F28:G28)</f>
        <v>1033</v>
      </c>
      <c r="F28" s="143">
        <f>'数据-基础表'!BQ5+'数据-基础表'!BS5</f>
        <v>0</v>
      </c>
      <c r="G28" s="144">
        <f>'数据-基础表'!BR5+'数据-基础表'!BT5</f>
        <v>1033</v>
      </c>
      <c r="H28" s="1984"/>
      <c r="I28" s="1984"/>
      <c r="J28" s="1984"/>
      <c r="K28" s="1984"/>
      <c r="L28" s="1984"/>
    </row>
    <row r="29" spans="1:19">
      <c r="A29" s="137"/>
      <c r="B29" s="114" t="s">
        <v>227</v>
      </c>
      <c r="C29" s="2313" t="s">
        <v>2323</v>
      </c>
      <c r="D29" s="110">
        <f>ROUND($D$3*E29/$E$3,2)</f>
        <v>266.67</v>
      </c>
      <c r="E29" s="133">
        <f>SUM(F29:G29)</f>
        <v>1361</v>
      </c>
      <c r="F29" s="143">
        <f>'数据-基础表'!BM5+'数据-基础表'!BO5</f>
        <v>1361</v>
      </c>
      <c r="G29" s="145">
        <f>'数据-基础表'!BN5+'数据-基础表'!BP5</f>
        <v>0</v>
      </c>
      <c r="H29" s="1984"/>
      <c r="I29" s="1984"/>
      <c r="J29" s="1984"/>
      <c r="K29" s="1984"/>
      <c r="L29" s="1984"/>
    </row>
    <row r="30" spans="1:19">
      <c r="A30" s="137"/>
      <c r="B30" s="110"/>
      <c r="C30" s="146" t="s">
        <v>215</v>
      </c>
      <c r="D30" s="133">
        <f>SUM(D28:D29)</f>
        <v>469.07000000000005</v>
      </c>
      <c r="E30" s="133">
        <f>SUM(E28:E29)</f>
        <v>2394</v>
      </c>
      <c r="F30" s="133">
        <f>SUM(F28:F29)</f>
        <v>1361</v>
      </c>
      <c r="G30" s="111">
        <f>SUM(G28:G29)</f>
        <v>1033</v>
      </c>
      <c r="H30" s="1984"/>
      <c r="I30" s="1984"/>
      <c r="J30" s="1984"/>
      <c r="K30" s="1984"/>
      <c r="L30" s="1984"/>
    </row>
    <row r="31" spans="1:19" ht="32.25" customHeight="1" thickBot="1">
      <c r="A31" s="1369"/>
      <c r="B31" s="1370" t="s">
        <v>229</v>
      </c>
      <c r="C31" s="2330" t="s">
        <v>2325</v>
      </c>
      <c r="D31" s="1371">
        <f>D27+D30</f>
        <v>42563.170000000006</v>
      </c>
      <c r="E31" s="1371">
        <f>E27+E30</f>
        <v>217232</v>
      </c>
      <c r="F31" s="1372">
        <f>F27+F30</f>
        <v>161314</v>
      </c>
      <c r="G31" s="1373">
        <f>G27+G30</f>
        <v>55918</v>
      </c>
      <c r="H31" s="1984"/>
      <c r="I31" s="1984"/>
      <c r="J31" s="1984"/>
      <c r="K31" s="1984"/>
      <c r="L31" s="1984"/>
    </row>
    <row r="32" spans="1:19">
      <c r="A32" s="1984"/>
      <c r="B32" s="2363" t="s">
        <v>2324</v>
      </c>
      <c r="C32" s="2669"/>
      <c r="D32" s="1200"/>
      <c r="E32" s="1200">
        <f>SUMIF(C19:C26,"*住宅*",E19:E26)</f>
        <v>154834</v>
      </c>
      <c r="F32" s="1200"/>
      <c r="G32" s="1200"/>
    </row>
    <row r="33" spans="4:8">
      <c r="D33" s="1988"/>
    </row>
    <row r="35" spans="4:8">
      <c r="F35" s="1988"/>
      <c r="H35" s="3174">
        <f>F31-'数据-基础表'!AZ3-1500</f>
        <v>37228.14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H18" sqref="AH1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3" width="7.25" style="1202" customWidth="1"/>
    <col min="34" max="34" width="9.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7"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8" t="s">
        <v>235</v>
      </c>
      <c r="B2" s="2338">
        <f>项目基本情况!D3</f>
        <v>43187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49" t="s">
        <v>865</v>
      </c>
      <c r="B4" s="151"/>
      <c r="C4" s="152"/>
      <c r="D4" s="1207"/>
      <c r="E4" s="1208" t="s">
        <v>866</v>
      </c>
      <c r="F4" s="152"/>
      <c r="G4" s="152"/>
      <c r="H4" s="152"/>
      <c r="I4" s="152"/>
      <c r="J4" s="153"/>
      <c r="K4" s="1209"/>
      <c r="L4" s="1210"/>
      <c r="M4" s="152"/>
      <c r="N4" s="1208" t="s">
        <v>867</v>
      </c>
      <c r="O4" s="152"/>
      <c r="P4" s="152"/>
      <c r="Q4" s="152"/>
      <c r="R4" s="152"/>
      <c r="S4" s="153"/>
      <c r="T4" s="976"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2327</v>
      </c>
      <c r="B5" s="155" t="s">
        <v>236</v>
      </c>
      <c r="C5" s="156" t="s">
        <v>237</v>
      </c>
      <c r="D5" s="157" t="s">
        <v>238</v>
      </c>
      <c r="E5" s="158" t="s">
        <v>239</v>
      </c>
      <c r="F5" s="159" t="s">
        <v>240</v>
      </c>
      <c r="G5" s="158" t="s">
        <v>241</v>
      </c>
      <c r="H5" s="158" t="s">
        <v>863</v>
      </c>
      <c r="I5" s="158" t="s">
        <v>864</v>
      </c>
      <c r="J5" s="160" t="s">
        <v>242</v>
      </c>
      <c r="K5" s="161" t="s">
        <v>243</v>
      </c>
      <c r="L5" s="162" t="s">
        <v>244</v>
      </c>
      <c r="M5" s="163" t="s">
        <v>245</v>
      </c>
      <c r="N5" s="1218" t="s">
        <v>2836</v>
      </c>
      <c r="O5" s="162" t="s">
        <v>246</v>
      </c>
      <c r="P5" s="164" t="s">
        <v>247</v>
      </c>
      <c r="Q5" s="165" t="s">
        <v>248</v>
      </c>
      <c r="R5" s="166" t="s">
        <v>249</v>
      </c>
      <c r="S5" s="2642" t="s">
        <v>2578</v>
      </c>
      <c r="T5" s="167" t="s">
        <v>250</v>
      </c>
      <c r="U5" s="168" t="s">
        <v>251</v>
      </c>
      <c r="V5" s="158" t="s">
        <v>252</v>
      </c>
      <c r="W5" s="158" t="s">
        <v>253</v>
      </c>
      <c r="X5" s="1818"/>
      <c r="Y5" s="169" t="s">
        <v>254</v>
      </c>
      <c r="Z5" s="170" t="s">
        <v>255</v>
      </c>
      <c r="AA5" s="158" t="s">
        <v>252</v>
      </c>
      <c r="AB5" s="158" t="s">
        <v>253</v>
      </c>
      <c r="AC5" s="1819"/>
      <c r="AD5" s="171" t="s">
        <v>254</v>
      </c>
      <c r="AE5" s="1" t="s">
        <v>871</v>
      </c>
      <c r="AF5" s="158" t="s">
        <v>256</v>
      </c>
      <c r="AG5" s="169" t="s">
        <v>257</v>
      </c>
      <c r="AH5" s="1819" t="s">
        <v>2326</v>
      </c>
      <c r="AI5" s="170" t="s">
        <v>2295</v>
      </c>
      <c r="AJ5" s="170" t="s">
        <v>258</v>
      </c>
      <c r="AK5" s="158" t="s">
        <v>259</v>
      </c>
      <c r="AL5" s="158" t="s">
        <v>260</v>
      </c>
      <c r="AM5" s="171" t="s">
        <v>261</v>
      </c>
      <c r="AN5" s="2412" t="s">
        <v>2377</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平层住宅</v>
      </c>
      <c r="B6" s="2337" t="str">
        <f>IF(A6=0,"","经营性")</f>
        <v>经营性</v>
      </c>
      <c r="C6" s="172" t="s">
        <v>924</v>
      </c>
      <c r="D6" s="2308">
        <f>SUMIF(项目基本情况!D$15:I$15,C6,项目基本情况!D$18:I$18)</f>
        <v>70</v>
      </c>
      <c r="E6" s="2309">
        <f>IF(B6="","",SUMIF(项目基本情况!D$15:I$15,C6,项目基本情况!D$17:I$17))</f>
        <v>68755</v>
      </c>
      <c r="F6" s="173">
        <f>SUMIF(项目基本情况!D$15:I$15,C6,项目基本情况!D$19:I$19)</f>
        <v>70</v>
      </c>
      <c r="G6" s="174">
        <f t="shared" ref="G6:G13" si="0">IF(ISERROR(ROUND(POWER(1+H6,D6-F6)*(POWER(1+H6,F6)-1)/(POWER(1+H6,D6)-1),3)),0,ROUND(POWER(1+H6,D6-F6)*(POWER(1+H6,F6)-1)/(POWER(1+H6,D6)-1),3))</f>
        <v>1</v>
      </c>
      <c r="H6" s="3049">
        <v>4.4999999999999998E-2</v>
      </c>
      <c r="I6" s="3049">
        <v>0.05</v>
      </c>
      <c r="J6" s="175">
        <v>8.5000000000000006E-2</v>
      </c>
      <c r="K6" s="178">
        <f>SUMIF('数据-汇总表'!C$19:C$33,'数据-取费表'!A6,'数据-汇总表'!E$19:E$33)</f>
        <v>154834</v>
      </c>
      <c r="L6" s="3050">
        <v>2300</v>
      </c>
      <c r="M6" s="176">
        <f t="shared" ref="M6:M14" si="1">ROUND(K6*L6/10000,0)</f>
        <v>35612</v>
      </c>
      <c r="N6" s="3051">
        <v>0</v>
      </c>
      <c r="O6" s="176">
        <f>IF($N$5="成新度","——",ROUND(M6*N6,0))</f>
        <v>0</v>
      </c>
      <c r="P6" s="177">
        <f>IF($N$5="成新度","——",M6-O6)</f>
        <v>35612</v>
      </c>
      <c r="Q6" s="3052">
        <v>0.15</v>
      </c>
      <c r="R6" s="178">
        <f>SUMIF('数据-汇总表'!C$19:C$33,A6,'数据-汇总表'!R$19:R$33)</f>
        <v>30749.81</v>
      </c>
      <c r="S6" s="131">
        <f>IF('数据-汇总表'!$I$17="按面积比例",SUMIF('数据-汇总表'!C$19:C$33,A6,'数据-汇总表'!K$19:K$33),SUMIF('数据-汇总表'!C$19:C$33,A6,'数据-汇总表'!N$19:N$33))</f>
        <v>744.48</v>
      </c>
      <c r="T6" s="2234">
        <f>IF($T$4="按面积比例",IF(ISERROR(ROUND($M$14*S6/S$16,0)),"0",ROUND($M$14*S6/S$16,0)),"需自行计算录入")</f>
        <v>172</v>
      </c>
      <c r="U6" s="179"/>
      <c r="V6" s="180"/>
      <c r="W6" s="180"/>
      <c r="X6" s="2321"/>
      <c r="Y6" s="181">
        <v>1</v>
      </c>
      <c r="Z6" s="182"/>
      <c r="AA6" s="175"/>
      <c r="AB6" s="175"/>
      <c r="AC6" s="2324"/>
      <c r="AD6" s="183"/>
      <c r="AE6" s="971">
        <f ca="1">IF(AN6="",0,SUMIF(INDIRECT("'"&amp;AN6&amp;"'"&amp;"!E:E"),$AE$5,INDIRECT("'"&amp;AN6&amp;"'"&amp;"!F:F")))</f>
        <v>0</v>
      </c>
      <c r="AF6" s="140"/>
      <c r="AG6" s="1212">
        <f>IF(AF6="",0,AE6-AF6)</f>
        <v>0</v>
      </c>
      <c r="AH6" s="140"/>
      <c r="AI6" s="186"/>
      <c r="AJ6" s="187"/>
      <c r="AK6" s="188"/>
      <c r="AL6" s="189"/>
      <c r="AM6" s="3063"/>
      <c r="AN6" s="2413"/>
      <c r="AO6" s="2000"/>
      <c r="AP6" s="1203">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5">
      <c r="A7" s="2302" t="str">
        <f>'数据-汇总表'!C20</f>
        <v>底商</v>
      </c>
      <c r="B7" s="2337" t="str">
        <f t="shared" ref="B7:B13" si="2">IF(A7=0,"","经营性")</f>
        <v>经营性</v>
      </c>
      <c r="C7" s="172" t="s">
        <v>3044</v>
      </c>
      <c r="D7" s="2308">
        <f>SUMIF(项目基本情况!D$15:I$15,C7,项目基本情况!D$18:I$18)</f>
        <v>40</v>
      </c>
      <c r="E7" s="2309">
        <f>IF(B7="","",SUMIF(项目基本情况!D$15:I$15,C7,项目基本情况!D$17:I$17))</f>
        <v>57797</v>
      </c>
      <c r="F7" s="173">
        <f>SUMIF(项目基本情况!D$15:I$15,C7,项目基本情况!D$19:I$19)</f>
        <v>40</v>
      </c>
      <c r="G7" s="174">
        <f t="shared" si="0"/>
        <v>1</v>
      </c>
      <c r="H7" s="3049">
        <v>0.05</v>
      </c>
      <c r="I7" s="3049">
        <v>0.06</v>
      </c>
      <c r="J7" s="175">
        <v>8.5000000000000006E-2</v>
      </c>
      <c r="K7" s="178">
        <f>SUMIF('数据-汇总表'!C$19:C$33,'数据-取费表'!A7,'数据-汇总表'!E$19:E$33)</f>
        <v>2119</v>
      </c>
      <c r="L7" s="3050">
        <v>2300</v>
      </c>
      <c r="M7" s="176">
        <f t="shared" si="1"/>
        <v>487</v>
      </c>
      <c r="N7" s="3051">
        <v>0</v>
      </c>
      <c r="O7" s="176">
        <f t="shared" ref="O7:O14" si="3">IF($N$5="成新度","——",ROUND(M7*N7,0))</f>
        <v>0</v>
      </c>
      <c r="P7" s="177">
        <f t="shared" ref="P7:P14" si="4">IF($N$5="成新度","——",M7-O7)</f>
        <v>487</v>
      </c>
      <c r="Q7" s="3052">
        <v>0.25</v>
      </c>
      <c r="R7" s="178">
        <f>SUMIF('数据-汇总表'!C$19:C$33,A7,'数据-汇总表'!R$19:R$33)</f>
        <v>417.18</v>
      </c>
      <c r="S7" s="131">
        <f>IF('数据-汇总表'!$I$17="按面积比例",SUMIF('数据-汇总表'!C$19:C$33,A7,'数据-汇总表'!K$19:K$33),SUMIF('数据-汇总表'!C$19:C$33,A7,'数据-汇总表'!N$19:N$33))</f>
        <v>10.19</v>
      </c>
      <c r="T7" s="2234">
        <f t="shared" ref="T7:T13" si="5">IF($T$4="按面积比例",IF(ISERROR(ROUND($M$14*S7/S$16,0)),"0",ROUND($M$14*S7/S$16,0)),"需自行计算录入")</f>
        <v>2</v>
      </c>
      <c r="U7" s="179">
        <v>3.5</v>
      </c>
      <c r="V7" s="180">
        <v>0.03</v>
      </c>
      <c r="W7" s="180">
        <v>0.1</v>
      </c>
      <c r="X7" s="2321"/>
      <c r="Y7" s="181">
        <v>1</v>
      </c>
      <c r="Z7" s="182"/>
      <c r="AA7" s="175"/>
      <c r="AB7" s="175"/>
      <c r="AC7" s="2324"/>
      <c r="AD7" s="183"/>
      <c r="AE7" s="971">
        <f t="shared" ref="AE7:AE13" ca="1" si="6">IF(AN7="",0,SUMIF(INDIRECT("'"&amp;AN7&amp;"'"&amp;"!E:E"),$AE$5,INDIRECT("'"&amp;AN7&amp;"'"&amp;"!F:F")))</f>
        <v>38</v>
      </c>
      <c r="AF7" s="140"/>
      <c r="AG7" s="1212">
        <f t="shared" ref="AG7:AG13" si="7">IF(AF7="",0,AE7-AF7)</f>
        <v>0</v>
      </c>
      <c r="AH7" s="3518">
        <f>K7</f>
        <v>2119</v>
      </c>
      <c r="AI7" s="186">
        <v>365</v>
      </c>
      <c r="AJ7" s="187"/>
      <c r="AK7" s="188">
        <v>0.02</v>
      </c>
      <c r="AL7" s="189">
        <v>2E-3</v>
      </c>
      <c r="AM7" s="3063">
        <v>0.03</v>
      </c>
      <c r="AN7" s="2413" t="s">
        <v>3228</v>
      </c>
      <c r="AO7" s="2000"/>
      <c r="AP7" s="1203">
        <f t="shared" ref="AP7:AP13" si="8">ROUND(1-1/(1+H7)^F7,3)</f>
        <v>0.85799999999999998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5">
      <c r="A8" s="2302" t="str">
        <f>'数据-汇总表'!C21</f>
        <v>车库</v>
      </c>
      <c r="B8" s="2337" t="str">
        <f t="shared" si="2"/>
        <v>经营性</v>
      </c>
      <c r="C8" s="3208" t="s">
        <v>3046</v>
      </c>
      <c r="D8" s="3209">
        <f>SUMIF(项目基本情况!D$15:I$15,C8,项目基本情况!D$18:I$18)</f>
        <v>50</v>
      </c>
      <c r="E8" s="2309">
        <f>IF(B8="","",SUMIF(项目基本情况!D$15:I$15,C8,项目基本情况!D$17:I$17))</f>
        <v>68755</v>
      </c>
      <c r="F8" s="173">
        <f>SUMIF(项目基本情况!D$15:I$15,C8,项目基本情况!D$19:I$19)</f>
        <v>50</v>
      </c>
      <c r="G8" s="174">
        <f t="shared" si="0"/>
        <v>1</v>
      </c>
      <c r="H8" s="3049">
        <v>0.04</v>
      </c>
      <c r="I8" s="3049">
        <v>4.4999999999999998E-2</v>
      </c>
      <c r="J8" s="175">
        <v>8.5000000000000006E-2</v>
      </c>
      <c r="K8" s="178">
        <f>SUMIF('数据-汇总表'!C$19:C$33,'数据-取费表'!A8,'数据-汇总表'!E$19:E$33)</f>
        <v>54885</v>
      </c>
      <c r="L8" s="3050">
        <v>2500</v>
      </c>
      <c r="M8" s="176">
        <f>ROUND(K8*L8/10000,0)</f>
        <v>13721</v>
      </c>
      <c r="N8" s="3051">
        <v>0</v>
      </c>
      <c r="O8" s="176">
        <f t="shared" si="3"/>
        <v>0</v>
      </c>
      <c r="P8" s="177">
        <f t="shared" si="4"/>
        <v>13721</v>
      </c>
      <c r="Q8" s="3052">
        <v>0.03</v>
      </c>
      <c r="R8" s="178">
        <f>SUMIF('数据-汇总表'!C$19:C$33,A8,'数据-汇总表'!R$19:R$33)</f>
        <v>10805.56</v>
      </c>
      <c r="S8" s="131">
        <f>IF('数据-汇总表'!$I$17="按面积比例",SUMIF('数据-汇总表'!C$19:C$33,A8,'数据-汇总表'!K$19:K$33),SUMIF('数据-汇总表'!C$19:C$33,A8,'数据-汇总表'!N$19:N$33))</f>
        <v>263.89999999999998</v>
      </c>
      <c r="T8" s="2234">
        <f t="shared" si="5"/>
        <v>61</v>
      </c>
      <c r="U8" s="179"/>
      <c r="V8" s="180"/>
      <c r="W8" s="180"/>
      <c r="X8" s="2321"/>
      <c r="Y8" s="181">
        <v>1</v>
      </c>
      <c r="Z8" s="182"/>
      <c r="AA8" s="175"/>
      <c r="AB8" s="175"/>
      <c r="AC8" s="2324"/>
      <c r="AD8" s="183"/>
      <c r="AE8" s="971">
        <f t="shared" ca="1" si="6"/>
        <v>0</v>
      </c>
      <c r="AF8" s="140"/>
      <c r="AG8" s="1212">
        <f t="shared" si="7"/>
        <v>0</v>
      </c>
      <c r="AH8" s="140">
        <v>1721</v>
      </c>
      <c r="AI8" s="186"/>
      <c r="AJ8" s="187"/>
      <c r="AK8" s="188"/>
      <c r="AL8" s="189"/>
      <c r="AM8" s="3063"/>
      <c r="AN8" s="2413"/>
      <c r="AO8" s="2000"/>
      <c r="AP8" s="1203">
        <f t="shared" si="8"/>
        <v>0.85899999999999999</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t="str">
        <f>'数据-汇总表'!C22</f>
        <v>保障房</v>
      </c>
      <c r="B9" s="2337" t="str">
        <f t="shared" si="2"/>
        <v>经营性</v>
      </c>
      <c r="C9" s="172" t="s">
        <v>924</v>
      </c>
      <c r="D9" s="2308">
        <f>SUMIF(项目基本情况!D$15:I$15,C9,项目基本情况!D$18:I$18)</f>
        <v>70</v>
      </c>
      <c r="E9" s="2309">
        <f>IF(B9="","",SUMIF(项目基本情况!D$15:I$15,C9,项目基本情况!D$17:I$17))</f>
        <v>68755</v>
      </c>
      <c r="F9" s="173">
        <f>SUMIF(项目基本情况!D$15:I$15,C9,项目基本情况!D$19:I$19)</f>
        <v>70</v>
      </c>
      <c r="G9" s="174">
        <f t="shared" si="0"/>
        <v>1</v>
      </c>
      <c r="H9" s="175">
        <v>4.4999999999999998E-2</v>
      </c>
      <c r="I9" s="175">
        <v>0.05</v>
      </c>
      <c r="J9" s="175">
        <v>8.5000000000000006E-2</v>
      </c>
      <c r="K9" s="178">
        <f>SUMIF('数据-汇总表'!C$19:C$33,'数据-取费表'!A9,'数据-汇总表'!E$19:E$33)</f>
        <v>3000</v>
      </c>
      <c r="L9" s="192">
        <v>2300</v>
      </c>
      <c r="M9" s="176">
        <f t="shared" si="1"/>
        <v>690</v>
      </c>
      <c r="N9" s="193">
        <v>0</v>
      </c>
      <c r="O9" s="176">
        <f t="shared" si="3"/>
        <v>0</v>
      </c>
      <c r="P9" s="177">
        <f t="shared" si="4"/>
        <v>690</v>
      </c>
      <c r="Q9" s="191">
        <v>0</v>
      </c>
      <c r="R9" s="178">
        <f>SUMIF('数据-汇总表'!C$19:C$33,A9,'数据-汇总表'!R$19:R$33)</f>
        <v>590.63</v>
      </c>
      <c r="S9" s="131">
        <f>IF('数据-汇总表'!$I$17="按面积比例",SUMIF('数据-汇总表'!C$19:C$33,A9,'数据-汇总表'!K$19:K$33),SUMIF('数据-汇总表'!C$19:C$33,A9,'数据-汇总表'!N$19:N$33))</f>
        <v>14.42</v>
      </c>
      <c r="T9" s="2234">
        <f t="shared" si="5"/>
        <v>3</v>
      </c>
      <c r="U9" s="179"/>
      <c r="V9" s="180"/>
      <c r="W9" s="180"/>
      <c r="X9" s="2321"/>
      <c r="Y9" s="181"/>
      <c r="Z9" s="182"/>
      <c r="AA9" s="175"/>
      <c r="AB9" s="175"/>
      <c r="AC9" s="2324"/>
      <c r="AD9" s="183"/>
      <c r="AE9" s="971">
        <f t="shared" ca="1" si="6"/>
        <v>0</v>
      </c>
      <c r="AF9" s="140"/>
      <c r="AG9" s="1212">
        <f t="shared" si="7"/>
        <v>0</v>
      </c>
      <c r="AH9" s="140"/>
      <c r="AI9" s="186"/>
      <c r="AJ9" s="187"/>
      <c r="AK9" s="188"/>
      <c r="AL9" s="189"/>
      <c r="AM9" s="3063"/>
      <c r="AN9" s="2413"/>
      <c r="AO9" s="2000"/>
      <c r="AP9" s="1203">
        <f t="shared" si="8"/>
        <v>0.95399999999999996</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hidden="1">
      <c r="A10" s="2302">
        <f>'数据-汇总表'!C23</f>
        <v>0</v>
      </c>
      <c r="B10" s="2337" t="str">
        <f t="shared" si="2"/>
        <v/>
      </c>
      <c r="C10" s="172"/>
      <c r="D10" s="2308">
        <f>SUMIF(项目基本情况!D$15:I$15,C10,项目基本情况!D$18:I$18)</f>
        <v>0</v>
      </c>
      <c r="E10" s="2309" t="str">
        <f>IF(B10="","",SUMIF(项目基本情况!D$15:I$15,C10,项目基本情况!D$17:I$17))</f>
        <v/>
      </c>
      <c r="F10" s="173">
        <f>SUMIF(项目基本情况!D$15:I$15,C10,项目基本情况!D$19:I$19)</f>
        <v>0</v>
      </c>
      <c r="G10" s="174">
        <f t="shared" si="0"/>
        <v>0</v>
      </c>
      <c r="H10" s="175"/>
      <c r="I10" s="175"/>
      <c r="J10" s="175"/>
      <c r="K10" s="178">
        <f>SUMIF('数据-汇总表'!C$19:C$33,'数据-取费表'!A10,'数据-汇总表'!E$19:E$33)</f>
        <v>0</v>
      </c>
      <c r="L10" s="192"/>
      <c r="M10" s="176">
        <f t="shared" si="1"/>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4">
        <f t="shared" si="5"/>
        <v>0</v>
      </c>
      <c r="U10" s="179"/>
      <c r="V10" s="180"/>
      <c r="W10" s="180"/>
      <c r="X10" s="2321"/>
      <c r="Y10" s="181"/>
      <c r="Z10" s="182"/>
      <c r="AA10" s="175"/>
      <c r="AB10" s="175"/>
      <c r="AC10" s="2324"/>
      <c r="AD10" s="183"/>
      <c r="AE10" s="971">
        <f t="shared" ca="1" si="6"/>
        <v>0</v>
      </c>
      <c r="AF10" s="140"/>
      <c r="AG10" s="1212">
        <f t="shared" si="7"/>
        <v>0</v>
      </c>
      <c r="AH10" s="140"/>
      <c r="AI10" s="186"/>
      <c r="AJ10" s="187"/>
      <c r="AK10" s="188"/>
      <c r="AL10" s="189"/>
      <c r="AM10" s="2411"/>
      <c r="AN10" s="2413"/>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2"/>
        <v/>
      </c>
      <c r="C11" s="172"/>
      <c r="D11" s="2308">
        <f>SUMIF(项目基本情况!D$15:I$15,C11,项目基本情况!D$18:I$18)</f>
        <v>0</v>
      </c>
      <c r="E11" s="2309" t="str">
        <f>IF(B11="","",SUMIF(项目基本情况!D$15:I$15,C11,项目基本情况!D$17:I$17))</f>
        <v/>
      </c>
      <c r="F11" s="173">
        <f>SUMIF(项目基本情况!D$15:I$15,C11,项目基本情况!D$19:I$19)</f>
        <v>0</v>
      </c>
      <c r="G11" s="174">
        <f t="shared" si="0"/>
        <v>0</v>
      </c>
      <c r="H11" s="175"/>
      <c r="I11" s="175"/>
      <c r="J11" s="175"/>
      <c r="K11" s="178">
        <f>SUMIF('数据-汇总表'!C$19:C$33,'数据-取费表'!A11,'数据-汇总表'!E$19:E$33)</f>
        <v>0</v>
      </c>
      <c r="L11" s="192"/>
      <c r="M11" s="176">
        <f t="shared" si="1"/>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4">
        <f t="shared" si="5"/>
        <v>0</v>
      </c>
      <c r="U11" s="184"/>
      <c r="V11" s="175"/>
      <c r="W11" s="175"/>
      <c r="X11" s="2324"/>
      <c r="Y11" s="181"/>
      <c r="Z11" s="194"/>
      <c r="AA11" s="175"/>
      <c r="AB11" s="175"/>
      <c r="AC11" s="2324"/>
      <c r="AD11" s="183"/>
      <c r="AE11" s="971">
        <f t="shared" ca="1" si="6"/>
        <v>0</v>
      </c>
      <c r="AF11" s="140"/>
      <c r="AG11" s="1212">
        <f t="shared" si="7"/>
        <v>0</v>
      </c>
      <c r="AH11" s="140"/>
      <c r="AI11" s="186"/>
      <c r="AJ11" s="187"/>
      <c r="AK11" s="195"/>
      <c r="AL11" s="196"/>
      <c r="AM11" s="1817"/>
      <c r="AN11" s="2413"/>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2"/>
        <v/>
      </c>
      <c r="C12" s="172"/>
      <c r="D12" s="2308">
        <f>SUMIF(项目基本情况!D$15:I$15,C12,项目基本情况!D$18:I$18)</f>
        <v>0</v>
      </c>
      <c r="E12" s="2309" t="str">
        <f>IF(B12="","",SUMIF(项目基本情况!D$15:I$15,C12,项目基本情况!D$17:I$17))</f>
        <v/>
      </c>
      <c r="F12" s="173">
        <f>SUMIF(项目基本情况!D$15:I$15,C12,项目基本情况!D$19:I$19)</f>
        <v>0</v>
      </c>
      <c r="G12" s="174">
        <f t="shared" si="0"/>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4">
        <f t="shared" si="5"/>
        <v>0</v>
      </c>
      <c r="U12" s="184"/>
      <c r="V12" s="175"/>
      <c r="W12" s="175"/>
      <c r="X12" s="2324"/>
      <c r="Y12" s="181"/>
      <c r="Z12" s="194"/>
      <c r="AA12" s="175"/>
      <c r="AB12" s="175"/>
      <c r="AC12" s="2324"/>
      <c r="AD12" s="183"/>
      <c r="AE12" s="971">
        <f t="shared" ca="1" si="6"/>
        <v>0</v>
      </c>
      <c r="AF12" s="140"/>
      <c r="AG12" s="1212">
        <f t="shared" si="7"/>
        <v>0</v>
      </c>
      <c r="AH12" s="140"/>
      <c r="AI12" s="186"/>
      <c r="AJ12" s="187"/>
      <c r="AK12" s="195"/>
      <c r="AL12" s="196"/>
      <c r="AM12" s="1817"/>
      <c r="AN12" s="2413"/>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2"/>
        <v/>
      </c>
      <c r="C13" s="172"/>
      <c r="D13" s="2308">
        <f>SUMIF(项目基本情况!D$15:I$15,C13,项目基本情况!D$18:I$18)</f>
        <v>0</v>
      </c>
      <c r="E13" s="2309"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4">
        <f t="shared" si="5"/>
        <v>0</v>
      </c>
      <c r="U13" s="179"/>
      <c r="V13" s="180"/>
      <c r="W13" s="180"/>
      <c r="X13" s="2321"/>
      <c r="Y13" s="181"/>
      <c r="Z13" s="182"/>
      <c r="AA13" s="175"/>
      <c r="AB13" s="175"/>
      <c r="AC13" s="2324"/>
      <c r="AD13" s="183"/>
      <c r="AE13" s="971">
        <f t="shared" ca="1" si="6"/>
        <v>0</v>
      </c>
      <c r="AF13" s="140"/>
      <c r="AG13" s="1212">
        <f t="shared" si="7"/>
        <v>0</v>
      </c>
      <c r="AH13" s="140"/>
      <c r="AI13" s="186"/>
      <c r="AJ13" s="187"/>
      <c r="AK13" s="188"/>
      <c r="AL13" s="189"/>
      <c r="AM13" s="2411"/>
      <c r="AN13" s="2413"/>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2317</v>
      </c>
      <c r="B14" s="2306" t="s">
        <v>1681</v>
      </c>
      <c r="C14" s="2307" t="s">
        <v>2317</v>
      </c>
      <c r="D14" s="2308"/>
      <c r="E14" s="2309"/>
      <c r="F14" s="173"/>
      <c r="G14" s="174"/>
      <c r="H14" s="2310"/>
      <c r="I14" s="2310"/>
      <c r="J14" s="2310"/>
      <c r="K14" s="178">
        <f>SUMIF('数据-汇总表'!C$19:C$33,'数据-取费表'!A14,'数据-汇总表'!E$19:E$33)</f>
        <v>1033</v>
      </c>
      <c r="L14" s="192">
        <v>2300</v>
      </c>
      <c r="M14" s="176">
        <f t="shared" si="1"/>
        <v>238</v>
      </c>
      <c r="N14" s="193">
        <v>0</v>
      </c>
      <c r="O14" s="176">
        <f t="shared" si="3"/>
        <v>0</v>
      </c>
      <c r="P14" s="177">
        <f t="shared" si="4"/>
        <v>238</v>
      </c>
      <c r="Q14" s="2318"/>
      <c r="R14" s="178"/>
      <c r="S14" s="131"/>
      <c r="T14" s="2317"/>
      <c r="U14" s="973"/>
      <c r="V14" s="2320"/>
      <c r="W14" s="2320"/>
      <c r="X14" s="2321"/>
      <c r="Y14" s="2322"/>
      <c r="Z14" s="135"/>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2319</v>
      </c>
      <c r="B15" s="2306" t="s">
        <v>1681</v>
      </c>
      <c r="C15" s="2307" t="s">
        <v>2318</v>
      </c>
      <c r="D15" s="2308"/>
      <c r="E15" s="2309"/>
      <c r="F15" s="173"/>
      <c r="G15" s="174"/>
      <c r="H15" s="2310"/>
      <c r="I15" s="2310"/>
      <c r="J15" s="2310"/>
      <c r="K15" s="178">
        <f>SUMIF('数据-汇总表'!C$19:C$33,'数据-取费表'!A15,'数据-汇总表'!E$19:E$33)</f>
        <v>1361</v>
      </c>
      <c r="L15" s="2316"/>
      <c r="M15" s="176"/>
      <c r="N15" s="2319"/>
      <c r="O15" s="176"/>
      <c r="P15" s="177"/>
      <c r="Q15" s="2318"/>
      <c r="R15" s="178"/>
      <c r="S15" s="131"/>
      <c r="T15" s="2317"/>
      <c r="U15" s="973"/>
      <c r="V15" s="2320"/>
      <c r="W15" s="2320"/>
      <c r="X15" s="2321"/>
      <c r="Y15" s="2322"/>
      <c r="Z15" s="135"/>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7" t="s">
        <v>262</v>
      </c>
      <c r="B16" s="198"/>
      <c r="C16" s="199"/>
      <c r="D16" s="200"/>
      <c r="E16" s="198"/>
      <c r="F16" s="198"/>
      <c r="G16" s="201">
        <f>ROUND(SUMPRODUCT(G6:G13,K6:K13)/SUMPRODUCT((G6:G13&gt;0)*(K6:K13)),3)</f>
        <v>1</v>
      </c>
      <c r="H16" s="202">
        <f>ROUND(SUMPRODUCT(H6:H13,K6:K13)/SUMPRODUCT((H6:H13&gt;0)*(K6:K13)),3)</f>
        <v>4.3999999999999997E-2</v>
      </c>
      <c r="I16" s="203"/>
      <c r="J16" s="203"/>
      <c r="K16" s="204">
        <f>SUM(K6:K15)</f>
        <v>217232</v>
      </c>
      <c r="L16" s="205">
        <f>ROUND(M16*10000/SUM(K6:K14),0)</f>
        <v>2351</v>
      </c>
      <c r="M16" s="205">
        <f>SUM(M6:M14)</f>
        <v>50748</v>
      </c>
      <c r="N16" s="206">
        <f>ROUND(SUMPRODUCT(M6:M14,N6:N14)/M16,3)</f>
        <v>0</v>
      </c>
      <c r="O16" s="205">
        <f>SUM(O6:O14)</f>
        <v>0</v>
      </c>
      <c r="P16" s="205">
        <f>SUM(P6:P14)</f>
        <v>50748</v>
      </c>
      <c r="Q16" s="207">
        <f>ROUND(SUMPRODUCT(Q6:Q13,K6:K13)/SUMPRODUCT((Q6:Q13&gt;0)*(K6:K13)),2)</f>
        <v>0.12</v>
      </c>
      <c r="R16" s="2311">
        <f>SUM(R6:R13)</f>
        <v>42563.18</v>
      </c>
      <c r="S16" s="208">
        <f>SUM(S6:S13)</f>
        <v>1032.99</v>
      </c>
      <c r="T16" s="209">
        <f>IF(SUMIF(T6:T13,"&lt;9E307")=M14,SUMIF(T6:T13,"&lt;9E307"),"有误，请检查")</f>
        <v>238</v>
      </c>
      <c r="U16" s="210"/>
      <c r="V16" s="211"/>
      <c r="W16" s="211"/>
      <c r="X16" s="214"/>
      <c r="Y16" s="212"/>
      <c r="Z16" s="213"/>
      <c r="AA16" s="211"/>
      <c r="AB16" s="211"/>
      <c r="AC16" s="214"/>
      <c r="AD16" s="214"/>
      <c r="AE16" s="210"/>
      <c r="AF16" s="211"/>
      <c r="AG16" s="212"/>
      <c r="AH16" s="211"/>
      <c r="AI16" s="213"/>
      <c r="AJ16" s="213"/>
      <c r="AK16" s="211"/>
      <c r="AL16" s="211"/>
      <c r="AM16" s="212"/>
      <c r="AN16" s="2000"/>
      <c r="AO16" s="2000"/>
      <c r="AP16" s="1203">
        <f>ROUND(SUMPRODUCT(AP6:AP13,K6:K13)/SUMPRODUCT((AP6:AP13&gt;0)*(K6:K13)),3)</f>
        <v>0.92900000000000005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9"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6" t="s">
        <v>264</v>
      </c>
      <c r="B19" s="217">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8" t="s">
        <v>265</v>
      </c>
      <c r="B20" s="219">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0" t="s">
        <v>266</v>
      </c>
      <c r="B21" s="219">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8" t="s">
        <v>267</v>
      </c>
      <c r="B22" s="221">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0" t="s">
        <v>268</v>
      </c>
      <c r="B23" s="221">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2" t="s">
        <v>269</v>
      </c>
      <c r="B24" s="223">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8" t="s">
        <v>270</v>
      </c>
      <c r="B26" s="224"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5" t="s">
        <v>2341</v>
      </c>
      <c r="B27" s="226">
        <v>80</v>
      </c>
      <c r="C27" s="2367" t="s">
        <v>2345</v>
      </c>
      <c r="D27" s="1996"/>
      <c r="E27" s="1994"/>
      <c r="F27" s="1994"/>
      <c r="G27" s="1992"/>
      <c r="H27" s="1992"/>
      <c r="I27" s="1992"/>
      <c r="J27" s="1992"/>
      <c r="K27" s="1991"/>
      <c r="L27" s="1991"/>
      <c r="M27" s="1989"/>
      <c r="N27" s="1989"/>
      <c r="O27" s="1989"/>
      <c r="P27" s="1989"/>
      <c r="Q27" s="1989"/>
      <c r="R27" s="1989"/>
      <c r="S27" s="1989" t="s">
        <v>3048</v>
      </c>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7" t="s">
        <v>2342</v>
      </c>
      <c r="B28" s="228">
        <v>160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0" t="s">
        <v>2340</v>
      </c>
      <c r="B29" s="231">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7" t="s">
        <v>274</v>
      </c>
      <c r="B31" s="229">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5" t="s">
        <v>278</v>
      </c>
      <c r="B33" s="1378">
        <v>0.03</v>
      </c>
      <c r="C33" s="2365" t="s">
        <v>2900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7" t="s">
        <v>279</v>
      </c>
      <c r="B34" s="232">
        <v>0.03</v>
      </c>
      <c r="C34" s="2365" t="s">
        <v>2901</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7" t="s">
        <v>276</v>
      </c>
      <c r="B35" s="228">
        <v>200</v>
      </c>
      <c r="C35" s="2365" t="s">
        <v>2902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0" t="s">
        <v>277</v>
      </c>
      <c r="B36" s="233">
        <v>1.4999999999999999E-2</v>
      </c>
      <c r="C36" s="2365" t="s">
        <v>2903</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280</v>
      </c>
      <c r="B37" s="235">
        <v>1.4999999999999999E-2</v>
      </c>
      <c r="C37" s="2365" t="s">
        <v>2904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7" t="s">
        <v>281</v>
      </c>
      <c r="B38" s="232">
        <v>1.4999999999999999E-2</v>
      </c>
      <c r="C38" s="2365" t="s">
        <v>2904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0" t="s">
        <v>2461</v>
      </c>
      <c r="B39" s="801">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0" t="s">
        <v>2462</v>
      </c>
      <c r="B40" s="2502">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5" t="s">
        <v>282</v>
      </c>
      <c r="B41" s="237">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9">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0">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7.0000000000000007E-2</v>
      </c>
      <c r="C44" s="2365" t="s">
        <v>2905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67" t="s">
        <v>2906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67" t="s">
        <v>2907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c r="C47" s="3098" t="s">
        <v>2908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0.03</v>
      </c>
      <c r="C48" s="3099" t="s">
        <v>2909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099" t="s">
        <v>2910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0"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16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7" t="s">
        <v>294</v>
      </c>
      <c r="B53" s="250" t="s">
        <v>1157</v>
      </c>
      <c r="C53" s="3100" t="s">
        <v>2911</v>
      </c>
      <c r="D53" s="3101" t="s">
        <v>2912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2913</v>
      </c>
      <c r="B54" s="185">
        <v>22</v>
      </c>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2914</v>
      </c>
      <c r="B55" s="185">
        <v>16</v>
      </c>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2915</v>
      </c>
      <c r="B56" s="185">
        <v>10</v>
      </c>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2916</v>
      </c>
      <c r="B57" s="185">
        <v>5</v>
      </c>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2917</v>
      </c>
      <c r="B58" s="185">
        <v>3.5</v>
      </c>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2918</v>
      </c>
      <c r="B59" s="185"/>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2919</v>
      </c>
      <c r="B60" s="185"/>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2920</v>
      </c>
      <c r="B61" s="185"/>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2921</v>
      </c>
      <c r="B62" s="185"/>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2922</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6"/>
      <c r="L64" s="56"/>
    </row>
    <row r="65" spans="1:12" s="1998" customFormat="1">
      <c r="A65" s="252"/>
      <c r="D65" s="1999"/>
      <c r="K65" s="56"/>
      <c r="L65" s="56"/>
    </row>
    <row r="66" spans="1:12" s="1998" customFormat="1">
      <c r="A66" s="252"/>
      <c r="D66" s="1999"/>
      <c r="K66" s="56"/>
      <c r="L66" s="56"/>
    </row>
    <row r="67" spans="1:12" s="1998" customFormat="1">
      <c r="A67" s="252"/>
      <c r="D67" s="1999"/>
      <c r="K67" s="56"/>
      <c r="L67" s="56"/>
    </row>
    <row r="68" spans="1:12" s="1998" customFormat="1">
      <c r="A68" s="252"/>
      <c r="D68" s="1999"/>
      <c r="K68" s="56"/>
      <c r="L68" s="56"/>
    </row>
    <row r="69" spans="1:12" s="1998" customFormat="1">
      <c r="A69" s="252"/>
      <c r="D69" s="1999"/>
      <c r="K69" s="56"/>
      <c r="L69" s="56"/>
    </row>
    <row r="70" spans="1:12" s="1998" customFormat="1">
      <c r="A70" s="252"/>
      <c r="D70" s="1999"/>
      <c r="K70" s="56"/>
      <c r="L70" s="56"/>
    </row>
    <row r="71" spans="1:12" s="1998" customFormat="1">
      <c r="A71" s="252"/>
      <c r="D71" s="1999"/>
      <c r="K71" s="56"/>
      <c r="L71" s="56"/>
    </row>
    <row r="72" spans="1:12" s="1998" customFormat="1">
      <c r="A72" s="252"/>
      <c r="D72" s="1999"/>
      <c r="K72" s="56"/>
      <c r="L72" s="56"/>
    </row>
    <row r="73" spans="1:12" s="1998" customFormat="1">
      <c r="A73" s="252"/>
      <c r="D73" s="1999"/>
      <c r="K73" s="56"/>
      <c r="L73" s="56"/>
    </row>
    <row r="74" spans="1:12" s="1998" customFormat="1">
      <c r="A74" s="252"/>
      <c r="D74" s="1999"/>
      <c r="K74" s="56"/>
      <c r="L74" s="56"/>
    </row>
    <row r="75" spans="1:12" s="1998" customFormat="1">
      <c r="A75" s="252"/>
      <c r="D75" s="1999"/>
      <c r="K75" s="56"/>
      <c r="L75" s="56"/>
    </row>
    <row r="76" spans="1:12" s="1998" customFormat="1">
      <c r="A76" s="252"/>
      <c r="D76" s="1999"/>
      <c r="K76" s="56"/>
      <c r="L76" s="56"/>
    </row>
    <row r="77" spans="1:12" s="1998" customFormat="1">
      <c r="A77" s="252"/>
      <c r="D77" s="1999"/>
      <c r="K77" s="56"/>
      <c r="L77" s="56"/>
    </row>
    <row r="78" spans="1:12" s="1998" customFormat="1">
      <c r="A78" s="252"/>
      <c r="D78" s="1999"/>
      <c r="K78" s="56"/>
      <c r="L78" s="56"/>
    </row>
    <row r="79" spans="1:12" s="1998" customFormat="1">
      <c r="A79" s="252"/>
      <c r="D79" s="1999"/>
      <c r="K79" s="56"/>
      <c r="L79" s="56"/>
    </row>
    <row r="80" spans="1:12" s="1998" customFormat="1">
      <c r="A80" s="252"/>
      <c r="D80" s="1999"/>
      <c r="K80" s="56"/>
      <c r="L80" s="56"/>
    </row>
    <row r="81" spans="1:12" s="1998" customFormat="1">
      <c r="A81" s="252"/>
      <c r="D81" s="1999"/>
      <c r="K81" s="56"/>
      <c r="L81" s="56"/>
    </row>
    <row r="82" spans="1:12" s="1998" customFormat="1">
      <c r="A82" s="252"/>
      <c r="D82" s="1999"/>
      <c r="K82" s="56"/>
      <c r="L82" s="56"/>
    </row>
    <row r="83" spans="1:12" s="1998" customFormat="1">
      <c r="A83" s="252"/>
      <c r="D83" s="1999"/>
      <c r="K83" s="56"/>
      <c r="L83" s="56"/>
    </row>
    <row r="84" spans="1:12" s="1998" customFormat="1">
      <c r="A84" s="252"/>
      <c r="D84" s="1999"/>
      <c r="K84" s="56"/>
      <c r="L84" s="56"/>
    </row>
    <row r="85" spans="1:12" s="1998" customFormat="1">
      <c r="A85" s="252"/>
      <c r="D85" s="1999"/>
      <c r="K85" s="56"/>
      <c r="L85" s="56"/>
    </row>
    <row r="86" spans="1:12" s="1998" customFormat="1">
      <c r="A86" s="252"/>
      <c r="D86" s="1999"/>
      <c r="K86" s="56"/>
      <c r="L86" s="56"/>
    </row>
    <row r="87" spans="1:12" s="1998" customFormat="1">
      <c r="A87" s="252"/>
      <c r="D87" s="1999"/>
      <c r="K87" s="56"/>
      <c r="L87" s="56"/>
    </row>
    <row r="88" spans="1:12" s="1998" customFormat="1">
      <c r="A88" s="252"/>
      <c r="D88" s="1999"/>
      <c r="K88" s="56"/>
      <c r="L88" s="56"/>
    </row>
    <row r="89" spans="1:12" s="1998" customFormat="1">
      <c r="A89" s="252"/>
      <c r="D89" s="1999"/>
      <c r="K89" s="56"/>
      <c r="L89" s="56"/>
    </row>
    <row r="90" spans="1:12" s="1998" customFormat="1">
      <c r="A90" s="252"/>
      <c r="D90" s="1999"/>
      <c r="K90" s="56"/>
      <c r="L90" s="56"/>
    </row>
    <row r="91" spans="1:12" s="1998" customFormat="1">
      <c r="A91" s="252"/>
      <c r="D91" s="1999"/>
      <c r="K91" s="56"/>
      <c r="L91" s="56"/>
    </row>
    <row r="92" spans="1:12" s="1998" customFormat="1">
      <c r="A92" s="252"/>
      <c r="D92" s="1999"/>
      <c r="K92" s="56"/>
      <c r="L92" s="56"/>
    </row>
    <row r="93" spans="1:12" s="1998" customFormat="1">
      <c r="A93" s="252"/>
      <c r="D93" s="1999"/>
      <c r="K93" s="56"/>
      <c r="L93" s="56"/>
    </row>
    <row r="94" spans="1:12" s="1998" customFormat="1">
      <c r="A94" s="252"/>
      <c r="D94" s="1999"/>
      <c r="K94" s="56"/>
      <c r="L94" s="56"/>
    </row>
    <row r="95" spans="1:12" s="1998" customFormat="1">
      <c r="A95" s="252"/>
      <c r="D95" s="1999"/>
      <c r="K95" s="56"/>
      <c r="L95" s="56"/>
    </row>
    <row r="96" spans="1:12" s="1998" customFormat="1">
      <c r="A96" s="252"/>
      <c r="D96" s="1999"/>
      <c r="K96" s="56"/>
      <c r="L96" s="56"/>
    </row>
    <row r="97" spans="1:12" s="1998" customFormat="1">
      <c r="A97" s="252"/>
      <c r="D97" s="1999"/>
      <c r="K97" s="56"/>
      <c r="L97" s="56"/>
    </row>
    <row r="98" spans="1:12" s="1998" customFormat="1">
      <c r="A98" s="252"/>
      <c r="D98" s="1999"/>
      <c r="K98" s="56"/>
      <c r="L98" s="56"/>
    </row>
    <row r="99" spans="1:12" s="1998" customFormat="1">
      <c r="A99" s="252"/>
      <c r="D99" s="1999"/>
      <c r="K99" s="56"/>
      <c r="L99" s="56"/>
    </row>
    <row r="100" spans="1:12" s="1998" customFormat="1">
      <c r="A100" s="252"/>
      <c r="D100" s="1999"/>
      <c r="K100" s="56"/>
      <c r="L100" s="56"/>
    </row>
    <row r="101" spans="1:12" s="1998" customFormat="1">
      <c r="A101" s="252"/>
      <c r="D101" s="1999"/>
      <c r="K101" s="56"/>
      <c r="L101" s="56"/>
    </row>
    <row r="102" spans="1:12" s="1998" customFormat="1">
      <c r="A102" s="252"/>
      <c r="D102" s="1999"/>
      <c r="K102" s="56"/>
      <c r="L102" s="56"/>
    </row>
    <row r="103" spans="1:12" s="1998" customFormat="1">
      <c r="A103" s="252"/>
      <c r="D103" s="1999"/>
      <c r="K103" s="56"/>
      <c r="L103" s="56"/>
    </row>
    <row r="104" spans="1:12" s="1998" customFormat="1">
      <c r="A104" s="252"/>
      <c r="D104" s="1999"/>
      <c r="K104" s="56"/>
      <c r="L104" s="56"/>
    </row>
    <row r="105" spans="1:12" s="1998" customFormat="1">
      <c r="A105" s="252"/>
      <c r="D105" s="1999"/>
      <c r="K105" s="56"/>
      <c r="L105" s="56"/>
    </row>
    <row r="106" spans="1:12" s="1998" customFormat="1">
      <c r="A106" s="252"/>
      <c r="D106" s="1999"/>
      <c r="K106" s="56"/>
      <c r="L106" s="56"/>
    </row>
    <row r="107" spans="1:12" s="1998" customFormat="1">
      <c r="A107" s="252"/>
      <c r="D107" s="1999"/>
      <c r="K107" s="56"/>
      <c r="L107" s="56"/>
    </row>
    <row r="108" spans="1:12" s="1998" customFormat="1">
      <c r="A108" s="252"/>
      <c r="D108" s="1999"/>
      <c r="K108" s="56"/>
      <c r="L108" s="56"/>
    </row>
    <row r="109" spans="1:12" s="1998" customFormat="1">
      <c r="A109" s="252"/>
      <c r="D109" s="1999"/>
      <c r="K109" s="56"/>
      <c r="L109" s="56"/>
    </row>
    <row r="110" spans="1:12" s="1998" customFormat="1">
      <c r="A110" s="252"/>
      <c r="D110" s="1999"/>
      <c r="K110" s="56"/>
      <c r="L110" s="56"/>
    </row>
    <row r="111" spans="1:12" s="1998" customFormat="1">
      <c r="A111" s="252"/>
      <c r="D111" s="1999"/>
      <c r="K111" s="56"/>
      <c r="L111" s="56"/>
    </row>
    <row r="112" spans="1:12" s="1998" customFormat="1">
      <c r="A112" s="252"/>
      <c r="D112" s="1999"/>
      <c r="K112" s="56"/>
      <c r="L112" s="56"/>
    </row>
    <row r="113" spans="1:12" s="1998" customFormat="1">
      <c r="A113" s="252"/>
      <c r="D113" s="1999"/>
      <c r="K113" s="56"/>
      <c r="L113" s="56"/>
    </row>
    <row r="114" spans="1:12" s="1998" customFormat="1">
      <c r="A114" s="252"/>
      <c r="D114" s="1999"/>
      <c r="K114" s="56"/>
      <c r="L114" s="56"/>
    </row>
    <row r="115" spans="1:12" s="1998" customFormat="1">
      <c r="A115" s="252"/>
      <c r="D115" s="1999"/>
      <c r="K115" s="56"/>
      <c r="L115" s="56"/>
    </row>
    <row r="116" spans="1:12" s="1998" customFormat="1">
      <c r="A116" s="252"/>
      <c r="D116" s="1999"/>
      <c r="K116" s="56"/>
      <c r="L116" s="56"/>
    </row>
    <row r="117" spans="1:12" s="1998" customFormat="1">
      <c r="A117" s="252"/>
      <c r="D117" s="1999"/>
      <c r="K117" s="56"/>
      <c r="L117" s="56"/>
    </row>
    <row r="118" spans="1:12" s="1998" customFormat="1">
      <c r="A118" s="252"/>
      <c r="D118" s="1999"/>
      <c r="K118" s="56"/>
      <c r="L118" s="56"/>
    </row>
    <row r="119" spans="1:12" s="1998" customFormat="1">
      <c r="A119" s="252"/>
      <c r="D119" s="1999"/>
      <c r="K119" s="56"/>
      <c r="L119" s="56"/>
    </row>
    <row r="120" spans="1:12" s="1998" customFormat="1">
      <c r="A120" s="252"/>
      <c r="D120" s="1999"/>
      <c r="K120" s="56"/>
      <c r="L120" s="56"/>
    </row>
    <row r="121" spans="1:12" s="1998" customFormat="1">
      <c r="A121" s="252"/>
      <c r="D121" s="1999"/>
      <c r="K121" s="56"/>
      <c r="L121" s="56"/>
    </row>
    <row r="122" spans="1:12" s="1998" customFormat="1">
      <c r="A122" s="252"/>
      <c r="D122" s="1999"/>
      <c r="K122" s="56"/>
      <c r="L122" s="56"/>
    </row>
    <row r="123" spans="1:12" s="1998" customFormat="1">
      <c r="A123" s="252"/>
      <c r="D123" s="1999"/>
      <c r="K123" s="56"/>
      <c r="L123" s="56"/>
    </row>
    <row r="124" spans="1:12" s="1998" customFormat="1">
      <c r="A124" s="252"/>
      <c r="D124" s="1999"/>
      <c r="K124" s="56"/>
      <c r="L124" s="56"/>
    </row>
    <row r="125" spans="1:12" s="1998" customFormat="1">
      <c r="A125" s="252"/>
      <c r="D125" s="1999"/>
      <c r="K125" s="56"/>
      <c r="L125" s="56"/>
    </row>
    <row r="126" spans="1:12" s="1998" customFormat="1">
      <c r="A126" s="252"/>
      <c r="D126" s="1999"/>
      <c r="K126" s="56"/>
      <c r="L126" s="56"/>
    </row>
    <row r="127" spans="1:12" s="1998" customFormat="1">
      <c r="A127" s="252"/>
      <c r="D127" s="1999"/>
      <c r="K127" s="56"/>
      <c r="L127" s="56"/>
    </row>
    <row r="128" spans="1:12" s="1998" customFormat="1">
      <c r="A128" s="252"/>
      <c r="D128" s="1999"/>
      <c r="K128" s="56"/>
      <c r="L128" s="56"/>
    </row>
    <row r="129" spans="1:12" s="1998" customFormat="1">
      <c r="A129" s="252"/>
      <c r="D129" s="1999"/>
      <c r="K129" s="56"/>
      <c r="L129" s="56"/>
    </row>
    <row r="130" spans="1:12" s="1998" customFormat="1">
      <c r="A130" s="252"/>
      <c r="D130" s="1999"/>
      <c r="K130" s="56"/>
      <c r="L130" s="56"/>
    </row>
    <row r="131" spans="1:12" s="1998" customFormat="1">
      <c r="A131" s="252"/>
      <c r="D131" s="1999"/>
      <c r="K131" s="56"/>
      <c r="L131" s="56"/>
    </row>
    <row r="132" spans="1:12" s="1998" customFormat="1">
      <c r="A132" s="252"/>
      <c r="D132" s="1999"/>
      <c r="K132" s="56"/>
      <c r="L132" s="56"/>
    </row>
    <row r="133" spans="1:12" s="1998" customFormat="1">
      <c r="A133" s="252"/>
      <c r="D133" s="1999"/>
      <c r="K133" s="56"/>
      <c r="L133" s="56"/>
    </row>
    <row r="134" spans="1:12" s="1998" customFormat="1">
      <c r="A134" s="252"/>
      <c r="D134" s="1999"/>
      <c r="K134" s="56"/>
      <c r="L134" s="56"/>
    </row>
    <row r="135" spans="1:12" s="1998" customFormat="1">
      <c r="A135" s="252"/>
      <c r="D135" s="1999"/>
      <c r="K135" s="56"/>
      <c r="L135" s="56"/>
    </row>
    <row r="136" spans="1:12" s="1998" customFormat="1">
      <c r="A136" s="252"/>
      <c r="D136" s="1999"/>
      <c r="K136" s="56"/>
      <c r="L136" s="56"/>
    </row>
    <row r="137" spans="1:12" s="1998" customFormat="1">
      <c r="A137" s="252"/>
      <c r="D137" s="1999"/>
      <c r="K137" s="56"/>
      <c r="L137" s="56"/>
    </row>
    <row r="138" spans="1:12" s="1998" customFormat="1">
      <c r="A138" s="252"/>
      <c r="D138" s="1999"/>
      <c r="K138" s="56"/>
      <c r="L138" s="56"/>
    </row>
    <row r="139" spans="1:12" s="1998" customFormat="1">
      <c r="A139" s="252"/>
      <c r="D139" s="1999"/>
      <c r="K139" s="56"/>
      <c r="L139" s="56"/>
    </row>
    <row r="140" spans="1:12" s="1998" customFormat="1">
      <c r="A140" s="252"/>
      <c r="D140" s="1999"/>
      <c r="K140" s="56"/>
      <c r="L140" s="56"/>
    </row>
    <row r="141" spans="1:12" s="1998" customFormat="1">
      <c r="A141" s="252"/>
      <c r="D141" s="1999"/>
      <c r="K141" s="56"/>
      <c r="L141" s="56"/>
    </row>
    <row r="142" spans="1:12" s="1998" customFormat="1">
      <c r="A142" s="252"/>
      <c r="D142" s="1999"/>
      <c r="K142" s="56"/>
      <c r="L142" s="56"/>
    </row>
    <row r="143" spans="1:12" s="1998" customFormat="1">
      <c r="A143" s="252"/>
      <c r="D143" s="1999"/>
      <c r="K143" s="56"/>
      <c r="L143" s="56"/>
    </row>
    <row r="144" spans="1:12" s="1998" customFormat="1">
      <c r="A144" s="252"/>
      <c r="D144" s="1999"/>
      <c r="K144" s="56"/>
      <c r="L144" s="56"/>
    </row>
    <row r="145" spans="1:12" s="1998" customFormat="1">
      <c r="A145" s="252"/>
      <c r="D145" s="1999"/>
      <c r="K145" s="56"/>
      <c r="L145" s="56"/>
    </row>
    <row r="146" spans="1:12" s="1998" customFormat="1">
      <c r="A146" s="252"/>
      <c r="D146" s="1999"/>
      <c r="K146" s="56"/>
      <c r="L146" s="56"/>
    </row>
    <row r="147" spans="1:12" s="1998" customFormat="1">
      <c r="A147" s="252"/>
      <c r="D147" s="1999"/>
      <c r="K147" s="56"/>
      <c r="L147" s="56"/>
    </row>
    <row r="148" spans="1:12" s="1998" customFormat="1">
      <c r="A148" s="252"/>
      <c r="D148" s="1999"/>
      <c r="K148" s="56"/>
      <c r="L148" s="56"/>
    </row>
    <row r="149" spans="1:12" s="1998" customFormat="1">
      <c r="A149" s="252"/>
      <c r="D149" s="1999"/>
      <c r="K149" s="56"/>
      <c r="L149" s="56"/>
    </row>
    <row r="150" spans="1:12" s="1998" customFormat="1">
      <c r="A150" s="252"/>
      <c r="D150" s="1999"/>
      <c r="K150" s="56"/>
      <c r="L150" s="56"/>
    </row>
    <row r="151" spans="1:12" s="1998" customFormat="1">
      <c r="A151" s="252"/>
      <c r="D151" s="1999"/>
      <c r="K151" s="56"/>
      <c r="L151" s="56"/>
    </row>
    <row r="152" spans="1:12" s="1998" customFormat="1">
      <c r="A152" s="252"/>
      <c r="D152" s="1999"/>
      <c r="K152" s="56"/>
      <c r="L152" s="56"/>
    </row>
    <row r="153" spans="1:12" s="1998" customFormat="1">
      <c r="A153" s="252"/>
      <c r="D153" s="1999"/>
      <c r="K153" s="56"/>
      <c r="L153" s="56"/>
    </row>
    <row r="154" spans="1:12" s="1998" customFormat="1">
      <c r="A154" s="252"/>
      <c r="D154" s="1999"/>
      <c r="K154" s="56"/>
      <c r="L154" s="56"/>
    </row>
    <row r="155" spans="1:12" s="1998" customFormat="1">
      <c r="A155" s="252"/>
      <c r="D155" s="1999"/>
      <c r="K155" s="56"/>
      <c r="L155" s="56"/>
    </row>
    <row r="156" spans="1:12" s="1998" customFormat="1">
      <c r="A156" s="252"/>
      <c r="D156" s="1999"/>
      <c r="K156" s="56"/>
      <c r="L156" s="56"/>
    </row>
    <row r="157" spans="1:12" s="1998" customFormat="1">
      <c r="A157" s="252"/>
      <c r="D157" s="1999"/>
      <c r="K157" s="56"/>
      <c r="L157" s="56"/>
    </row>
    <row r="158" spans="1:12" s="1998" customFormat="1">
      <c r="A158" s="252"/>
      <c r="D158" s="1999"/>
      <c r="K158" s="56"/>
      <c r="L158" s="56"/>
    </row>
    <row r="159" spans="1:12" s="1998" customFormat="1">
      <c r="A159" s="252"/>
      <c r="D159" s="1999"/>
      <c r="K159" s="56"/>
      <c r="L159" s="56"/>
    </row>
    <row r="160" spans="1:12" s="1998" customFormat="1">
      <c r="A160" s="252"/>
      <c r="D160" s="1999"/>
      <c r="K160" s="56"/>
      <c r="L160" s="56"/>
    </row>
    <row r="161" spans="1:12" s="1998" customFormat="1">
      <c r="A161" s="252"/>
      <c r="D161" s="1999"/>
      <c r="K161" s="56"/>
      <c r="L161" s="56"/>
    </row>
    <row r="162" spans="1:12" s="1998" customFormat="1">
      <c r="A162" s="252"/>
      <c r="D162" s="1999"/>
      <c r="K162" s="56"/>
      <c r="L162" s="56"/>
    </row>
    <row r="163" spans="1:12" s="1998" customFormat="1">
      <c r="A163" s="252"/>
      <c r="D163" s="1999"/>
      <c r="K163" s="56"/>
      <c r="L163" s="56"/>
    </row>
    <row r="164" spans="1:12" s="1998" customFormat="1">
      <c r="A164" s="252"/>
      <c r="D164" s="1999"/>
      <c r="K164" s="56"/>
      <c r="L164" s="56"/>
    </row>
    <row r="165" spans="1:12" s="1998" customFormat="1">
      <c r="A165" s="252"/>
      <c r="D165" s="1999"/>
      <c r="K165" s="56"/>
      <c r="L165" s="56"/>
    </row>
    <row r="166" spans="1:12" s="1998" customFormat="1">
      <c r="A166" s="252"/>
      <c r="D166" s="1999"/>
      <c r="K166" s="56"/>
      <c r="L166" s="56"/>
    </row>
    <row r="167" spans="1:12" s="1998" customFormat="1">
      <c r="A167" s="252"/>
      <c r="D167" s="1999"/>
      <c r="K167" s="56"/>
      <c r="L167" s="56"/>
    </row>
    <row r="168" spans="1:12" s="1998" customFormat="1">
      <c r="A168" s="252"/>
      <c r="D168" s="1999"/>
      <c r="K168" s="56"/>
      <c r="L168" s="56"/>
    </row>
    <row r="169" spans="1:12" s="1998" customFormat="1">
      <c r="A169" s="252"/>
      <c r="D169" s="1999"/>
      <c r="K169" s="56"/>
      <c r="L169" s="56"/>
    </row>
    <row r="170" spans="1:12" s="1998" customFormat="1">
      <c r="A170" s="252"/>
      <c r="D170" s="1999"/>
      <c r="K170" s="56"/>
      <c r="L170" s="56"/>
    </row>
    <row r="171" spans="1:12" s="1998" customFormat="1">
      <c r="A171" s="252"/>
      <c r="D171" s="1999"/>
      <c r="K171" s="56"/>
      <c r="L171" s="56"/>
    </row>
    <row r="172" spans="1:12" s="1998" customFormat="1">
      <c r="A172" s="252"/>
      <c r="D172" s="1999"/>
      <c r="K172" s="56"/>
      <c r="L172" s="56"/>
    </row>
    <row r="173" spans="1:12" s="1998" customFormat="1">
      <c r="A173" s="252"/>
      <c r="D173" s="1999"/>
      <c r="K173" s="56"/>
      <c r="L173" s="56"/>
    </row>
    <row r="174" spans="1:12" s="1998" customFormat="1">
      <c r="A174" s="252"/>
      <c r="D174" s="1999"/>
      <c r="K174" s="56"/>
      <c r="L174" s="56"/>
    </row>
    <row r="175" spans="1:12" s="1998" customFormat="1">
      <c r="A175" s="252"/>
      <c r="D175" s="1999"/>
      <c r="K175" s="56"/>
      <c r="L175" s="56"/>
    </row>
    <row r="176" spans="1:12" s="1998" customFormat="1">
      <c r="A176" s="252"/>
      <c r="D176" s="1999"/>
      <c r="K176" s="56"/>
      <c r="L176" s="56"/>
    </row>
    <row r="177" spans="1:12" s="1998" customFormat="1">
      <c r="A177" s="252"/>
      <c r="D177" s="1999"/>
      <c r="K177" s="56"/>
      <c r="L177" s="56"/>
    </row>
    <row r="178" spans="1:12" s="1998" customFormat="1">
      <c r="A178" s="252"/>
      <c r="D178" s="1999"/>
      <c r="K178" s="56"/>
      <c r="L178" s="56"/>
    </row>
    <row r="179" spans="1:12" s="1998" customFormat="1">
      <c r="A179" s="252"/>
      <c r="D179" s="1999"/>
      <c r="K179" s="56"/>
      <c r="L179" s="56"/>
    </row>
    <row r="180" spans="1:12" s="1998" customFormat="1">
      <c r="A180" s="252"/>
      <c r="D180" s="1999"/>
      <c r="K180" s="56"/>
      <c r="L180" s="56"/>
    </row>
    <row r="181" spans="1:12" s="1998" customFormat="1">
      <c r="A181" s="252"/>
      <c r="D181" s="1999"/>
      <c r="K181" s="56"/>
      <c r="L181" s="56"/>
    </row>
    <row r="182" spans="1:12" s="1998" customFormat="1">
      <c r="A182" s="252"/>
      <c r="D182" s="1999"/>
      <c r="K182" s="56"/>
      <c r="L182" s="56"/>
    </row>
    <row r="183" spans="1:12" s="1998" customFormat="1">
      <c r="A183" s="252"/>
      <c r="D183" s="1999"/>
      <c r="K183" s="56"/>
      <c r="L183" s="56"/>
    </row>
    <row r="184" spans="1:12" s="1998" customFormat="1">
      <c r="A184" s="252"/>
      <c r="D184" s="1999"/>
      <c r="K184" s="56"/>
      <c r="L184" s="56"/>
    </row>
    <row r="185" spans="1:12" s="1998" customFormat="1">
      <c r="A185" s="252"/>
      <c r="D185" s="1999"/>
      <c r="K185" s="56"/>
      <c r="L185" s="56"/>
    </row>
    <row r="186" spans="1:12" s="1998" customFormat="1">
      <c r="A186" s="252"/>
      <c r="D186" s="1999"/>
      <c r="K186" s="56"/>
      <c r="L186" s="56"/>
    </row>
    <row r="187" spans="1:12" s="1998" customFormat="1">
      <c r="A187" s="252"/>
      <c r="D187" s="1999"/>
      <c r="K187" s="56"/>
      <c r="L187" s="56"/>
    </row>
    <row r="188" spans="1:12" s="1998" customFormat="1">
      <c r="A188" s="252"/>
      <c r="D188" s="1999"/>
      <c r="K188" s="56"/>
      <c r="L188" s="56"/>
    </row>
    <row r="189" spans="1:12" s="1998" customFormat="1">
      <c r="A189" s="252"/>
      <c r="D189" s="1999"/>
      <c r="K189" s="56"/>
      <c r="L189" s="56"/>
    </row>
    <row r="190" spans="1:12" s="1998" customFormat="1">
      <c r="A190" s="252"/>
      <c r="D190" s="1999"/>
      <c r="K190" s="56"/>
      <c r="L190" s="56"/>
    </row>
    <row r="191" spans="1:12" s="1998" customFormat="1">
      <c r="A191" s="252"/>
      <c r="D191" s="1999"/>
      <c r="K191" s="56"/>
      <c r="L191" s="56"/>
    </row>
    <row r="192" spans="1:12" s="1998" customFormat="1">
      <c r="A192" s="252"/>
      <c r="D192" s="1999"/>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46" t="s">
        <v>1665</v>
      </c>
      <c r="B1" s="3347"/>
      <c r="C1" s="3347"/>
      <c r="D1" s="3347"/>
      <c r="E1" s="3347"/>
      <c r="F1" s="3347"/>
      <c r="G1" s="3347"/>
      <c r="H1" s="2002"/>
      <c r="I1" s="2003"/>
      <c r="J1" s="2004"/>
      <c r="K1" s="2002"/>
      <c r="L1" s="2003"/>
      <c r="M1" s="2004"/>
      <c r="N1" s="2002"/>
      <c r="O1" s="2003"/>
      <c r="P1" s="2004"/>
      <c r="Q1" s="2005"/>
      <c r="R1" s="2006"/>
    </row>
    <row r="2" spans="1:18" ht="14.25" thickBot="1">
      <c r="A2" s="1220"/>
      <c r="B2" s="1221"/>
      <c r="C2" s="1222" t="s">
        <v>1666</v>
      </c>
      <c r="D2" s="1223"/>
      <c r="E2" s="1224"/>
      <c r="F2" s="1225"/>
      <c r="G2" s="1222" t="s">
        <v>1667</v>
      </c>
      <c r="H2" s="2008"/>
      <c r="I2" s="2008"/>
      <c r="J2" s="2008"/>
      <c r="K2" s="2008"/>
      <c r="L2" s="2008"/>
      <c r="M2" s="2008"/>
      <c r="N2" s="2008"/>
      <c r="O2" s="2008"/>
      <c r="P2" s="2008"/>
      <c r="Q2" s="2008"/>
      <c r="R2" s="2008"/>
    </row>
    <row r="3" spans="1:18" ht="54">
      <c r="A3" s="1226" t="s">
        <v>1668</v>
      </c>
      <c r="B3" s="1227" t="s">
        <v>1655</v>
      </c>
      <c r="C3" s="3105" t="s">
        <v>2929</v>
      </c>
      <c r="D3" s="2009"/>
      <c r="E3" s="1228" t="s">
        <v>1668</v>
      </c>
      <c r="F3" s="1229" t="s">
        <v>1656</v>
      </c>
      <c r="G3" s="3109" t="s">
        <v>2928</v>
      </c>
      <c r="H3" s="2008"/>
      <c r="I3" s="2008"/>
      <c r="J3" s="2008"/>
      <c r="K3" s="2008"/>
      <c r="L3" s="2008"/>
      <c r="M3" s="2008"/>
      <c r="N3" s="2008"/>
      <c r="O3" s="2008"/>
      <c r="P3" s="2008"/>
      <c r="Q3" s="2008"/>
      <c r="R3" s="2008"/>
    </row>
    <row r="4" spans="1:18" ht="41.25">
      <c r="A4" s="1228"/>
      <c r="B4" s="1230" t="s">
        <v>1669</v>
      </c>
      <c r="C4" s="3106" t="s">
        <v>2930</v>
      </c>
      <c r="D4" s="2009"/>
      <c r="E4" s="1231"/>
      <c r="F4" s="1232" t="s">
        <v>1670</v>
      </c>
      <c r="G4" s="3107" t="s">
        <v>2925</v>
      </c>
      <c r="H4" s="2008"/>
      <c r="I4" s="2008"/>
      <c r="J4" s="2008"/>
      <c r="K4" s="2008"/>
      <c r="L4" s="2008"/>
      <c r="M4" s="2008"/>
      <c r="N4" s="2008"/>
      <c r="O4" s="2008"/>
      <c r="P4" s="2008"/>
      <c r="Q4" s="2008"/>
      <c r="R4" s="2008"/>
    </row>
    <row r="5" spans="1:18" ht="41.25">
      <c r="A5" s="1228"/>
      <c r="B5" s="1230" t="s">
        <v>1671</v>
      </c>
      <c r="C5" s="3106" t="s">
        <v>2931</v>
      </c>
      <c r="D5" s="2009"/>
      <c r="E5" s="1231"/>
      <c r="F5" s="1230" t="s">
        <v>2552</v>
      </c>
      <c r="G5" s="3107" t="s">
        <v>2926</v>
      </c>
      <c r="H5" s="2008"/>
      <c r="I5" s="2008"/>
      <c r="J5" s="2008"/>
      <c r="K5" s="2008"/>
      <c r="L5" s="2008"/>
      <c r="M5" s="2008"/>
      <c r="N5" s="2008"/>
      <c r="O5" s="2008"/>
      <c r="P5" s="2008"/>
      <c r="Q5" s="2008"/>
      <c r="R5" s="2008"/>
    </row>
    <row r="6" spans="1:18" ht="54">
      <c r="A6" s="1228"/>
      <c r="B6" s="1230" t="s">
        <v>1657</v>
      </c>
      <c r="C6" s="3107" t="s">
        <v>2925</v>
      </c>
      <c r="D6" s="2009"/>
      <c r="E6" s="1231"/>
      <c r="F6" s="1230" t="s">
        <v>2553</v>
      </c>
      <c r="G6" s="3107" t="s">
        <v>2923</v>
      </c>
      <c r="H6" s="2008"/>
      <c r="I6" s="2008"/>
      <c r="J6" s="2008"/>
      <c r="K6" s="2008"/>
      <c r="L6" s="2008"/>
      <c r="M6" s="2008"/>
      <c r="N6" s="2008"/>
      <c r="O6" s="2008"/>
      <c r="P6" s="2008"/>
      <c r="Q6" s="2008"/>
      <c r="R6" s="2008"/>
    </row>
    <row r="7" spans="1:18" ht="41.25" thickBot="1">
      <c r="A7" s="1228"/>
      <c r="B7" s="1230" t="s">
        <v>2552</v>
      </c>
      <c r="C7" s="3107" t="s">
        <v>2926</v>
      </c>
      <c r="D7" s="2010"/>
      <c r="E7" s="1233"/>
      <c r="F7" s="1234" t="s">
        <v>1672</v>
      </c>
      <c r="G7" s="3110" t="s">
        <v>2927</v>
      </c>
      <c r="H7" s="2008"/>
      <c r="I7" s="2008"/>
      <c r="J7" s="2008"/>
      <c r="K7" s="2008"/>
      <c r="L7" s="2008"/>
      <c r="M7" s="2008"/>
      <c r="N7" s="2008"/>
      <c r="O7" s="2008"/>
      <c r="P7" s="2008"/>
      <c r="Q7" s="2008"/>
      <c r="R7" s="2008"/>
    </row>
    <row r="8" spans="1:18" ht="27">
      <c r="A8" s="1228"/>
      <c r="B8" s="1230" t="s">
        <v>2553</v>
      </c>
      <c r="C8" s="3107" t="s">
        <v>2923</v>
      </c>
      <c r="D8" s="2010"/>
      <c r="E8" s="2010"/>
      <c r="F8" s="1553"/>
      <c r="G8" s="1553"/>
      <c r="H8" s="2008"/>
      <c r="I8" s="2008"/>
      <c r="J8" s="2008"/>
      <c r="K8" s="2008"/>
      <c r="L8" s="2008"/>
      <c r="M8" s="2008"/>
      <c r="N8" s="2008"/>
      <c r="O8" s="2008"/>
      <c r="P8" s="2008"/>
      <c r="Q8" s="2008"/>
      <c r="R8" s="2008"/>
    </row>
    <row r="9" spans="1:18" ht="40.5">
      <c r="A9" s="1228"/>
      <c r="B9" s="1230" t="s">
        <v>1658</v>
      </c>
      <c r="C9" s="3106" t="s">
        <v>2924</v>
      </c>
      <c r="D9" s="2009"/>
      <c r="E9" s="2010"/>
      <c r="F9" s="1553"/>
      <c r="G9" s="1553"/>
      <c r="H9" s="2008"/>
      <c r="I9" s="2008"/>
      <c r="J9" s="2008"/>
      <c r="K9" s="2008"/>
      <c r="L9" s="2008"/>
      <c r="M9" s="2008"/>
      <c r="N9" s="2008"/>
      <c r="O9" s="2008"/>
      <c r="P9" s="2008"/>
      <c r="Q9" s="2008"/>
      <c r="R9" s="2008"/>
    </row>
    <row r="10" spans="1:18" s="2016" customFormat="1" ht="15" thickBot="1">
      <c r="A10" s="1235"/>
      <c r="B10" s="1236" t="s">
        <v>1673</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99"/>
      <c r="E12" s="2009"/>
      <c r="F12" s="2010"/>
      <c r="G12" s="2012"/>
      <c r="H12" s="2017"/>
      <c r="I12" s="2018"/>
      <c r="J12" s="2017"/>
      <c r="K12" s="2017"/>
      <c r="L12" s="2019"/>
      <c r="M12" s="2017"/>
      <c r="N12" s="2020"/>
      <c r="O12" s="2021"/>
      <c r="P12" s="2022"/>
      <c r="Q12" s="2020"/>
      <c r="R12" s="2006"/>
    </row>
    <row r="13" spans="1:18" ht="19.5" thickBot="1">
      <c r="A13" s="2598" t="s">
        <v>1674</v>
      </c>
      <c r="B13" s="2599"/>
      <c r="C13" s="2599"/>
      <c r="D13" s="1223"/>
      <c r="E13" s="2599"/>
      <c r="F13" s="2599"/>
      <c r="G13" s="2599"/>
    </row>
    <row r="14" spans="1:18" ht="14.25" thickBot="1">
      <c r="A14" s="1237"/>
      <c r="B14" s="1238"/>
      <c r="C14" s="1239" t="s">
        <v>1666</v>
      </c>
      <c r="D14" s="2009"/>
      <c r="E14" s="1240"/>
      <c r="F14" s="1240"/>
      <c r="G14" s="1222" t="s">
        <v>1667</v>
      </c>
    </row>
    <row r="15" spans="1:18" ht="54">
      <c r="A15" s="2609" t="s">
        <v>1659</v>
      </c>
      <c r="B15" s="1241" t="s">
        <v>1655</v>
      </c>
      <c r="C15" s="1242" t="str">
        <f>C3</f>
        <v>估价对象周边居住用地比例、居住小区规模和社区发展完善程度，综合评价居住社区成熟度一般</v>
      </c>
      <c r="D15" s="2009"/>
      <c r="E15" s="2606" t="s">
        <v>1660</v>
      </c>
      <c r="F15" s="1241" t="s">
        <v>1675</v>
      </c>
      <c r="G15" s="1243" t="str">
        <f>G3</f>
        <v>估价对象位于XX开发区，园区建设成熟度XX，产业集聚程度XX</v>
      </c>
    </row>
    <row r="16" spans="1:18" ht="40.5">
      <c r="A16" s="2610"/>
      <c r="B16" s="1244" t="s">
        <v>1669</v>
      </c>
      <c r="C16" s="1245" t="str">
        <f>C4</f>
        <v>估价对象位于XX商圈，周边商业氛围成熟，人流量大，商业繁华度好</v>
      </c>
      <c r="D16" s="2009"/>
      <c r="E16" s="2607"/>
      <c r="F16" s="1246" t="s">
        <v>1670</v>
      </c>
      <c r="G16" s="1004" t="str">
        <f>G4</f>
        <v>估价对象周边道路状况、公共交通通达情况、停车便捷程度，综合评价交通便捷度较好</v>
      </c>
    </row>
    <row r="17" spans="1:7" ht="40.5">
      <c r="A17" s="2610"/>
      <c r="B17" s="1244" t="s">
        <v>1671</v>
      </c>
      <c r="C17" s="1245" t="str">
        <f>C5</f>
        <v>估价对象位于XX商圈，周边办公楼项目较多，入驻率高，办公集聚程度较好</v>
      </c>
      <c r="D17" s="2010"/>
      <c r="E17" s="2607"/>
      <c r="F17" s="1246" t="s">
        <v>1676</v>
      </c>
      <c r="G17" s="2817"/>
    </row>
    <row r="18" spans="1:7" ht="54">
      <c r="A18" s="2610"/>
      <c r="B18" s="1246" t="s">
        <v>1657</v>
      </c>
      <c r="C18" s="1004" t="str">
        <f>C6</f>
        <v>估价对象周边道路状况、公共交通通达情况、停车便捷程度，综合评价交通便捷度较好</v>
      </c>
      <c r="D18" s="2010"/>
      <c r="E18" s="2607"/>
      <c r="F18" s="1246" t="s">
        <v>1672</v>
      </c>
      <c r="G18" s="1004" t="str">
        <f>G7</f>
        <v>该园区内是否有污染型企业，绿化情况，卫生条件，整体环境状况判断</v>
      </c>
    </row>
    <row r="19" spans="1:7" ht="27">
      <c r="A19" s="2610"/>
      <c r="B19" s="1246" t="s">
        <v>1661</v>
      </c>
      <c r="C19" s="2817"/>
      <c r="D19" s="2009"/>
      <c r="E19" s="2607"/>
      <c r="F19" s="1230" t="s">
        <v>2552</v>
      </c>
      <c r="G19" s="1004" t="str">
        <f>G5</f>
        <v>估价对象所在区域公共配套设施齐备情况</v>
      </c>
    </row>
    <row r="20" spans="1:7" ht="40.5">
      <c r="A20" s="2610"/>
      <c r="B20" s="1246" t="s">
        <v>1662</v>
      </c>
      <c r="C20" s="1245" t="str">
        <f>C9</f>
        <v>区域自然环境：；人文环境；综合评价环境状况一般</v>
      </c>
      <c r="D20" s="2010"/>
      <c r="E20" s="2607"/>
      <c r="F20" s="1230" t="s">
        <v>2553</v>
      </c>
      <c r="G20" s="1004" t="str">
        <f>G6</f>
        <v>估价对象所在区域基础设施水平</v>
      </c>
    </row>
    <row r="21" spans="1:7" ht="27">
      <c r="A21" s="2610"/>
      <c r="B21" s="1230" t="s">
        <v>2552</v>
      </c>
      <c r="C21" s="1004" t="str">
        <f>C7</f>
        <v>估价对象所在区域公共配套设施齐备情况</v>
      </c>
      <c r="D21" s="2009"/>
      <c r="E21" s="2607"/>
      <c r="F21" s="1246" t="s">
        <v>1663</v>
      </c>
      <c r="G21" s="3111"/>
    </row>
    <row r="22" spans="1:7" ht="27">
      <c r="A22" s="2610"/>
      <c r="B22" s="1230" t="s">
        <v>2553</v>
      </c>
      <c r="C22" s="1004" t="str">
        <f>C8</f>
        <v>估价对象所在区域基础设施水平</v>
      </c>
      <c r="D22" s="2009"/>
      <c r="E22" s="2607"/>
      <c r="F22" s="1246" t="s">
        <v>1673</v>
      </c>
      <c r="G22" s="2817"/>
    </row>
    <row r="23" spans="1:7" ht="15" thickBot="1">
      <c r="A23" s="2610"/>
      <c r="B23" s="1246" t="s">
        <v>1663</v>
      </c>
      <c r="C23" s="3111"/>
      <c r="E23" s="2608"/>
      <c r="F23" s="1247" t="s">
        <v>1677</v>
      </c>
      <c r="G23" s="3112"/>
    </row>
    <row r="24" spans="1:7" ht="14.25" thickBot="1">
      <c r="A24" s="2611"/>
      <c r="B24" s="1247" t="s">
        <v>1664</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2852</v>
      </c>
      <c r="B1" s="3069">
        <f>SUM(B14:B23)</f>
        <v>217232</v>
      </c>
      <c r="C1" s="3070"/>
      <c r="D1" s="3070"/>
      <c r="E1" s="3070"/>
      <c r="F1" s="3070"/>
    </row>
    <row r="2" spans="1:9" ht="16.5">
      <c r="A2" s="3069" t="s">
        <v>2853</v>
      </c>
      <c r="B2" s="3069">
        <f>SUM(C14:C23)</f>
        <v>42563.17</v>
      </c>
      <c r="C2" s="3070"/>
      <c r="D2" s="3070"/>
      <c r="E2" s="3070"/>
      <c r="F2" s="3070"/>
    </row>
    <row r="3" spans="1:9" ht="16.5">
      <c r="A3" s="3069" t="s">
        <v>2854</v>
      </c>
      <c r="B3" s="3071">
        <f>项目基本情况!D3</f>
        <v>43187</v>
      </c>
      <c r="C3" s="3070"/>
      <c r="D3" s="3070"/>
      <c r="E3" s="3070"/>
      <c r="F3" s="3070"/>
    </row>
    <row r="4" spans="1:9" ht="33">
      <c r="A4" s="3069" t="s">
        <v>2855</v>
      </c>
      <c r="B4" s="3069" t="s">
        <v>2856</v>
      </c>
      <c r="C4" s="3069" t="s">
        <v>2857</v>
      </c>
      <c r="D4" s="3069" t="s">
        <v>2858</v>
      </c>
      <c r="E4" s="3070"/>
      <c r="F4" s="3070"/>
    </row>
    <row r="5" spans="1:9" ht="16.5">
      <c r="A5" s="3069" t="s">
        <v>2859</v>
      </c>
      <c r="B5" s="3069">
        <f ca="1">SUM(D14:D23)</f>
        <v>80423</v>
      </c>
      <c r="C5" s="3069">
        <f ca="1">ROUND(B5*10000/$B$1,0)</f>
        <v>3702</v>
      </c>
      <c r="D5" s="3069">
        <f ca="1">ROUND(B5*10000/$B$2,0)</f>
        <v>18895</v>
      </c>
      <c r="E5" s="3070"/>
      <c r="F5" s="3070"/>
    </row>
    <row r="6" spans="1:9" ht="16.5">
      <c r="A6" s="3069" t="s">
        <v>2860</v>
      </c>
      <c r="B6" s="3069">
        <f>SUM(G14:G23)</f>
        <v>0</v>
      </c>
      <c r="C6" s="3069">
        <f>ROUND(B6*10000/$B$1,0)</f>
        <v>0</v>
      </c>
      <c r="D6" s="3069">
        <f>ROUND(B6*10000/$B$2,0)</f>
        <v>0</v>
      </c>
      <c r="E6" s="3070"/>
      <c r="F6" s="3070"/>
    </row>
    <row r="7" spans="1:9" ht="16.5">
      <c r="A7" s="3069" t="s">
        <v>2861</v>
      </c>
      <c r="B7" s="3069">
        <f>SUM(H14:H23)</f>
        <v>0</v>
      </c>
      <c r="C7" s="3069">
        <f>ROUND(B7*10000/$B$1,0)</f>
        <v>0</v>
      </c>
      <c r="D7" s="3069">
        <f>ROUND(B7*10000/$B$2,0)</f>
        <v>0</v>
      </c>
      <c r="E7" s="3070"/>
      <c r="F7" s="3070"/>
    </row>
    <row r="8" spans="1:9" ht="16.5">
      <c r="A8" s="3069" t="s">
        <v>2862</v>
      </c>
      <c r="B8" s="3069">
        <f>SUM(I14:I23)</f>
        <v>0</v>
      </c>
      <c r="C8" s="3069">
        <f>ROUND(B8*10000/$B$1,0)</f>
        <v>0</v>
      </c>
      <c r="D8" s="3069">
        <f>ROUND(B8*10000/$B$2,0)</f>
        <v>0</v>
      </c>
      <c r="E8" s="3070"/>
      <c r="F8" s="3070"/>
    </row>
    <row r="9" spans="1:9" ht="16.5">
      <c r="A9" s="3069" t="s">
        <v>2863</v>
      </c>
      <c r="B9" s="3072"/>
      <c r="C9" s="3070"/>
      <c r="D9" s="3070"/>
      <c r="E9" s="3070"/>
      <c r="F9" s="3070"/>
    </row>
    <row r="10" spans="1:9" ht="16.5">
      <c r="A10" s="3069" t="s">
        <v>2864</v>
      </c>
      <c r="B10" s="3072"/>
      <c r="C10" s="3070"/>
      <c r="D10" s="3070"/>
      <c r="E10" s="3070"/>
      <c r="F10" s="3070"/>
    </row>
    <row r="11" spans="1:9" ht="16.5">
      <c r="A11" s="3069" t="s">
        <v>2881</v>
      </c>
      <c r="B11" s="3072"/>
      <c r="C11" s="3070"/>
      <c r="D11" s="3070"/>
      <c r="E11" s="3070"/>
      <c r="F11" s="3070"/>
    </row>
    <row r="12" spans="1:9" ht="16.5">
      <c r="A12" s="3070"/>
      <c r="B12" s="3070"/>
      <c r="C12" s="3070"/>
      <c r="D12" s="3070"/>
      <c r="E12" s="3070"/>
      <c r="F12" s="3070"/>
    </row>
    <row r="13" spans="1:9" ht="33">
      <c r="A13" s="3075" t="s">
        <v>2880</v>
      </c>
      <c r="B13" s="3073" t="s">
        <v>2852</v>
      </c>
      <c r="C13" s="3073" t="s">
        <v>2853</v>
      </c>
      <c r="D13" s="3073" t="s">
        <v>2865</v>
      </c>
      <c r="E13" s="3069" t="s">
        <v>2879</v>
      </c>
      <c r="F13" s="3069" t="s">
        <v>2858</v>
      </c>
      <c r="G13" s="3073" t="s">
        <v>2866</v>
      </c>
      <c r="H13" s="3073" t="s">
        <v>2867</v>
      </c>
      <c r="I13" s="3073" t="s">
        <v>2868</v>
      </c>
    </row>
    <row r="14" spans="1:9" ht="16.5">
      <c r="A14" s="3076" t="s">
        <v>2878</v>
      </c>
      <c r="B14" s="3073">
        <f>结果表!L38</f>
        <v>217232</v>
      </c>
      <c r="C14" s="3073">
        <f>结果表!K38</f>
        <v>42563.17</v>
      </c>
      <c r="D14" s="3073">
        <f ca="1">结果表!C42</f>
        <v>80423</v>
      </c>
      <c r="E14" s="3073">
        <f ca="1">ROUND(D14*10000/B14,0)</f>
        <v>3702</v>
      </c>
      <c r="F14" s="3073">
        <f ca="1">ROUND(D14*10000/C14,0)</f>
        <v>18895</v>
      </c>
      <c r="G14" s="3073" t="str">
        <f>结果表!C44</f>
        <v>——</v>
      </c>
      <c r="H14" s="3073" t="str">
        <f>结果表!C45</f>
        <v>——</v>
      </c>
      <c r="I14" s="3073" t="str">
        <f>结果表!C46</f>
        <v>——</v>
      </c>
    </row>
    <row r="15" spans="1:9" ht="16.5">
      <c r="A15" s="3076" t="s">
        <v>2869</v>
      </c>
      <c r="B15" s="3077"/>
      <c r="C15" s="3077"/>
      <c r="D15" s="3077"/>
      <c r="E15" s="3073" t="e">
        <f t="shared" ref="E15:E23" si="0">ROUND(D15*10000/B15,0)</f>
        <v>#DIV/0!</v>
      </c>
      <c r="F15" s="3073" t="e">
        <f t="shared" ref="F15:F23" si="1">ROUND(D15*10000/C15,0)</f>
        <v>#DIV/0!</v>
      </c>
      <c r="G15" s="3074"/>
      <c r="H15" s="3074"/>
      <c r="I15" s="3077"/>
    </row>
    <row r="16" spans="1:9" ht="16.5">
      <c r="A16" s="3076" t="s">
        <v>2870</v>
      </c>
      <c r="B16" s="3077"/>
      <c r="C16" s="3077"/>
      <c r="D16" s="3077"/>
      <c r="E16" s="3073" t="e">
        <f t="shared" si="0"/>
        <v>#DIV/0!</v>
      </c>
      <c r="F16" s="3073" t="e">
        <f t="shared" si="1"/>
        <v>#DIV/0!</v>
      </c>
      <c r="G16" s="3074"/>
      <c r="H16" s="3074"/>
      <c r="I16" s="3077"/>
    </row>
    <row r="17" spans="1:9" ht="16.5">
      <c r="A17" s="3076" t="s">
        <v>2871</v>
      </c>
      <c r="B17" s="3077"/>
      <c r="C17" s="3077"/>
      <c r="D17" s="3077"/>
      <c r="E17" s="3073" t="e">
        <f t="shared" si="0"/>
        <v>#DIV/0!</v>
      </c>
      <c r="F17" s="3073" t="e">
        <f t="shared" si="1"/>
        <v>#DIV/0!</v>
      </c>
      <c r="G17" s="3074"/>
      <c r="H17" s="3074"/>
      <c r="I17" s="3077"/>
    </row>
    <row r="18" spans="1:9" ht="16.5">
      <c r="A18" s="3076" t="s">
        <v>2872</v>
      </c>
      <c r="B18" s="3077"/>
      <c r="C18" s="3077"/>
      <c r="D18" s="3077"/>
      <c r="E18" s="3073" t="e">
        <f t="shared" si="0"/>
        <v>#DIV/0!</v>
      </c>
      <c r="F18" s="3073" t="e">
        <f t="shared" si="1"/>
        <v>#DIV/0!</v>
      </c>
      <c r="G18" s="3077"/>
      <c r="H18" s="3077"/>
      <c r="I18" s="3077"/>
    </row>
    <row r="19" spans="1:9" ht="16.5">
      <c r="A19" s="3076" t="s">
        <v>2873</v>
      </c>
      <c r="B19" s="3077"/>
      <c r="C19" s="3077"/>
      <c r="D19" s="3077"/>
      <c r="E19" s="3073" t="e">
        <f t="shared" si="0"/>
        <v>#DIV/0!</v>
      </c>
      <c r="F19" s="3073" t="e">
        <f t="shared" si="1"/>
        <v>#DIV/0!</v>
      </c>
      <c r="G19" s="3077"/>
      <c r="H19" s="3077"/>
      <c r="I19" s="3077"/>
    </row>
    <row r="20" spans="1:9" ht="16.5">
      <c r="A20" s="3076" t="s">
        <v>2874</v>
      </c>
      <c r="B20" s="3077"/>
      <c r="C20" s="3077"/>
      <c r="D20" s="3077"/>
      <c r="E20" s="3073" t="e">
        <f t="shared" si="0"/>
        <v>#DIV/0!</v>
      </c>
      <c r="F20" s="3073" t="e">
        <f t="shared" si="1"/>
        <v>#DIV/0!</v>
      </c>
      <c r="G20" s="3077"/>
      <c r="H20" s="3077"/>
      <c r="I20" s="3077"/>
    </row>
    <row r="21" spans="1:9" ht="16.5">
      <c r="A21" s="3076" t="s">
        <v>2875</v>
      </c>
      <c r="B21" s="3077"/>
      <c r="C21" s="3077"/>
      <c r="D21" s="3077"/>
      <c r="E21" s="3073" t="e">
        <f t="shared" si="0"/>
        <v>#DIV/0!</v>
      </c>
      <c r="F21" s="3073" t="e">
        <f t="shared" si="1"/>
        <v>#DIV/0!</v>
      </c>
      <c r="G21" s="3077"/>
      <c r="H21" s="3077"/>
      <c r="I21" s="3077"/>
    </row>
    <row r="22" spans="1:9" ht="16.5">
      <c r="A22" s="3076" t="s">
        <v>2876</v>
      </c>
      <c r="B22" s="3077"/>
      <c r="C22" s="3077"/>
      <c r="D22" s="3077"/>
      <c r="E22" s="3073" t="e">
        <f t="shared" si="0"/>
        <v>#DIV/0!</v>
      </c>
      <c r="F22" s="3073" t="e">
        <f t="shared" si="1"/>
        <v>#DIV/0!</v>
      </c>
      <c r="G22" s="3077"/>
      <c r="H22" s="3077"/>
      <c r="I22" s="3077"/>
    </row>
    <row r="23" spans="1:9" ht="16.5">
      <c r="A23" s="3076" t="s">
        <v>2877</v>
      </c>
      <c r="B23" s="3077"/>
      <c r="C23" s="3077"/>
      <c r="D23" s="3077"/>
      <c r="E23" s="3069" t="e">
        <f t="shared" si="0"/>
        <v>#DIV/0!</v>
      </c>
      <c r="F23" s="3069" t="e">
        <f t="shared" si="1"/>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B40" sqref="B4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2058</v>
      </c>
      <c r="B1" s="1777"/>
      <c r="C1" s="1805" t="s">
        <v>2059</v>
      </c>
      <c r="D1" s="1806" t="s">
        <v>3071</v>
      </c>
      <c r="E1" s="1805" t="s">
        <v>2060</v>
      </c>
      <c r="F1" s="1807" t="s">
        <v>3070</v>
      </c>
      <c r="G1" s="313"/>
      <c r="H1" s="313"/>
      <c r="I1" s="313"/>
      <c r="J1" s="2029"/>
      <c r="K1" s="2029"/>
      <c r="L1" s="2029"/>
      <c r="M1" s="2029"/>
      <c r="N1" s="2029"/>
      <c r="O1" s="2029"/>
      <c r="P1" s="2029"/>
      <c r="Q1" s="2029"/>
      <c r="R1" s="2029"/>
      <c r="S1" s="2029"/>
      <c r="T1" s="2029"/>
      <c r="U1" s="2029"/>
      <c r="V1" s="2029"/>
    </row>
    <row r="2" spans="1:22" ht="21.75" customHeight="1" thickBot="1">
      <c r="A2" s="3383" t="str">
        <f>项目基本情况!K2</f>
        <v>云南省昆明市官渡区官渡街道办事处出让国有建设用地使用权</v>
      </c>
      <c r="B2" s="3384"/>
      <c r="C2" s="3385"/>
      <c r="D2" s="3385"/>
      <c r="E2" s="3385"/>
      <c r="F2" s="3385"/>
      <c r="G2" s="3384"/>
      <c r="H2" s="3384"/>
      <c r="I2" s="3386"/>
      <c r="J2" s="2030"/>
      <c r="K2" s="2029"/>
      <c r="L2" s="2029"/>
      <c r="M2" s="2029"/>
      <c r="N2" s="2029"/>
      <c r="O2" s="2029"/>
      <c r="P2" s="2029"/>
      <c r="Q2" s="2029"/>
      <c r="R2" s="2029"/>
      <c r="S2" s="2029"/>
      <c r="T2" s="2029"/>
      <c r="U2" s="2029"/>
      <c r="V2" s="2029"/>
    </row>
    <row r="3" spans="1:22" ht="14.25">
      <c r="A3" s="3376" t="s">
        <v>298</v>
      </c>
      <c r="B3" s="3377"/>
      <c r="C3" s="3377"/>
      <c r="D3" s="3377"/>
      <c r="E3" s="3377"/>
      <c r="F3" s="3377"/>
      <c r="G3" s="3377"/>
      <c r="H3" s="3377"/>
      <c r="I3" s="3377"/>
      <c r="J3" s="2030"/>
      <c r="K3" s="2029"/>
      <c r="L3" s="2029"/>
      <c r="M3" s="2029"/>
      <c r="N3" s="2029"/>
      <c r="O3" s="2029"/>
      <c r="P3" s="2029"/>
      <c r="Q3" s="2029"/>
      <c r="R3" s="2029"/>
      <c r="S3" s="2029"/>
      <c r="T3" s="2029"/>
      <c r="U3" s="2029"/>
      <c r="V3" s="2029"/>
    </row>
    <row r="4" spans="1:22" ht="14.25">
      <c r="A4" s="257" t="s">
        <v>299</v>
      </c>
      <c r="B4" s="258" t="s">
        <v>300</v>
      </c>
      <c r="C4" s="259" t="s">
        <v>3257</v>
      </c>
      <c r="D4" s="259" t="s">
        <v>3047</v>
      </c>
      <c r="E4" s="3349" t="s">
        <v>301</v>
      </c>
      <c r="F4" s="3350"/>
      <c r="G4" s="3350"/>
      <c r="H4" s="3350"/>
      <c r="I4" s="3378"/>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hidden="1">
      <c r="A5" s="3348" t="s">
        <v>302</v>
      </c>
      <c r="B5" s="3253">
        <v>25</v>
      </c>
      <c r="C5" s="3372"/>
      <c r="D5" s="3375"/>
      <c r="E5" s="260" t="s">
        <v>303</v>
      </c>
      <c r="F5" s="261"/>
      <c r="G5" s="261"/>
      <c r="H5" s="261"/>
      <c r="I5" s="262"/>
      <c r="J5" s="2030"/>
      <c r="K5" s="2029"/>
      <c r="L5" s="2029"/>
      <c r="M5" s="2029"/>
      <c r="N5" s="2029"/>
      <c r="O5" s="2029"/>
      <c r="P5" s="2029"/>
      <c r="Q5" s="2029"/>
      <c r="R5" s="2029"/>
      <c r="S5" s="2029"/>
      <c r="T5" s="2029"/>
      <c r="U5" s="2029"/>
      <c r="V5" s="2029"/>
    </row>
    <row r="6" spans="1:22" ht="14.25" hidden="1">
      <c r="A6" s="3348"/>
      <c r="B6" s="3253"/>
      <c r="C6" s="3374"/>
      <c r="D6" s="3375"/>
      <c r="E6" s="260" t="s">
        <v>304</v>
      </c>
      <c r="F6" s="261"/>
      <c r="G6" s="261"/>
      <c r="H6" s="261"/>
      <c r="I6" s="262"/>
      <c r="J6" s="2030"/>
      <c r="K6" s="2029"/>
      <c r="L6" s="2029"/>
      <c r="M6" s="2029"/>
      <c r="N6" s="2029"/>
      <c r="O6" s="2029"/>
      <c r="P6" s="2029"/>
      <c r="Q6" s="2029"/>
      <c r="R6" s="2029"/>
      <c r="S6" s="2029"/>
      <c r="T6" s="2029"/>
      <c r="U6" s="2029"/>
      <c r="V6" s="2029"/>
    </row>
    <row r="7" spans="1:22" ht="14.25" hidden="1">
      <c r="A7" s="3348"/>
      <c r="B7" s="3253"/>
      <c r="C7" s="3373"/>
      <c r="D7" s="3375"/>
      <c r="E7" s="260" t="s">
        <v>305</v>
      </c>
      <c r="F7" s="261"/>
      <c r="G7" s="261"/>
      <c r="H7" s="261"/>
      <c r="I7" s="262"/>
      <c r="J7" s="2030"/>
      <c r="K7" s="2029"/>
      <c r="L7" s="2029"/>
      <c r="M7" s="2029"/>
      <c r="N7" s="2029"/>
      <c r="O7" s="2029"/>
      <c r="P7" s="2029"/>
      <c r="Q7" s="2029"/>
      <c r="R7" s="2029"/>
      <c r="S7" s="2029"/>
      <c r="T7" s="2029"/>
      <c r="U7" s="2029"/>
      <c r="V7" s="2029"/>
    </row>
    <row r="8" spans="1:22" ht="14.25" hidden="1">
      <c r="A8" s="3348" t="s">
        <v>306</v>
      </c>
      <c r="B8" s="3253">
        <v>15</v>
      </c>
      <c r="C8" s="3372"/>
      <c r="D8" s="3375"/>
      <c r="E8" s="260" t="s">
        <v>307</v>
      </c>
      <c r="F8" s="261"/>
      <c r="G8" s="261"/>
      <c r="H8" s="261"/>
      <c r="I8" s="262"/>
      <c r="J8" s="2030"/>
      <c r="K8" s="2029"/>
      <c r="L8" s="2029"/>
      <c r="M8" s="2029"/>
      <c r="N8" s="2029"/>
      <c r="O8" s="2029"/>
      <c r="P8" s="2029"/>
      <c r="Q8" s="2029"/>
      <c r="R8" s="2029"/>
      <c r="S8" s="2029"/>
      <c r="T8" s="2029"/>
      <c r="U8" s="2029"/>
      <c r="V8" s="2029"/>
    </row>
    <row r="9" spans="1:22" ht="14.25" hidden="1">
      <c r="A9" s="3348"/>
      <c r="B9" s="3253"/>
      <c r="C9" s="3373"/>
      <c r="D9" s="3375"/>
      <c r="E9" s="260" t="s">
        <v>308</v>
      </c>
      <c r="F9" s="261"/>
      <c r="G9" s="261"/>
      <c r="H9" s="261"/>
      <c r="I9" s="262"/>
      <c r="J9" s="2030"/>
      <c r="K9" s="2029"/>
      <c r="L9" s="2029"/>
      <c r="M9" s="2029"/>
      <c r="N9" s="2029"/>
      <c r="O9" s="2029"/>
      <c r="P9" s="2029"/>
      <c r="Q9" s="2029"/>
      <c r="R9" s="2029"/>
      <c r="S9" s="2029"/>
      <c r="T9" s="2029"/>
      <c r="U9" s="2029"/>
      <c r="V9" s="2029"/>
    </row>
    <row r="10" spans="1:22" ht="14.25" hidden="1">
      <c r="A10" s="3348" t="s">
        <v>309</v>
      </c>
      <c r="B10" s="3253">
        <v>15</v>
      </c>
      <c r="C10" s="3372"/>
      <c r="D10" s="3375"/>
      <c r="E10" s="260" t="s">
        <v>310</v>
      </c>
      <c r="F10" s="261"/>
      <c r="G10" s="261"/>
      <c r="H10" s="261"/>
      <c r="I10" s="262"/>
      <c r="J10" s="2030"/>
      <c r="K10" s="2029"/>
      <c r="L10" s="2029"/>
      <c r="M10" s="2029"/>
      <c r="N10" s="2029"/>
      <c r="O10" s="2029"/>
      <c r="P10" s="2029"/>
      <c r="Q10" s="2029"/>
      <c r="R10" s="2029"/>
      <c r="S10" s="2029"/>
      <c r="T10" s="2029"/>
      <c r="U10" s="2029"/>
      <c r="V10" s="2029"/>
    </row>
    <row r="11" spans="1:22" ht="14.25" hidden="1">
      <c r="A11" s="3348"/>
      <c r="B11" s="3253"/>
      <c r="C11" s="3373"/>
      <c r="D11" s="3375"/>
      <c r="E11" s="260" t="s">
        <v>311</v>
      </c>
      <c r="F11" s="261"/>
      <c r="G11" s="261"/>
      <c r="H11" s="261"/>
      <c r="I11" s="262"/>
      <c r="J11" s="2030"/>
      <c r="K11" s="2029"/>
      <c r="L11" s="2029"/>
      <c r="M11" s="2029"/>
      <c r="N11" s="2029"/>
      <c r="O11" s="2029"/>
      <c r="P11" s="2029"/>
      <c r="Q11" s="2029"/>
      <c r="R11" s="2029"/>
      <c r="S11" s="2029"/>
      <c r="T11" s="2029"/>
      <c r="U11" s="2029"/>
      <c r="V11" s="2029"/>
    </row>
    <row r="12" spans="1:22" ht="9.75" hidden="1" customHeight="1">
      <c r="A12" s="3348" t="s">
        <v>312</v>
      </c>
      <c r="B12" s="3253">
        <v>15</v>
      </c>
      <c r="C12" s="3372"/>
      <c r="D12" s="3375"/>
      <c r="E12" s="260" t="s">
        <v>313</v>
      </c>
      <c r="F12" s="261"/>
      <c r="G12" s="261"/>
      <c r="H12" s="261"/>
      <c r="I12" s="262"/>
      <c r="J12" s="2030"/>
      <c r="K12" s="2029"/>
      <c r="L12" s="2029"/>
      <c r="M12" s="2029"/>
      <c r="N12" s="2029"/>
      <c r="O12" s="2029"/>
      <c r="P12" s="2029"/>
      <c r="Q12" s="2029"/>
      <c r="R12" s="2029"/>
      <c r="S12" s="2029"/>
      <c r="T12" s="2029"/>
      <c r="U12" s="2029"/>
      <c r="V12" s="2029"/>
    </row>
    <row r="13" spans="1:22" ht="14.25" hidden="1">
      <c r="A13" s="3348"/>
      <c r="B13" s="3253"/>
      <c r="C13" s="3373"/>
      <c r="D13" s="3375"/>
      <c r="E13" s="260" t="s">
        <v>314</v>
      </c>
      <c r="F13" s="261"/>
      <c r="G13" s="261"/>
      <c r="H13" s="261"/>
      <c r="I13" s="262"/>
      <c r="J13" s="2030"/>
      <c r="K13" s="2029"/>
      <c r="L13" s="2029"/>
      <c r="M13" s="2029"/>
      <c r="N13" s="2029"/>
      <c r="O13" s="2029"/>
      <c r="P13" s="2029"/>
      <c r="Q13" s="2029"/>
      <c r="R13" s="2029"/>
      <c r="S13" s="2029"/>
      <c r="T13" s="2029"/>
      <c r="U13" s="2029"/>
      <c r="V13" s="2029"/>
    </row>
    <row r="14" spans="1:22" ht="14.25">
      <c r="A14" s="3348" t="s">
        <v>315</v>
      </c>
      <c r="B14" s="3253">
        <v>30</v>
      </c>
      <c r="C14" s="3372">
        <v>5</v>
      </c>
      <c r="D14" s="3375">
        <v>5</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348"/>
      <c r="B15" s="3253"/>
      <c r="C15" s="3374"/>
      <c r="D15" s="3375"/>
      <c r="E15" s="260" t="s">
        <v>317</v>
      </c>
      <c r="F15" s="261"/>
      <c r="G15" s="261"/>
      <c r="H15" s="261"/>
      <c r="I15" s="262"/>
      <c r="J15" s="2030"/>
      <c r="K15" s="2029"/>
      <c r="L15" s="2029"/>
      <c r="M15" s="2029"/>
      <c r="N15" s="2029"/>
      <c r="O15" s="2029"/>
      <c r="P15" s="2029"/>
      <c r="Q15" s="2029"/>
      <c r="R15" s="2029"/>
      <c r="S15" s="2029"/>
      <c r="T15" s="2029"/>
      <c r="U15" s="2029"/>
      <c r="V15" s="2029"/>
    </row>
    <row r="16" spans="1:22" ht="14.25">
      <c r="A16" s="3348"/>
      <c r="B16" s="3253"/>
      <c r="C16" s="3373"/>
      <c r="D16" s="3375"/>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3"/>
      <c r="C17" s="264">
        <f>SUM(C5:C16)</f>
        <v>5</v>
      </c>
      <c r="D17" s="264">
        <f>SUM(D5:D16)</f>
        <v>5</v>
      </c>
      <c r="E17" s="313"/>
      <c r="F17" s="313"/>
      <c r="G17" s="313"/>
      <c r="H17" s="313"/>
      <c r="I17" s="313"/>
      <c r="J17" s="2030"/>
      <c r="K17" s="2029"/>
      <c r="L17" s="2029"/>
      <c r="M17" s="2029"/>
      <c r="N17" s="2029"/>
      <c r="O17" s="2029"/>
      <c r="P17" s="2029"/>
      <c r="Q17" s="2029"/>
      <c r="R17" s="2029"/>
      <c r="S17" s="2029"/>
      <c r="T17" s="2029"/>
      <c r="U17" s="2029"/>
      <c r="V17" s="2029"/>
    </row>
    <row r="18" spans="1:26" ht="15.75" thickBot="1">
      <c r="A18" s="265" t="s">
        <v>320</v>
      </c>
      <c r="B18" s="104"/>
      <c r="C18" s="266">
        <f>ROUND(C17/SUM(C17:D17),2)</f>
        <v>0.5</v>
      </c>
      <c r="D18" s="266">
        <f>1-C18</f>
        <v>0.5</v>
      </c>
      <c r="E18" s="313"/>
      <c r="F18" s="313"/>
      <c r="G18" s="313"/>
      <c r="H18" s="313"/>
      <c r="I18" s="313"/>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70924</v>
      </c>
      <c r="D19" s="270">
        <f ca="1">SUMIF(INDIRECT("'"&amp;D4&amp;"'"&amp;"!A:A"),结果表!B19,INDIRECT("'"&amp;D4&amp;"'"&amp;"!B:B"))</f>
        <v>89921</v>
      </c>
      <c r="E19" s="267" t="s">
        <v>323</v>
      </c>
      <c r="F19" s="268" t="s">
        <v>322</v>
      </c>
      <c r="G19" s="271">
        <f ca="1">ROUND(C19*$C$18+D19*$D$18,0)</f>
        <v>80423</v>
      </c>
      <c r="H19" s="272" t="s">
        <v>324</v>
      </c>
      <c r="I19" s="313"/>
      <c r="J19" s="2029"/>
      <c r="K19" s="2029">
        <f ca="1">G19+[1]结果表!$G$19</f>
        <v>133358</v>
      </c>
      <c r="L19" s="2029">
        <f ca="1">D19+[1]结果表!$D$19</f>
        <v>157203</v>
      </c>
      <c r="M19" s="2029"/>
      <c r="N19" s="2029"/>
      <c r="O19" s="2029"/>
      <c r="P19" s="2029"/>
      <c r="Q19" s="2029"/>
      <c r="R19" s="2029"/>
      <c r="S19" s="2029"/>
      <c r="T19" s="2029"/>
      <c r="U19" s="2029"/>
      <c r="V19" s="2029"/>
    </row>
    <row r="20" spans="1:26" ht="15">
      <c r="A20" s="273"/>
      <c r="B20" s="274" t="s">
        <v>325</v>
      </c>
      <c r="C20" s="275">
        <f ca="1">SUMIF(INDIRECT("'"&amp;C4&amp;"'"&amp;"!A:A"),结果表!B20,INDIRECT("'"&amp;C4&amp;"'"&amp;"!B:B"))</f>
        <v>3265</v>
      </c>
      <c r="D20" s="276">
        <f ca="1">SUMIF(INDIRECT("'"&amp;D4&amp;"'"&amp;"!A:A"),结果表!B20,INDIRECT("'"&amp;D4&amp;"'"&amp;"!B:B"))</f>
        <v>4139</v>
      </c>
      <c r="E20" s="273"/>
      <c r="F20" s="274" t="s">
        <v>325</v>
      </c>
      <c r="G20" s="277">
        <f ca="1">ROUND(C20*$C$18+D20*$D$18,0)</f>
        <v>3702</v>
      </c>
      <c r="H20" s="278" t="s">
        <v>326</v>
      </c>
      <c r="I20" s="313"/>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16663</v>
      </c>
      <c r="D21" s="150">
        <f ca="1">SUMIF(INDIRECT("'"&amp;D4&amp;"'"&amp;"!A:A"),结果表!B21,INDIRECT("'"&amp;D4&amp;"'"&amp;"!B:B"))</f>
        <v>21126</v>
      </c>
      <c r="E21" s="273"/>
      <c r="F21" s="279" t="s">
        <v>327</v>
      </c>
      <c r="G21" s="281">
        <f ca="1">ROUND(C21*$C$18+D21*$D$18,0)</f>
        <v>18895</v>
      </c>
      <c r="H21" s="1250" t="s">
        <v>326</v>
      </c>
      <c r="I21" s="313"/>
      <c r="J21" s="2029"/>
      <c r="K21" s="2029"/>
      <c r="L21" s="2029"/>
      <c r="M21" s="2029"/>
      <c r="N21" s="2029"/>
      <c r="O21" s="2029"/>
      <c r="P21" s="2029"/>
      <c r="Q21" s="2029"/>
      <c r="R21" s="2029"/>
      <c r="S21" s="2029"/>
      <c r="T21" s="2029"/>
      <c r="U21" s="2029"/>
      <c r="V21" s="2029"/>
    </row>
    <row r="22" spans="1:26" ht="15.75" thickBot="1">
      <c r="A22" s="125" t="s">
        <v>328</v>
      </c>
      <c r="B22" s="1251"/>
      <c r="C22" s="1252"/>
      <c r="D22" s="282">
        <f ca="1">IF(C19&lt;D19,D19/C19-1,C19/D19-1)</f>
        <v>0.26785009305735707</v>
      </c>
      <c r="E22" s="283"/>
      <c r="F22" s="284"/>
      <c r="G22" s="285">
        <f ca="1">ROUND(G19/('数据-汇总表'!D3/666.67),0)</f>
        <v>1260</v>
      </c>
      <c r="H22" s="286" t="s">
        <v>329</v>
      </c>
      <c r="I22" s="313"/>
      <c r="J22" s="2029"/>
      <c r="K22" s="2029"/>
      <c r="L22" s="2029"/>
      <c r="M22" s="2029"/>
      <c r="N22" s="2029"/>
      <c r="O22" s="2029"/>
      <c r="P22" s="2029"/>
      <c r="Q22" s="2029"/>
      <c r="R22" s="2029"/>
      <c r="S22" s="2029"/>
      <c r="T22" s="2029"/>
      <c r="U22" s="2029"/>
      <c r="V22" s="2029"/>
    </row>
    <row r="23" spans="1:26" ht="13.5" thickBot="1">
      <c r="A23" s="313"/>
      <c r="B23" s="313"/>
      <c r="C23" s="313"/>
      <c r="D23" s="313"/>
      <c r="E23" s="313"/>
      <c r="F23" s="313"/>
      <c r="G23" s="313"/>
      <c r="H23" s="313"/>
      <c r="I23" s="313"/>
      <c r="J23" s="2029"/>
      <c r="K23" s="2029"/>
      <c r="L23" s="2029"/>
      <c r="M23" s="2029"/>
      <c r="N23" s="2029"/>
      <c r="O23" s="2029"/>
      <c r="P23" s="2029"/>
      <c r="Q23" s="2029"/>
      <c r="R23" s="2029"/>
      <c r="S23" s="2029"/>
      <c r="T23" s="2029"/>
      <c r="U23" s="2029"/>
      <c r="V23" s="2029"/>
    </row>
    <row r="24" spans="1:26" ht="15" thickBot="1">
      <c r="A24" s="3354" t="s">
        <v>330</v>
      </c>
      <c r="B24" s="268" t="s">
        <v>322</v>
      </c>
      <c r="C24" s="287">
        <f>IF(B30=0,0,D30)</f>
        <v>0</v>
      </c>
      <c r="D24" s="288"/>
      <c r="E24" s="313"/>
      <c r="F24" s="313"/>
      <c r="G24" s="313"/>
      <c r="H24" s="313"/>
      <c r="I24" s="313"/>
      <c r="J24" s="2029"/>
      <c r="K24" s="2029"/>
      <c r="L24" s="2029"/>
      <c r="M24" s="2029"/>
      <c r="N24" s="2029"/>
      <c r="O24" s="2029"/>
      <c r="P24" s="2029"/>
      <c r="Q24" s="2029"/>
      <c r="R24" s="2029"/>
      <c r="S24" s="2029"/>
      <c r="T24" s="2029"/>
      <c r="U24" s="2029"/>
      <c r="V24" s="2029"/>
    </row>
    <row r="25" spans="1:26" ht="18">
      <c r="A25" s="3355"/>
      <c r="B25" s="1320" t="s">
        <v>331</v>
      </c>
      <c r="C25" s="289">
        <f>IF(B30=0,0,C30)</f>
        <v>0</v>
      </c>
      <c r="D25" s="290"/>
      <c r="E25" s="313"/>
      <c r="F25" s="313"/>
      <c r="G25" s="313"/>
      <c r="H25" s="313"/>
      <c r="I25" s="313"/>
      <c r="J25" s="2029"/>
      <c r="K25" s="1254" t="str">
        <f ca="1">项目基本情况!B16&amp;"国有建设用地使用权价格："&amp;O38&amp;"万元"</f>
        <v>出让国有建设用地使用权价格：80423万元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3"/>
      <c r="F26" s="313"/>
      <c r="G26" s="313"/>
      <c r="H26" s="313"/>
      <c r="I26" s="313"/>
      <c r="J26" s="2029"/>
      <c r="K26" s="1257" t="str">
        <f ca="1">"大写金额：人民币"&amp;NUMBERSTRING(INT(O38*10000),2)&amp;"元整"</f>
        <v>大写金额：人民币捌亿零肆佰贰拾叁万元整</v>
      </c>
      <c r="L26" s="1251"/>
      <c r="M26" s="1251"/>
      <c r="N26" s="1251"/>
      <c r="O26" s="1250"/>
      <c r="P26" s="2029"/>
      <c r="Q26" s="2029"/>
      <c r="R26" s="2029"/>
      <c r="S26" s="2029"/>
      <c r="T26" s="2029"/>
      <c r="U26" s="2029"/>
      <c r="V26" s="2029"/>
      <c r="W26" s="291"/>
      <c r="X26" s="291"/>
      <c r="Y26" s="291"/>
      <c r="Z26" s="291"/>
    </row>
    <row r="27" spans="1:26" ht="18">
      <c r="A27" s="292"/>
      <c r="B27" s="293"/>
      <c r="C27" s="293"/>
      <c r="D27" s="294">
        <f ca="1">G19/'数据-汇总表'!F27</f>
        <v>0.50279144498696493</v>
      </c>
      <c r="E27" s="313"/>
      <c r="F27" s="313"/>
      <c r="G27" s="313"/>
      <c r="H27" s="313"/>
      <c r="I27" s="313"/>
      <c r="J27" s="2029"/>
      <c r="K27" s="1257" t="str">
        <f ca="1">"单位面积地价："&amp;M38&amp;"元/平方米"</f>
        <v>单位面积地价：18895元/平方米</v>
      </c>
      <c r="L27" s="1251"/>
      <c r="M27" s="1251"/>
      <c r="N27" s="1251"/>
      <c r="O27" s="1250"/>
      <c r="P27" s="2029"/>
      <c r="Q27" s="2029"/>
      <c r="R27" s="2029"/>
      <c r="S27" s="2029"/>
      <c r="T27" s="2029"/>
      <c r="U27" s="2029"/>
      <c r="V27" s="2029"/>
    </row>
    <row r="28" spans="1:26" ht="18.75" customHeight="1">
      <c r="A28" s="292"/>
      <c r="B28" s="293"/>
      <c r="C28" s="293"/>
      <c r="D28" s="294"/>
      <c r="E28" s="313"/>
      <c r="F28" s="313"/>
      <c r="G28" s="313"/>
      <c r="H28" s="313"/>
      <c r="I28" s="313"/>
      <c r="J28" s="2029"/>
      <c r="K28" s="1257" t="str">
        <f ca="1">"楼面地价："&amp;N38&amp;"元/平方米"</f>
        <v>楼面地价：3702元/平方米</v>
      </c>
      <c r="L28" s="1251"/>
      <c r="M28" s="1251"/>
      <c r="N28" s="1251"/>
      <c r="O28" s="1250"/>
      <c r="P28" s="2029"/>
      <c r="V28" s="2029"/>
    </row>
    <row r="29" spans="1:26" ht="18">
      <c r="A29" s="292"/>
      <c r="B29" s="3176"/>
      <c r="C29" s="293"/>
      <c r="D29" s="294"/>
      <c r="E29" s="313"/>
      <c r="F29" s="313"/>
      <c r="G29" s="313"/>
      <c r="H29" s="313"/>
      <c r="I29" s="313"/>
      <c r="J29" s="2029"/>
      <c r="K29" s="1257" t="str">
        <f>IF(OR(项目基本情况!E8="抵押价格",项目基本情况!E8="已注销及未注销"),"抵押价格："&amp;O39&amp;"万元","——")</f>
        <v>——</v>
      </c>
      <c r="L29" s="1251"/>
      <c r="M29" s="1251"/>
      <c r="N29" s="1251"/>
      <c r="O29" s="1250"/>
      <c r="P29" s="2029"/>
      <c r="V29" s="2029"/>
    </row>
    <row r="30" spans="1:26" ht="18.75" thickBot="1">
      <c r="A30" s="295" t="s">
        <v>336</v>
      </c>
      <c r="B30" s="296">
        <f>SUM(B27:B29)</f>
        <v>0</v>
      </c>
      <c r="C30" s="296" t="e">
        <f ca="1">ROUND(D30*10000/B30,0)</f>
        <v>#DIV/0!</v>
      </c>
      <c r="D30" s="297">
        <f ca="1">SUM(D27:D29)</f>
        <v>0.50279144498696493</v>
      </c>
      <c r="E30" s="313"/>
      <c r="F30" s="313"/>
      <c r="G30" s="313"/>
      <c r="H30" s="313"/>
      <c r="I30" s="313"/>
      <c r="J30" s="2029"/>
      <c r="K30" s="1257" t="str">
        <f>IF(K29="——","——","大写金额：人民币"&amp;NUMBERSTRING(INT(O39*10000),2)&amp;"元整")</f>
        <v>——</v>
      </c>
      <c r="L30" s="1251"/>
      <c r="M30" s="1251"/>
      <c r="N30" s="1251"/>
      <c r="O30" s="1250"/>
      <c r="P30" s="2029"/>
      <c r="V30" s="2029"/>
    </row>
    <row r="31" spans="1:26" ht="24" customHeight="1" thickBot="1">
      <c r="A31" s="313"/>
      <c r="B31" s="313"/>
      <c r="C31" s="313"/>
      <c r="D31" s="313"/>
      <c r="E31" s="313"/>
      <c r="F31" s="313"/>
      <c r="G31" s="313"/>
      <c r="H31" s="313"/>
      <c r="I31" s="313"/>
      <c r="J31" s="2029"/>
      <c r="K31" s="2490" t="str">
        <f>IF(项目基本情况!E8="抵押价格","——","抵押担保权已注销时的抵押价格："&amp;O40&amp;"万元")</f>
        <v>抵押担保权已注销时的抵押价格：——万元</v>
      </c>
      <c r="L31" s="2486"/>
      <c r="M31" s="2486"/>
      <c r="N31" s="2486"/>
      <c r="O31" s="2487"/>
      <c r="P31" s="2029"/>
      <c r="V31" s="2029"/>
    </row>
    <row r="32" spans="1:26" ht="18.75" thickBot="1">
      <c r="A32" s="267" t="s">
        <v>337</v>
      </c>
      <c r="B32" s="1381" t="s">
        <v>1690</v>
      </c>
      <c r="C32" s="1382">
        <f ca="1">G19-C24</f>
        <v>80423</v>
      </c>
      <c r="D32" s="1383" t="s">
        <v>1691</v>
      </c>
      <c r="E32" s="313"/>
      <c r="F32" s="313"/>
      <c r="G32" s="313"/>
      <c r="H32" s="313"/>
      <c r="I32" s="313"/>
      <c r="J32" s="2029"/>
      <c r="K32" s="2485" t="e">
        <f>IF(K31="——","——","大写金额：人民币"&amp;NUMBERSTRING(INT(O40*10000),2)&amp;"元整")</f>
        <v>#VALUE!</v>
      </c>
      <c r="L32" s="2488"/>
      <c r="M32" s="2488"/>
      <c r="N32" s="2488"/>
      <c r="O32" s="2489"/>
      <c r="P32" s="2029"/>
      <c r="V32" s="2029"/>
    </row>
    <row r="33" spans="1:26" ht="18.75" thickBot="1">
      <c r="A33" s="300" t="s">
        <v>340</v>
      </c>
      <c r="B33" s="1384" t="s">
        <v>1692</v>
      </c>
      <c r="C33" s="263">
        <f ca="1">ROUND(C32*10000/'数据-汇总表'!E3,0)</f>
        <v>3702</v>
      </c>
      <c r="D33" s="1385" t="s">
        <v>1693</v>
      </c>
      <c r="E33" s="3354" t="s">
        <v>338</v>
      </c>
      <c r="F33" s="298" t="s">
        <v>339</v>
      </c>
      <c r="G33" s="299"/>
      <c r="H33" s="979"/>
      <c r="I33" s="1258"/>
      <c r="J33" s="2029"/>
      <c r="K33" s="1257" t="str">
        <f>IF(项目基本情况!E9="——","——","抵押净值："&amp;C46&amp;"万元")</f>
        <v>抵押净值：——万元</v>
      </c>
      <c r="L33" s="1251"/>
      <c r="M33" s="1251"/>
      <c r="N33" s="1251"/>
      <c r="O33" s="1250"/>
      <c r="P33" s="2029"/>
      <c r="V33" s="2029"/>
    </row>
    <row r="34" spans="1:26" s="1253" customFormat="1" ht="18.75" thickBot="1">
      <c r="A34" s="302"/>
      <c r="B34" s="1386" t="s">
        <v>1694</v>
      </c>
      <c r="C34" s="263">
        <f ca="1">ROUND(C32*10000/'数据-汇总表'!D3,0)</f>
        <v>18895</v>
      </c>
      <c r="D34" s="1387" t="s">
        <v>1693</v>
      </c>
      <c r="E34" s="3394"/>
      <c r="F34" s="126" t="s">
        <v>341</v>
      </c>
      <c r="G34" s="301"/>
      <c r="H34" s="104"/>
      <c r="I34" s="313"/>
      <c r="J34" s="2029"/>
      <c r="K34" s="1260" t="e">
        <f>IF(K33="——","——","大写金额：人民币"&amp;NUMBERSTRING(INT(O41*10000),2)&amp;"元整")</f>
        <v>#VALUE!</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1260</v>
      </c>
      <c r="D35" s="1390" t="s">
        <v>1695</v>
      </c>
      <c r="E35" s="3395"/>
      <c r="F35" s="303" t="s">
        <v>342</v>
      </c>
      <c r="G35" s="981"/>
      <c r="H35" s="980" t="s">
        <v>343</v>
      </c>
      <c r="I35" s="313"/>
      <c r="J35" s="2029"/>
      <c r="K35" s="3369" t="s">
        <v>350</v>
      </c>
      <c r="L35" s="3369" t="s">
        <v>351</v>
      </c>
      <c r="M35" s="1263" t="s">
        <v>352</v>
      </c>
      <c r="N35" s="3369" t="s">
        <v>353</v>
      </c>
      <c r="O35" s="3369" t="s">
        <v>354</v>
      </c>
      <c r="P35" s="2029"/>
      <c r="V35" s="2029"/>
    </row>
    <row r="36" spans="1:26" ht="16.5" customHeight="1">
      <c r="A36" s="305" t="s">
        <v>344</v>
      </c>
      <c r="B36" s="306" t="s">
        <v>333</v>
      </c>
      <c r="C36" s="307" t="s">
        <v>345</v>
      </c>
      <c r="D36" s="307" t="s">
        <v>346</v>
      </c>
      <c r="E36" s="308" t="s">
        <v>347</v>
      </c>
      <c r="F36" s="313"/>
      <c r="G36" s="313"/>
      <c r="H36" s="313"/>
      <c r="I36" s="313"/>
      <c r="J36" s="2031"/>
      <c r="K36" s="3370"/>
      <c r="L36" s="3370"/>
      <c r="M36" s="1265" t="s">
        <v>355</v>
      </c>
      <c r="N36" s="3370"/>
      <c r="O36" s="3370"/>
      <c r="P36" s="2029"/>
      <c r="V36" s="2029"/>
    </row>
    <row r="37" spans="1:26" ht="16.5" customHeight="1" thickBot="1">
      <c r="A37" s="1259" t="s">
        <v>348</v>
      </c>
      <c r="B37" s="309"/>
      <c r="C37" s="293"/>
      <c r="D37" s="293"/>
      <c r="E37" s="294"/>
      <c r="F37" s="313"/>
      <c r="G37" s="313"/>
      <c r="H37" s="313"/>
      <c r="I37" s="313"/>
      <c r="J37" s="2031"/>
      <c r="K37" s="3371"/>
      <c r="L37" s="3371"/>
      <c r="M37" s="1266"/>
      <c r="N37" s="3371"/>
      <c r="O37" s="3371"/>
      <c r="P37" s="2029"/>
      <c r="V37" s="2029"/>
    </row>
    <row r="38" spans="1:26" ht="16.5" customHeight="1" thickBot="1">
      <c r="A38" s="1259" t="s">
        <v>349</v>
      </c>
      <c r="B38" s="309"/>
      <c r="C38" s="293"/>
      <c r="D38" s="293"/>
      <c r="E38" s="294"/>
      <c r="F38" s="313"/>
      <c r="G38" s="313"/>
      <c r="H38" s="313"/>
      <c r="I38" s="313"/>
      <c r="J38" s="2031"/>
      <c r="K38" s="1267">
        <f>'数据-汇总表'!D3</f>
        <v>42563.17</v>
      </c>
      <c r="L38" s="1268">
        <f>'数据-汇总表'!E3</f>
        <v>217232</v>
      </c>
      <c r="M38" s="1268">
        <f ca="1">C34</f>
        <v>18895</v>
      </c>
      <c r="N38" s="1268">
        <f ca="1">C33</f>
        <v>3702</v>
      </c>
      <c r="O38" s="1269">
        <f ca="1">C32</f>
        <v>80423</v>
      </c>
      <c r="P38" s="2029"/>
      <c r="V38" s="2029"/>
    </row>
    <row r="39" spans="1:26" ht="16.5" customHeight="1" thickBot="1">
      <c r="A39" s="1264"/>
      <c r="B39" s="310"/>
      <c r="C39" s="311"/>
      <c r="D39" s="311"/>
      <c r="E39" s="312"/>
      <c r="F39" s="313"/>
      <c r="G39" s="313"/>
      <c r="H39" s="313"/>
      <c r="I39" s="313"/>
      <c r="J39" s="2031"/>
      <c r="K39" s="3413" t="str">
        <f>MID(A44,3,LEN(A44)-2)</f>
        <v/>
      </c>
      <c r="L39" s="3414"/>
      <c r="M39" s="3414"/>
      <c r="N39" s="3415"/>
      <c r="O39" s="1392" t="str">
        <f>C44</f>
        <v>——</v>
      </c>
      <c r="P39" s="2029"/>
      <c r="V39" s="2029"/>
    </row>
    <row r="40" spans="1:26" ht="19.5" thickBot="1">
      <c r="A40" s="103" t="s">
        <v>874</v>
      </c>
      <c r="B40" s="313"/>
      <c r="C40" s="313"/>
      <c r="D40" s="313"/>
      <c r="E40" s="313"/>
      <c r="F40" s="313"/>
      <c r="G40" s="313"/>
      <c r="H40" s="313"/>
      <c r="I40" s="313"/>
      <c r="J40" s="2031"/>
      <c r="K40" s="3413" t="str">
        <f>MID(A45,3,LEN(A45)-2)</f>
        <v/>
      </c>
      <c r="L40" s="3414"/>
      <c r="M40" s="3414"/>
      <c r="N40" s="3415"/>
      <c r="O40" s="1392" t="str">
        <f>C45</f>
        <v>——</v>
      </c>
      <c r="P40" s="2029"/>
      <c r="V40" s="2029"/>
    </row>
    <row r="41" spans="1:26" ht="16.5" thickBot="1">
      <c r="A41" s="314" t="s">
        <v>356</v>
      </c>
      <c r="B41" s="315"/>
      <c r="C41" s="316" t="s">
        <v>357</v>
      </c>
      <c r="D41" s="317" t="s">
        <v>358</v>
      </c>
      <c r="E41" s="317" t="s">
        <v>359</v>
      </c>
      <c r="F41" s="318" t="s">
        <v>360</v>
      </c>
      <c r="G41" s="313"/>
      <c r="H41" s="313"/>
      <c r="I41" s="313"/>
      <c r="J41" s="2031"/>
      <c r="K41" s="3413" t="str">
        <f>MID(A46,3,LEN(A46)-2)</f>
        <v/>
      </c>
      <c r="L41" s="3414"/>
      <c r="M41" s="3414"/>
      <c r="N41" s="3415"/>
      <c r="O41" s="1392" t="str">
        <f>C46</f>
        <v>——</v>
      </c>
      <c r="P41" s="2029"/>
      <c r="V41" s="2029"/>
    </row>
    <row r="42" spans="1:26" ht="29.25">
      <c r="A42" s="3356" t="s">
        <v>2070</v>
      </c>
      <c r="B42" s="3357"/>
      <c r="C42" s="263">
        <f ca="1">C32</f>
        <v>80423</v>
      </c>
      <c r="D42" s="319">
        <f ca="1">C33</f>
        <v>3702</v>
      </c>
      <c r="E42" s="319">
        <f ca="1">C34</f>
        <v>18895</v>
      </c>
      <c r="F42" s="320">
        <f ca="1">C35</f>
        <v>1260</v>
      </c>
      <c r="G42" s="313"/>
      <c r="H42" s="313"/>
      <c r="I42" s="321"/>
      <c r="J42" s="2031"/>
      <c r="K42" s="1270" t="s">
        <v>361</v>
      </c>
      <c r="L42" s="2048" t="s">
        <v>362</v>
      </c>
      <c r="M42" s="1271" t="s">
        <v>363</v>
      </c>
      <c r="N42" s="2049" t="s">
        <v>364</v>
      </c>
      <c r="O42" s="2050" t="s">
        <v>365</v>
      </c>
      <c r="P42" s="2029"/>
      <c r="V42" s="2029"/>
    </row>
    <row r="43" spans="1:26" ht="30">
      <c r="A43" s="3367" t="s">
        <v>2738</v>
      </c>
      <c r="B43" s="3368"/>
      <c r="C43" s="263">
        <f>IF(H33="正常操作",G33+G34+G35,G34+G35)</f>
        <v>0</v>
      </c>
      <c r="D43" s="319" t="s">
        <v>43</v>
      </c>
      <c r="E43" s="319" t="s">
        <v>44</v>
      </c>
      <c r="F43" s="320" t="s">
        <v>44</v>
      </c>
      <c r="G43" s="2890" t="s">
        <v>953</v>
      </c>
      <c r="H43" s="313"/>
      <c r="I43" s="321"/>
      <c r="J43" s="2031"/>
      <c r="K43" s="1272" t="str">
        <f>C4</f>
        <v>比较法-住宅、综合</v>
      </c>
      <c r="L43" s="1273">
        <f ca="1">IF(L42="估价结果/万元",C19,C20)</f>
        <v>70924</v>
      </c>
      <c r="M43" s="1274">
        <f>C18</f>
        <v>0.5</v>
      </c>
      <c r="N43" s="1275">
        <f ca="1">IF(N42="测算结果/万元",G19,G20)</f>
        <v>80423</v>
      </c>
      <c r="O43" s="1276">
        <f ca="1">IF(O42="最终结果/万元",C32,C33)</f>
        <v>80423</v>
      </c>
      <c r="P43" s="2029"/>
      <c r="V43" s="2029"/>
    </row>
    <row r="44" spans="1:26" ht="30.75" thickBot="1">
      <c r="A44" s="3356" t="str">
        <f>IF(OR(项目基本情况!E8="抵押价格",项目基本情况!E8="已注销及未注销"),"3.抵押价格","——")</f>
        <v>——</v>
      </c>
      <c r="B44" s="3357"/>
      <c r="C44" s="263" t="str">
        <f>IF(A44="——","——",C42-C43)</f>
        <v>——</v>
      </c>
      <c r="D44" s="319" t="e">
        <f>ROUND(C44*10000/'数据-汇总表'!E3,0)</f>
        <v>#VALUE!</v>
      </c>
      <c r="E44" s="319" t="e">
        <f>ROUND(C44*10000/'数据-汇总表'!D3,0)</f>
        <v>#VALUE!</v>
      </c>
      <c r="F44" s="320" t="e">
        <f>ROUND(C44/('数据-汇总表'!D3/666.67),0)</f>
        <v>#VALUE!</v>
      </c>
      <c r="G44" s="313"/>
      <c r="H44" s="313"/>
      <c r="I44" s="321"/>
      <c r="J44" s="2031"/>
      <c r="K44" s="1277" t="str">
        <f>D4</f>
        <v>剩余法-待开发</v>
      </c>
      <c r="L44" s="1278">
        <f ca="1">IF(L42="估价结果/万元",D19,D20)</f>
        <v>89921</v>
      </c>
      <c r="M44" s="1279">
        <f>D18</f>
        <v>0.5</v>
      </c>
      <c r="N44" s="1280"/>
      <c r="O44" s="1281"/>
      <c r="P44" s="2029"/>
      <c r="V44" s="2029"/>
    </row>
    <row r="45" spans="1:26" ht="15">
      <c r="A45" s="3362" t="str">
        <f>IF(项目基本情况!E8="已注销及未注销","4.抵押担保权已注销时的抵押价格",IF(项目基本情况!E8="已注销","3.抵押担保权已注销时的抵押价格","——"))</f>
        <v>——</v>
      </c>
      <c r="B45" s="3363"/>
      <c r="C45" s="1804"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1"/>
      <c r="K45" s="2029"/>
      <c r="L45" s="2029"/>
      <c r="M45" s="2029"/>
      <c r="N45" s="2029"/>
      <c r="O45" s="2029"/>
      <c r="P45" s="2029"/>
      <c r="V45" s="2029"/>
    </row>
    <row r="46" spans="1:26" ht="15.75" thickBot="1">
      <c r="A46" s="3358" t="str">
        <f>IF(项目基本情况!E9="抵押净值",IF(A45="——","4.抵押净值","5.抵押净值"),"——")</f>
        <v>——</v>
      </c>
      <c r="B46" s="3359"/>
      <c r="C46" s="322" t="str">
        <f>IF(A46="——","——",O79)</f>
        <v>——</v>
      </c>
      <c r="D46" s="319" t="e">
        <f>ROUND(C46*10000/'数据-汇总表'!E3,0)</f>
        <v>#VALUE!</v>
      </c>
      <c r="E46" s="319" t="e">
        <f>ROUND(C46*10000/'数据-汇总表'!D3,0)</f>
        <v>#VALUE!</v>
      </c>
      <c r="F46" s="320" t="e">
        <f>ROUND(C46/('数据-汇总表'!D3/666.67),0)</f>
        <v>#VALUE!</v>
      </c>
      <c r="G46" s="313"/>
      <c r="H46" s="313"/>
      <c r="I46" s="321"/>
      <c r="J46" s="2031"/>
      <c r="K46" s="2029"/>
      <c r="L46" s="2029"/>
      <c r="M46" s="2029"/>
      <c r="N46" s="2029"/>
      <c r="O46" s="2029"/>
      <c r="P46" s="2029"/>
      <c r="Q46" s="2029"/>
      <c r="R46" s="2029"/>
      <c r="S46" s="2029"/>
      <c r="T46" s="2029"/>
      <c r="U46" s="2029"/>
      <c r="V46" s="2029"/>
    </row>
    <row r="47" spans="1:26" ht="15.75">
      <c r="A47" s="323" t="s">
        <v>366</v>
      </c>
      <c r="B47" s="1282"/>
      <c r="C47" s="324" t="s">
        <v>367</v>
      </c>
      <c r="D47" s="325"/>
      <c r="E47" s="325"/>
      <c r="F47" s="325"/>
      <c r="G47" s="326"/>
      <c r="H47" s="327"/>
      <c r="I47" s="328"/>
      <c r="J47" s="2031"/>
      <c r="K47" s="313"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9">
        <v>1</v>
      </c>
      <c r="B48" s="330"/>
      <c r="C48" s="330"/>
      <c r="D48" s="325"/>
      <c r="E48" s="325"/>
      <c r="F48" s="325"/>
      <c r="G48" s="325"/>
      <c r="H48" s="331"/>
      <c r="I48" s="332"/>
      <c r="J48" s="2031"/>
      <c r="K48" s="2029"/>
      <c r="L48" s="2029"/>
      <c r="M48" s="2029"/>
      <c r="N48" s="2029"/>
      <c r="O48" s="2029"/>
      <c r="P48" s="2029"/>
      <c r="Q48" s="2029"/>
      <c r="R48" s="2029"/>
      <c r="S48" s="2029"/>
      <c r="T48" s="2029"/>
      <c r="U48" s="2029"/>
      <c r="V48" s="2029"/>
    </row>
    <row r="49" spans="1:22" ht="12.75">
      <c r="A49" s="329">
        <v>2</v>
      </c>
      <c r="B49" s="330"/>
      <c r="C49" s="330"/>
      <c r="D49" s="325"/>
      <c r="E49" s="325"/>
      <c r="F49" s="325"/>
      <c r="G49" s="325"/>
      <c r="H49" s="331"/>
      <c r="I49" s="332"/>
      <c r="J49" s="2032"/>
      <c r="K49" s="2029"/>
      <c r="L49" s="2029"/>
      <c r="M49" s="2029"/>
      <c r="N49" s="2029"/>
      <c r="O49" s="2029"/>
      <c r="P49" s="2029"/>
      <c r="Q49" s="2029"/>
      <c r="R49" s="2029"/>
      <c r="S49" s="2029"/>
      <c r="T49" s="2029"/>
      <c r="U49" s="2029"/>
      <c r="V49" s="2029"/>
    </row>
    <row r="50" spans="1:22" ht="12.75">
      <c r="A50" s="329">
        <v>3</v>
      </c>
      <c r="B50" s="330"/>
      <c r="C50" s="330"/>
      <c r="D50" s="325"/>
      <c r="E50" s="325"/>
      <c r="F50" s="325"/>
      <c r="G50" s="325"/>
      <c r="H50" s="331"/>
      <c r="I50" s="332"/>
      <c r="J50" s="2032"/>
      <c r="K50" s="2029"/>
      <c r="L50" s="2029"/>
      <c r="M50" s="2029"/>
      <c r="N50" s="2029"/>
      <c r="O50" s="2029"/>
      <c r="P50" s="2029"/>
      <c r="Q50" s="2029"/>
      <c r="R50" s="2029"/>
      <c r="S50" s="2029"/>
      <c r="T50" s="2029"/>
      <c r="U50" s="2029"/>
      <c r="V50" s="2029"/>
    </row>
    <row r="51" spans="1:22" ht="12.75">
      <c r="A51" s="333"/>
      <c r="B51" s="334"/>
      <c r="C51" s="334"/>
      <c r="D51" s="335"/>
      <c r="E51" s="335"/>
      <c r="F51" s="335"/>
      <c r="G51" s="335"/>
      <c r="H51" s="336"/>
      <c r="I51" s="337"/>
      <c r="J51" s="2032"/>
      <c r="K51" s="2029"/>
      <c r="L51" s="2029"/>
      <c r="M51" s="2029"/>
      <c r="N51" s="2029"/>
      <c r="O51" s="2029"/>
      <c r="P51" s="2029"/>
      <c r="Q51" s="2029"/>
      <c r="R51" s="2029"/>
      <c r="S51" s="2029"/>
      <c r="T51" s="2029"/>
      <c r="U51" s="2029"/>
      <c r="V51" s="2029"/>
    </row>
    <row r="52" spans="1:22" ht="12.75">
      <c r="A52" s="330"/>
      <c r="B52" s="330"/>
      <c r="C52" s="330"/>
      <c r="D52" s="325"/>
      <c r="E52" s="325"/>
      <c r="F52" s="325"/>
      <c r="G52" s="325"/>
      <c r="H52" s="331"/>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8" t="s">
        <v>368</v>
      </c>
      <c r="G53" s="339"/>
      <c r="H53" s="339"/>
      <c r="I53" s="340" t="s">
        <v>369</v>
      </c>
      <c r="J53" s="2032"/>
      <c r="K53" s="2029"/>
      <c r="L53" s="2029"/>
      <c r="M53" s="2029"/>
      <c r="N53" s="2029"/>
      <c r="O53" s="2029"/>
      <c r="P53" s="2029"/>
      <c r="Q53" s="2029"/>
      <c r="R53" s="2029"/>
      <c r="S53" s="2029"/>
      <c r="T53" s="2029"/>
      <c r="U53" s="2029"/>
      <c r="V53" s="2029"/>
    </row>
    <row r="54" spans="1:22" ht="12.75">
      <c r="A54" s="256"/>
      <c r="B54" s="341"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9"/>
      <c r="C56" s="339"/>
      <c r="D56" s="339"/>
      <c r="E56" s="339"/>
      <c r="F56" s="339"/>
      <c r="G56" s="339"/>
      <c r="H56" s="339"/>
      <c r="I56" s="340" t="s">
        <v>371</v>
      </c>
      <c r="J56" s="2032"/>
      <c r="K56" s="2029"/>
      <c r="L56" s="2029"/>
      <c r="M56" s="2029"/>
      <c r="N56" s="2029"/>
      <c r="O56" s="2029"/>
      <c r="P56" s="2029"/>
      <c r="Q56" s="2029"/>
      <c r="R56" s="2029"/>
      <c r="S56" s="2029"/>
      <c r="T56" s="2029"/>
      <c r="U56" s="2029"/>
      <c r="V56" s="2029"/>
    </row>
    <row r="57" spans="1:22" ht="12.75">
      <c r="A57" s="256"/>
      <c r="B57" s="341"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41"/>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9"/>
      <c r="C59" s="339"/>
      <c r="D59" s="339"/>
      <c r="E59" s="339"/>
      <c r="F59" s="339"/>
      <c r="G59" s="339"/>
      <c r="H59" s="339"/>
      <c r="I59" s="340"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41"/>
      <c r="C61" s="342"/>
      <c r="D61" s="215"/>
      <c r="E61" s="215"/>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402" t="s">
        <v>374</v>
      </c>
      <c r="B63" s="3403"/>
      <c r="C63" s="3404"/>
      <c r="D63" s="343">
        <f ca="1">ROUND(C42*F63,0)</f>
        <v>48254</v>
      </c>
      <c r="E63" s="304" t="s">
        <v>375</v>
      </c>
      <c r="F63" s="344">
        <v>0.6</v>
      </c>
      <c r="G63" s="345" t="s">
        <v>376</v>
      </c>
      <c r="H63" s="313"/>
      <c r="I63" s="313"/>
      <c r="J63" s="2029"/>
      <c r="K63" s="2029"/>
      <c r="L63" s="2029"/>
      <c r="M63" s="2029"/>
      <c r="N63" s="2029"/>
      <c r="O63" s="2029"/>
      <c r="P63" s="313"/>
      <c r="Q63" s="2029"/>
      <c r="R63" s="2029"/>
      <c r="S63" s="2029"/>
      <c r="T63" s="2029"/>
      <c r="U63" s="2029"/>
      <c r="V63" s="2029"/>
    </row>
    <row r="64" spans="1:22" ht="14.25" customHeight="1">
      <c r="A64" s="3364" t="s">
        <v>378</v>
      </c>
      <c r="B64" s="3365"/>
      <c r="C64" s="3365"/>
      <c r="D64" s="3365"/>
      <c r="E64" s="3365"/>
      <c r="F64" s="3365"/>
      <c r="G64" s="3366"/>
      <c r="H64" s="1287"/>
      <c r="I64" s="947"/>
      <c r="J64" s="1991"/>
      <c r="K64" s="1561" t="s">
        <v>377</v>
      </c>
      <c r="L64" s="11"/>
      <c r="M64" s="11"/>
      <c r="N64" s="11"/>
      <c r="O64" s="11"/>
      <c r="P64" s="313"/>
      <c r="Q64" s="2029"/>
      <c r="R64" s="2029"/>
      <c r="S64" s="2029"/>
      <c r="T64" s="2029"/>
      <c r="U64" s="2029"/>
      <c r="V64" s="2029"/>
    </row>
    <row r="65" spans="1:22" ht="12" customHeight="1">
      <c r="A65" s="346" t="s">
        <v>380</v>
      </c>
      <c r="B65" s="347"/>
      <c r="C65" s="348"/>
      <c r="D65" s="349" t="s">
        <v>381</v>
      </c>
      <c r="E65" s="52" t="s">
        <v>382</v>
      </c>
      <c r="F65" s="350" t="s">
        <v>383</v>
      </c>
      <c r="G65" s="351" t="s">
        <v>384</v>
      </c>
      <c r="H65" s="1287"/>
      <c r="I65" s="947"/>
      <c r="J65" s="1991"/>
      <c r="K65" s="1288"/>
      <c r="L65" s="1289"/>
      <c r="M65" s="1289"/>
      <c r="N65" s="1321" t="s">
        <v>379</v>
      </c>
      <c r="O65" s="1322"/>
      <c r="P65" s="1323"/>
      <c r="Q65" s="2029"/>
      <c r="R65" s="2029"/>
      <c r="S65" s="2029"/>
      <c r="T65" s="2029"/>
      <c r="U65" s="2029"/>
      <c r="V65" s="2029"/>
    </row>
    <row r="66" spans="1:22" ht="25.5">
      <c r="A66" s="3360" t="s">
        <v>386</v>
      </c>
      <c r="B66" s="3361"/>
      <c r="C66" s="3361"/>
      <c r="D66" s="260">
        <f ca="1">IF(H66="情况1",0,IF(H66="情况2",D70,IF(H66="情况3",D71,IF(H66="情况4",D72))))</f>
        <v>2574</v>
      </c>
      <c r="E66" s="992" t="str">
        <f>IF(H66="情况4","(销售额-原购置价)×税（费）率","销售额×税（费）率")</f>
        <v>销售额×税（费）率</v>
      </c>
      <c r="F66" s="352">
        <f>IF(H66="情况1","免征",'数据-取费表'!B41)</f>
        <v>5.6000000000000001E-2</v>
      </c>
      <c r="G66" s="353" t="s">
        <v>387</v>
      </c>
      <c r="H66" s="190" t="s">
        <v>388</v>
      </c>
      <c r="I66" s="1287"/>
      <c r="J66" s="2035"/>
      <c r="K66" s="1290">
        <v>1</v>
      </c>
      <c r="L66" s="3417" t="s">
        <v>385</v>
      </c>
      <c r="M66" s="3418"/>
      <c r="N66" s="2480"/>
      <c r="O66" s="2481"/>
      <c r="P66" s="2482"/>
      <c r="Q66" s="2029"/>
      <c r="R66" s="2029"/>
      <c r="S66" s="2029"/>
      <c r="T66" s="2029"/>
      <c r="U66" s="2029"/>
      <c r="V66" s="2029"/>
    </row>
    <row r="67" spans="1:22" ht="25.5" customHeight="1">
      <c r="A67" s="354" t="s">
        <v>390</v>
      </c>
      <c r="B67" s="3351" t="s">
        <v>391</v>
      </c>
      <c r="C67" s="3351"/>
      <c r="D67" s="355">
        <v>0</v>
      </c>
      <c r="E67" s="40" t="s">
        <v>392</v>
      </c>
      <c r="F67" s="61" t="s">
        <v>21</v>
      </c>
      <c r="G67" s="3405"/>
      <c r="H67" s="313"/>
      <c r="I67" s="1291"/>
      <c r="J67" s="2036"/>
      <c r="K67" s="1977">
        <v>2</v>
      </c>
      <c r="L67" s="3416" t="s">
        <v>389</v>
      </c>
      <c r="M67" s="3416"/>
      <c r="N67" s="1324">
        <f>'数据-取费表'!B2</f>
        <v>43187</v>
      </c>
      <c r="O67" s="1324"/>
      <c r="P67" s="1324"/>
      <c r="Q67" s="2029"/>
      <c r="R67" s="2029"/>
      <c r="S67" s="2029"/>
      <c r="T67" s="2029"/>
      <c r="U67" s="2029"/>
      <c r="V67" s="2029"/>
    </row>
    <row r="68" spans="1:22" ht="25.5" customHeight="1">
      <c r="A68" s="356"/>
      <c r="B68" s="3351" t="s">
        <v>394</v>
      </c>
      <c r="C68" s="3351"/>
      <c r="D68" s="357"/>
      <c r="E68" s="76"/>
      <c r="F68" s="358"/>
      <c r="G68" s="3406"/>
      <c r="H68" s="313"/>
      <c r="I68" s="1291"/>
      <c r="J68" s="2036"/>
      <c r="K68" s="1977">
        <v>3</v>
      </c>
      <c r="L68" s="3416" t="s">
        <v>393</v>
      </c>
      <c r="M68" s="3416"/>
      <c r="N68" s="1292">
        <f ca="1">C42</f>
        <v>80423</v>
      </c>
      <c r="O68" s="1292"/>
      <c r="P68" s="1292"/>
      <c r="Q68" s="2029"/>
      <c r="R68" s="2029"/>
      <c r="S68" s="2029"/>
      <c r="T68" s="2029"/>
      <c r="U68" s="2029"/>
      <c r="V68" s="2029"/>
    </row>
    <row r="69" spans="1:22" ht="12" customHeight="1">
      <c r="A69" s="359"/>
      <c r="B69" s="3351" t="s">
        <v>395</v>
      </c>
      <c r="C69" s="3351"/>
      <c r="D69" s="360"/>
      <c r="E69" s="72"/>
      <c r="F69" s="358"/>
      <c r="G69" s="3407"/>
      <c r="H69" s="313"/>
      <c r="I69" s="1291"/>
      <c r="J69" s="2036"/>
      <c r="K69" s="1293">
        <v>4</v>
      </c>
      <c r="L69" s="3421" t="s">
        <v>2891</v>
      </c>
      <c r="M69" s="3422"/>
      <c r="N69" s="1294" t="str">
        <f>C44</f>
        <v>——</v>
      </c>
      <c r="O69" s="1294"/>
      <c r="P69" s="1294"/>
      <c r="Q69" s="2029"/>
      <c r="R69" s="2029"/>
      <c r="S69" s="2029"/>
      <c r="T69" s="2029"/>
      <c r="U69" s="2029"/>
      <c r="V69" s="2029"/>
    </row>
    <row r="70" spans="1:22" ht="24" customHeight="1">
      <c r="A70" s="361" t="s">
        <v>396</v>
      </c>
      <c r="B70" s="3351" t="s">
        <v>397</v>
      </c>
      <c r="C70" s="3351"/>
      <c r="D70" s="360">
        <f ca="1">ROUND(D63*'数据-取费表'!B41/(1+'数据-取费表'!C42),0)</f>
        <v>2574</v>
      </c>
      <c r="E70" s="17" t="s">
        <v>398</v>
      </c>
      <c r="F70" s="362">
        <f>'数据-取费表'!B41</f>
        <v>5.6000000000000001E-2</v>
      </c>
      <c r="G70" s="363"/>
      <c r="H70" s="313"/>
      <c r="I70" s="1291"/>
      <c r="J70" s="2036"/>
      <c r="K70" s="3086"/>
      <c r="L70" s="3087"/>
      <c r="M70" s="3087"/>
      <c r="N70" s="3088" t="s">
        <v>2896</v>
      </c>
      <c r="O70" s="3087"/>
      <c r="P70" s="3089"/>
      <c r="Q70" s="2029"/>
      <c r="R70" s="2029"/>
      <c r="S70" s="2029"/>
      <c r="T70" s="2029"/>
      <c r="U70" s="2029"/>
      <c r="V70" s="2029"/>
    </row>
    <row r="71" spans="1:22" ht="12" customHeight="1">
      <c r="A71" s="361" t="s">
        <v>404</v>
      </c>
      <c r="B71" s="3352" t="s">
        <v>405</v>
      </c>
      <c r="C71" s="3353"/>
      <c r="D71" s="360">
        <f ca="1">ROUND(D63*'数据-取费表'!B41/(1+'数据-取费表'!C42),0)</f>
        <v>2574</v>
      </c>
      <c r="E71" s="17" t="s">
        <v>398</v>
      </c>
      <c r="F71" s="362">
        <f>'数据-取费表'!B41</f>
        <v>5.6000000000000001E-2</v>
      </c>
      <c r="G71" s="363"/>
      <c r="H71" s="313"/>
      <c r="I71" s="1291"/>
      <c r="J71" s="2036"/>
      <c r="K71" s="3085" t="s">
        <v>399</v>
      </c>
      <c r="L71" s="3423" t="s">
        <v>400</v>
      </c>
      <c r="M71" s="3423"/>
      <c r="N71" s="3085" t="s">
        <v>401</v>
      </c>
      <c r="O71" s="3085" t="s">
        <v>402</v>
      </c>
      <c r="P71" s="3085" t="s">
        <v>403</v>
      </c>
      <c r="Q71" s="2029"/>
      <c r="R71" s="2029"/>
      <c r="S71" s="2029"/>
      <c r="T71" s="2029"/>
      <c r="U71" s="2029"/>
      <c r="V71" s="2029"/>
    </row>
    <row r="72" spans="1:22" ht="12" customHeight="1">
      <c r="A72" s="361" t="s">
        <v>407</v>
      </c>
      <c r="B72" s="3352" t="s">
        <v>408</v>
      </c>
      <c r="C72" s="3353"/>
      <c r="D72" s="360">
        <f ca="1">C86</f>
        <v>2462</v>
      </c>
      <c r="E72" s="72" t="s">
        <v>409</v>
      </c>
      <c r="F72" s="362">
        <f>'数据-取费表'!B41</f>
        <v>5.6000000000000001E-2</v>
      </c>
      <c r="G72" s="363"/>
      <c r="H72" s="1297"/>
      <c r="I72" s="1291"/>
      <c r="J72" s="2036"/>
      <c r="K72" s="1977">
        <v>1</v>
      </c>
      <c r="L72" s="3398" t="s">
        <v>406</v>
      </c>
      <c r="M72" s="3398"/>
      <c r="N72" s="1295">
        <f ca="1">D66</f>
        <v>2574</v>
      </c>
      <c r="O72" s="1860" t="str">
        <f>E66</f>
        <v>销售额×税（费）率</v>
      </c>
      <c r="P72" s="1296">
        <f>F66</f>
        <v>5.6000000000000001E-2</v>
      </c>
      <c r="Q72" s="2029"/>
      <c r="R72" s="2029"/>
      <c r="S72" s="2029"/>
      <c r="T72" s="2029"/>
      <c r="U72" s="2029"/>
      <c r="V72" s="2029"/>
    </row>
    <row r="73" spans="1:22" ht="24" customHeight="1">
      <c r="A73" s="3392" t="s">
        <v>411</v>
      </c>
      <c r="B73" s="3361"/>
      <c r="C73" s="3361"/>
      <c r="D73" s="364">
        <f>IF(H73="个人住宅",0,ROUND(D63*I73,0))</f>
        <v>0</v>
      </c>
      <c r="E73" s="17" t="s">
        <v>412</v>
      </c>
      <c r="F73" s="362" t="str">
        <f>IF(H73="正常",I73,"免征")</f>
        <v>免征</v>
      </c>
      <c r="G73" s="363"/>
      <c r="H73" s="190" t="s">
        <v>2460</v>
      </c>
      <c r="I73" s="362">
        <f>'数据-取费表'!B49</f>
        <v>5.0000000000000001E-4</v>
      </c>
      <c r="J73" s="2036"/>
      <c r="K73" s="1977">
        <v>2</v>
      </c>
      <c r="L73" s="3398" t="s">
        <v>410</v>
      </c>
      <c r="M73" s="3398"/>
      <c r="N73" s="1295">
        <f t="shared" ref="N73:P74" si="0">D73</f>
        <v>0</v>
      </c>
      <c r="O73" s="1860" t="str">
        <f t="shared" si="0"/>
        <v>销售额×税（费）率</v>
      </c>
      <c r="P73" s="1296" t="str">
        <f t="shared" si="0"/>
        <v>免征</v>
      </c>
      <c r="Q73" s="2029"/>
      <c r="R73" s="2029"/>
      <c r="S73" s="2029"/>
      <c r="T73" s="2029"/>
      <c r="U73" s="2029"/>
      <c r="V73" s="2029"/>
    </row>
    <row r="74" spans="1:22" ht="24.75">
      <c r="A74" s="3392" t="s">
        <v>415</v>
      </c>
      <c r="B74" s="3361"/>
      <c r="C74" s="3361"/>
      <c r="D74" s="364">
        <f ca="1">IF(H74="个人住宅",D75,D76)</f>
        <v>26656</v>
      </c>
      <c r="E74" s="17" t="s">
        <v>416</v>
      </c>
      <c r="F74" s="362" t="str">
        <f>IF(H74="正常",F76,"免征")</f>
        <v>——</v>
      </c>
      <c r="G74" s="982" t="s">
        <v>417</v>
      </c>
      <c r="H74" s="365" t="s">
        <v>413</v>
      </c>
      <c r="I74" s="41"/>
      <c r="J74" s="2036"/>
      <c r="K74" s="1977">
        <v>3</v>
      </c>
      <c r="L74" s="3398" t="s">
        <v>414</v>
      </c>
      <c r="M74" s="3398"/>
      <c r="N74" s="1295">
        <f t="shared" ca="1" si="0"/>
        <v>26656</v>
      </c>
      <c r="O74" s="1860" t="str">
        <f t="shared" si="0"/>
        <v>增值额×税（费）率</v>
      </c>
      <c r="P74" s="1298" t="str">
        <f t="shared" si="0"/>
        <v>——</v>
      </c>
      <c r="Q74" s="2029"/>
      <c r="R74" s="2029"/>
      <c r="S74" s="2029"/>
      <c r="T74" s="2029"/>
      <c r="U74" s="2029"/>
      <c r="V74" s="2029"/>
    </row>
    <row r="75" spans="1:22" ht="24">
      <c r="A75" s="361" t="s">
        <v>418</v>
      </c>
      <c r="B75" s="3349" t="s">
        <v>419</v>
      </c>
      <c r="C75" s="3378"/>
      <c r="D75" s="366">
        <v>0</v>
      </c>
      <c r="E75" s="40" t="s">
        <v>420</v>
      </c>
      <c r="F75" s="367"/>
      <c r="G75" s="363"/>
      <c r="H75" s="41"/>
      <c r="I75" s="41"/>
      <c r="J75" s="2036"/>
      <c r="K75" s="3078">
        <f>IF(H77="非个人房产","",4)</f>
        <v>4</v>
      </c>
      <c r="L75" s="3398" t="str">
        <f>IF(H77="非个人房产","——","个人所得税")</f>
        <v>个人所得税</v>
      </c>
      <c r="M75" s="3398"/>
      <c r="N75" s="1299">
        <f ca="1">D77</f>
        <v>483</v>
      </c>
      <c r="O75" s="1873" t="str">
        <f>E77</f>
        <v>销售额×税（费）率</v>
      </c>
      <c r="P75" s="1300">
        <f>F77</f>
        <v>0.01</v>
      </c>
      <c r="Q75" s="2029"/>
      <c r="R75" s="2029"/>
      <c r="S75" s="2029"/>
      <c r="T75" s="2029"/>
      <c r="U75" s="2029"/>
      <c r="V75" s="2029"/>
    </row>
    <row r="76" spans="1:22" ht="24.75">
      <c r="A76" s="361" t="s">
        <v>396</v>
      </c>
      <c r="B76" s="3349" t="s">
        <v>422</v>
      </c>
      <c r="C76" s="3350"/>
      <c r="D76" s="364">
        <f ca="1">IF(H76="转让取得",C99,C115)</f>
        <v>26656</v>
      </c>
      <c r="E76" s="17" t="s">
        <v>423</v>
      </c>
      <c r="F76" s="52" t="s">
        <v>21</v>
      </c>
      <c r="G76" s="363"/>
      <c r="H76" s="365" t="s">
        <v>424</v>
      </c>
      <c r="I76" s="41"/>
      <c r="J76" s="2036"/>
      <c r="K76" s="3078" t="str">
        <f>IF(项目基本情况!K6="上海银行",IF(K75="",4,K75+1),"")</f>
        <v/>
      </c>
      <c r="L76" s="3409" t="str">
        <f>IF(项目基本情况!K6="上海银行","其他处置费用","")</f>
        <v/>
      </c>
      <c r="M76" s="3410"/>
      <c r="N76" s="1295" t="str">
        <f>IF(项目基本情况!K6="上海银行",N89,"")</f>
        <v/>
      </c>
      <c r="O76" s="3411" t="str">
        <f>IF(项目基本情况!K6="上海银行","包含处置中涉及的律师、诉讼、拍卖、评估等费用","")</f>
        <v/>
      </c>
      <c r="P76" s="3412"/>
      <c r="Q76" s="2029"/>
      <c r="R76" s="2029"/>
      <c r="S76" s="2029"/>
      <c r="T76" s="2029"/>
      <c r="U76" s="2029"/>
      <c r="V76" s="2029"/>
    </row>
    <row r="77" spans="1:22" ht="26.25" thickBot="1">
      <c r="A77" s="3400" t="s">
        <v>426</v>
      </c>
      <c r="B77" s="3401"/>
      <c r="C77" s="3401"/>
      <c r="D77" s="368">
        <f ca="1">IF(H77="非个人房产","——",IF(H77="个人住宅",0,ROUND(D63*I77,0)))</f>
        <v>483</v>
      </c>
      <c r="E77" s="369" t="str">
        <f>IF(H77="非个人房产","——","销售额×税（费）率")</f>
        <v>销售额×税（费）率</v>
      </c>
      <c r="F77" s="370">
        <f>IF(H77="非个人房产","——",IF(H77="个人住宅","免征",I77))</f>
        <v>0.01</v>
      </c>
      <c r="G77" s="983" t="s">
        <v>417</v>
      </c>
      <c r="H77" s="365" t="s">
        <v>2892</v>
      </c>
      <c r="I77" s="371">
        <v>0.01</v>
      </c>
      <c r="J77" s="2036"/>
      <c r="K77" s="3399">
        <f>IF(AND(K75="",K76=""),4,IF(项目基本情况!K6="上海银行",K76+1,K75+1))</f>
        <v>5</v>
      </c>
      <c r="L77" s="3398" t="s">
        <v>2893</v>
      </c>
      <c r="M77" s="3084" t="s">
        <v>421</v>
      </c>
      <c r="N77" s="1301"/>
      <c r="O77" s="1302">
        <f ca="1">SUMIF(N72:N76,"&lt;9e307")</f>
        <v>29713</v>
      </c>
      <c r="P77" s="1303"/>
      <c r="Q77" s="3082" t="e">
        <f ca="1">O77/N69</f>
        <v>#VALUE!</v>
      </c>
      <c r="R77" s="2029"/>
      <c r="S77" s="2029"/>
      <c r="T77" s="2029"/>
      <c r="U77" s="2029"/>
      <c r="V77" s="2029"/>
    </row>
    <row r="78" spans="1:22" ht="12" customHeight="1">
      <c r="A78" s="1304"/>
      <c r="B78" s="313"/>
      <c r="C78" s="313"/>
      <c r="D78" s="313"/>
      <c r="E78" s="41"/>
      <c r="F78" s="41"/>
      <c r="G78" s="41"/>
      <c r="H78" s="1002"/>
      <c r="I78" s="313"/>
      <c r="J78" s="2036"/>
      <c r="K78" s="3399"/>
      <c r="L78" s="3398"/>
      <c r="M78" s="3084" t="s">
        <v>425</v>
      </c>
      <c r="N78" s="1301"/>
      <c r="O78" s="1302" t="str">
        <f ca="1">NUMBERSTRING(INT(O77*10000),2)&amp;"元整"</f>
        <v>贰亿玖仟柒佰壹拾叁万元整</v>
      </c>
      <c r="P78" s="1303"/>
      <c r="Q78" s="2029"/>
      <c r="R78" s="2029"/>
      <c r="S78" s="2029"/>
      <c r="T78" s="2029"/>
      <c r="U78" s="2029"/>
      <c r="V78" s="2029"/>
    </row>
    <row r="79" spans="1:22" ht="13.5" thickBot="1">
      <c r="A79" s="3393" t="s">
        <v>427</v>
      </c>
      <c r="B79" s="3393"/>
      <c r="C79" s="3393"/>
      <c r="D79" s="3393"/>
      <c r="E79" s="3393"/>
      <c r="F79" s="41"/>
      <c r="G79" s="41"/>
      <c r="H79" s="1002"/>
      <c r="I79" s="313"/>
      <c r="J79" s="2036"/>
      <c r="K79" s="3419">
        <f>K77+1</f>
        <v>6</v>
      </c>
      <c r="L79" s="3398" t="s">
        <v>2894</v>
      </c>
      <c r="M79" s="3084" t="s">
        <v>421</v>
      </c>
      <c r="N79" s="1301"/>
      <c r="O79" s="1302" t="e">
        <f ca="1">N69-O77</f>
        <v>#VALUE!</v>
      </c>
      <c r="P79" s="1303"/>
      <c r="Q79" s="2029"/>
      <c r="R79" s="2029"/>
      <c r="S79" s="2029"/>
      <c r="T79" s="2029"/>
      <c r="U79" s="2029"/>
      <c r="V79" s="2029"/>
    </row>
    <row r="80" spans="1:22" ht="12.75">
      <c r="A80" s="3388" t="s">
        <v>428</v>
      </c>
      <c r="B80" s="3389"/>
      <c r="C80" s="993"/>
      <c r="D80" s="993" t="s">
        <v>429</v>
      </c>
      <c r="E80" s="372" t="s">
        <v>430</v>
      </c>
      <c r="F80" s="41"/>
      <c r="G80" s="41"/>
      <c r="H80" s="1002"/>
      <c r="I80" s="313"/>
      <c r="J80" s="2029"/>
      <c r="K80" s="3420"/>
      <c r="L80" s="3398"/>
      <c r="M80" s="3084" t="s">
        <v>425</v>
      </c>
      <c r="N80" s="1301"/>
      <c r="O80" s="1302" t="e">
        <f ca="1">NUMBERSTRING(INT(O79*10000),2)&amp;"元整"</f>
        <v>#VALUE!</v>
      </c>
      <c r="P80" s="1303"/>
      <c r="Q80" s="2029"/>
      <c r="R80" s="2029"/>
      <c r="S80" s="2029"/>
      <c r="T80" s="2029"/>
      <c r="U80" s="2029"/>
      <c r="V80" s="2029"/>
    </row>
    <row r="81" spans="1:26" ht="13.5" thickBot="1">
      <c r="A81" s="383" t="s">
        <v>1825</v>
      </c>
      <c r="B81" s="373" t="s">
        <v>431</v>
      </c>
      <c r="C81" s="374">
        <f ca="1">ROUND((C82+C83)/(1+'数据-取费表'!C42),0)</f>
        <v>45956</v>
      </c>
      <c r="D81" s="375"/>
      <c r="E81" s="376"/>
      <c r="F81" s="41"/>
      <c r="G81" s="41"/>
      <c r="H81" s="1002"/>
      <c r="I81" s="313"/>
      <c r="J81" s="2029"/>
      <c r="K81" s="3078">
        <f>K79+1</f>
        <v>7</v>
      </c>
      <c r="L81" s="3396" t="s">
        <v>2895</v>
      </c>
      <c r="M81" s="3397"/>
      <c r="N81" s="1305"/>
      <c r="O81" s="1306" t="e">
        <f ca="1">ROUND(O79*10000/'数据-汇总表'!E3,0)</f>
        <v>#VALUE!</v>
      </c>
      <c r="P81" s="1307"/>
      <c r="Q81" s="2029"/>
      <c r="R81" s="2029"/>
      <c r="S81" s="2029"/>
      <c r="T81" s="2029"/>
      <c r="U81" s="2029"/>
      <c r="V81" s="2029"/>
    </row>
    <row r="82" spans="1:26" ht="13.5" thickTop="1">
      <c r="A82" s="377" t="s">
        <v>1826</v>
      </c>
      <c r="B82" s="378" t="s">
        <v>432</v>
      </c>
      <c r="C82" s="379">
        <f ca="1">D63</f>
        <v>48254</v>
      </c>
      <c r="D82" s="380" t="s">
        <v>19</v>
      </c>
      <c r="E82" s="381"/>
      <c r="F82" s="41"/>
      <c r="G82" s="41"/>
      <c r="H82" s="1002"/>
      <c r="I82" s="313"/>
      <c r="J82" s="2029"/>
      <c r="K82" s="2029"/>
      <c r="L82" s="2029"/>
      <c r="M82" s="2029"/>
      <c r="N82" s="2029"/>
      <c r="O82" s="2029"/>
      <c r="P82" s="2029"/>
      <c r="Q82" s="2029"/>
      <c r="R82" s="2029"/>
      <c r="S82" s="2029"/>
      <c r="T82" s="2029"/>
      <c r="U82" s="2029"/>
      <c r="V82" s="2029"/>
    </row>
    <row r="83" spans="1:26" ht="12.75">
      <c r="A83" s="377" t="s">
        <v>1827</v>
      </c>
      <c r="B83" s="378" t="s">
        <v>433</v>
      </c>
      <c r="C83" s="382">
        <v>0</v>
      </c>
      <c r="D83" s="380"/>
      <c r="E83" s="381"/>
      <c r="F83" s="41"/>
      <c r="G83" s="41"/>
      <c r="H83" s="1002"/>
      <c r="I83" s="313"/>
      <c r="J83" s="2029"/>
      <c r="K83" s="3408" t="s">
        <v>2882</v>
      </c>
      <c r="L83" s="3090" t="s">
        <v>2883</v>
      </c>
      <c r="M83" s="3080" t="e">
        <f>IF(N69&gt;10000,N69*0.5%,IF(AND(N69&gt;1000,N69&lt;=10000),N69*1%,IF(AND(N69&gt;100,N69&lt;=1000),N69*3%,IF(AND(N69&gt;10,N69&lt;=100),N69*5%,N69*8%))))</f>
        <v>#VALUE!</v>
      </c>
      <c r="N83" s="52" t="e">
        <f>ROUND(M83,1)</f>
        <v>#VALUE!</v>
      </c>
      <c r="O83" s="3083"/>
      <c r="P83" s="2029"/>
      <c r="Q83" s="2029"/>
      <c r="R83" s="2029"/>
      <c r="S83" s="2029"/>
      <c r="T83" s="2029"/>
      <c r="U83" s="2029"/>
      <c r="V83" s="2029"/>
    </row>
    <row r="84" spans="1:26" ht="12.75">
      <c r="A84" s="383" t="s">
        <v>1828</v>
      </c>
      <c r="B84" s="384" t="s">
        <v>434</v>
      </c>
      <c r="C84" s="385">
        <v>2000</v>
      </c>
      <c r="D84" s="386" t="s">
        <v>19</v>
      </c>
      <c r="E84" s="3125" t="s">
        <v>2950</v>
      </c>
      <c r="F84" s="41"/>
      <c r="G84" s="41"/>
      <c r="H84" s="1002"/>
      <c r="I84" s="313"/>
      <c r="J84" s="2029"/>
      <c r="K84" s="3408"/>
      <c r="L84" s="3090" t="s">
        <v>2884</v>
      </c>
      <c r="M84" s="3080" t="e">
        <f>IF(N69&gt;2000,N69*0.5%,IF(AND(N69&gt;1000,N69&lt;=2000),N69*0.6%,IF(AND(N69&gt;500,N69&lt;=1000),N69*0.7%,IF(AND(N69&gt;200,N69&lt;=500),N69*0.8%,IF(AND(N69&gt;100,N69&lt;=200),N69*0.9%,IF(AND(N69&gt;50,N69&lt;=100),N69*1%,IF(AND(N69&gt;20,N69&lt;=50),N69*1.5%,IF(AND(N69&gt;10,N69&lt;=20),N69*2%,IF(AND(N69&gt;1,N69&lt;=10),N69*2.5%)))))))))</f>
        <v>#VALUE!</v>
      </c>
      <c r="N84" s="52" t="e">
        <f>ROUND(M84,1)</f>
        <v>#VALUE!</v>
      </c>
      <c r="O84" s="2029" t="s">
        <v>2885</v>
      </c>
      <c r="P84" s="2029"/>
      <c r="Q84" s="2029"/>
      <c r="R84" s="2029"/>
      <c r="S84" s="2029"/>
      <c r="T84" s="2029"/>
      <c r="U84" s="2029"/>
      <c r="V84" s="2029"/>
    </row>
    <row r="85" spans="1:26" ht="12.75">
      <c r="A85" s="383" t="s">
        <v>1829</v>
      </c>
      <c r="B85" s="384" t="s">
        <v>435</v>
      </c>
      <c r="C85" s="387">
        <f ca="1">C81-C84</f>
        <v>43956</v>
      </c>
      <c r="D85" s="380" t="s">
        <v>19</v>
      </c>
      <c r="E85" s="381"/>
      <c r="F85" s="41"/>
      <c r="G85" s="41"/>
      <c r="H85" s="1002"/>
      <c r="I85" s="313"/>
      <c r="J85" s="2029"/>
      <c r="K85" s="3408"/>
      <c r="L85" s="3090" t="s">
        <v>2886</v>
      </c>
      <c r="M85" s="3080" t="e">
        <f>IF(N69&gt;1000,N69*0.1%,IF(AND(N69&gt;500,N69&lt;=1000),N69*0.5%,IF(AND(N69&gt;50,N69&lt;=500),N69*1%,IF(AND(N69&gt;1,N69&lt;=50),N69*1.5%))))</f>
        <v>#VALUE!</v>
      </c>
      <c r="N85" s="52" t="e">
        <f>ROUND(M85,1)</f>
        <v>#VALUE!</v>
      </c>
      <c r="O85" s="2029" t="s">
        <v>2885</v>
      </c>
      <c r="P85" s="2029"/>
      <c r="Q85" s="2029"/>
      <c r="R85" s="2029"/>
      <c r="S85" s="2029"/>
      <c r="T85" s="2029"/>
      <c r="U85" s="2029"/>
      <c r="V85" s="2029"/>
    </row>
    <row r="86" spans="1:26" ht="13.5" thickBot="1">
      <c r="A86" s="388" t="s">
        <v>1830</v>
      </c>
      <c r="B86" s="389" t="s">
        <v>436</v>
      </c>
      <c r="C86" s="390">
        <f ca="1">IF(C85&lt;=0,0,ROUND(C85*D86,0))</f>
        <v>2462</v>
      </c>
      <c r="D86" s="391">
        <f>'数据-取费表'!B41</f>
        <v>5.6000000000000001E-2</v>
      </c>
      <c r="E86" s="392"/>
      <c r="F86" s="41"/>
      <c r="G86" s="41"/>
      <c r="H86" s="1002"/>
      <c r="I86" s="313"/>
      <c r="J86" s="2029"/>
      <c r="K86" s="3408"/>
      <c r="L86" s="3090" t="s">
        <v>2887</v>
      </c>
      <c r="M86" s="3080" t="e">
        <f>N69*0.5%</f>
        <v>#VALUE!</v>
      </c>
      <c r="N86" s="52" t="e">
        <f>IF(M86&gt;0.5,0.5,ROUND(M86,0))</f>
        <v>#VALUE!</v>
      </c>
      <c r="O86" s="2029" t="s">
        <v>2888</v>
      </c>
      <c r="P86" s="2029"/>
      <c r="Q86" s="2029"/>
      <c r="R86" s="2029"/>
      <c r="S86" s="2029"/>
      <c r="T86" s="2029"/>
      <c r="U86" s="2029"/>
      <c r="V86" s="2029"/>
    </row>
    <row r="87" spans="1:26" s="1253" customFormat="1" ht="14.25" customHeight="1">
      <c r="A87" s="1308"/>
      <c r="B87" s="1309"/>
      <c r="C87" s="1310"/>
      <c r="D87" s="1311"/>
      <c r="E87" s="1312"/>
      <c r="F87" s="41"/>
      <c r="G87" s="41"/>
      <c r="H87" s="1002"/>
      <c r="I87" s="313"/>
      <c r="J87" s="2029"/>
      <c r="K87" s="3408"/>
      <c r="L87" s="3090" t="s">
        <v>2889</v>
      </c>
      <c r="M87" s="308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83"/>
      <c r="P87" s="313"/>
      <c r="Q87" s="2029"/>
      <c r="R87" s="2029"/>
      <c r="S87" s="2029"/>
      <c r="T87" s="2029"/>
      <c r="U87" s="2029"/>
      <c r="V87" s="2029"/>
      <c r="W87" s="291"/>
      <c r="X87" s="291"/>
      <c r="Y87" s="291"/>
      <c r="Z87" s="291"/>
    </row>
    <row r="88" spans="1:26" s="1313" customFormat="1" ht="15" thickBot="1">
      <c r="A88" s="3390" t="s">
        <v>437</v>
      </c>
      <c r="B88" s="3391"/>
      <c r="C88" s="3391"/>
      <c r="D88" s="3391"/>
      <c r="E88" s="3391"/>
      <c r="F88" s="3391"/>
      <c r="G88" s="3391"/>
      <c r="H88" s="3391"/>
      <c r="I88" s="1314"/>
      <c r="J88" s="2037"/>
      <c r="K88" s="3408"/>
      <c r="L88" s="3090" t="s">
        <v>2890</v>
      </c>
      <c r="M88" s="3080" t="e">
        <f>IF(N69&gt;10000,N69*0.5%,IF(AND(N69&gt;5000,N69&lt;=10000),N69*1%,IF(AND(N69&gt;1000,N69&lt;=5000),N69*2%,IF(AND(N69&gt;200,N69&lt;=1000),N69*3%,N69*5%))))</f>
        <v>#VALUE!</v>
      </c>
      <c r="N88" s="52" t="e">
        <f>ROUND(M88,1)</f>
        <v>#VALUE!</v>
      </c>
      <c r="O88" s="3083"/>
      <c r="P88" s="11"/>
      <c r="Q88" s="2034"/>
      <c r="R88" s="2034"/>
      <c r="S88" s="2034"/>
      <c r="T88" s="2034"/>
      <c r="U88" s="2034"/>
      <c r="V88" s="2034"/>
      <c r="W88" s="2038"/>
      <c r="X88" s="2038"/>
      <c r="Y88" s="2038"/>
      <c r="Z88" s="2038"/>
    </row>
    <row r="89" spans="1:26" s="1313" customFormat="1" ht="14.25">
      <c r="A89" s="3388" t="s">
        <v>428</v>
      </c>
      <c r="B89" s="3389"/>
      <c r="C89" s="993"/>
      <c r="D89" s="993" t="s">
        <v>429</v>
      </c>
      <c r="E89" s="393" t="s">
        <v>438</v>
      </c>
      <c r="F89" s="394"/>
      <c r="G89" s="394"/>
      <c r="H89" s="395"/>
      <c r="I89" s="1315"/>
      <c r="J89" s="2039"/>
      <c r="K89" s="3408"/>
      <c r="L89" s="3090" t="s">
        <v>27</v>
      </c>
      <c r="M89" s="3081"/>
      <c r="N89" s="52" t="e">
        <f>ROUND(SUM(N83:N88),0)</f>
        <v>#VALUE!</v>
      </c>
      <c r="O89" s="3091" t="e">
        <f>N89/N69</f>
        <v>#VALUE!</v>
      </c>
      <c r="P89" s="2034"/>
      <c r="Q89" s="2034"/>
      <c r="R89" s="2034"/>
      <c r="S89" s="2034"/>
      <c r="T89" s="2034"/>
      <c r="U89" s="2034"/>
      <c r="V89" s="2034"/>
      <c r="W89" s="2038"/>
      <c r="X89" s="2038"/>
      <c r="Y89" s="2038"/>
      <c r="Z89" s="2038"/>
    </row>
    <row r="90" spans="1:26" s="1313" customFormat="1" ht="14.25">
      <c r="A90" s="383" t="s">
        <v>1825</v>
      </c>
      <c r="B90" s="384" t="s">
        <v>439</v>
      </c>
      <c r="C90" s="387">
        <f ca="1">ROUND(D63/(1+'数据-取费表'!C42),0)</f>
        <v>45956</v>
      </c>
      <c r="D90" s="380" t="s">
        <v>19</v>
      </c>
      <c r="E90" s="990"/>
      <c r="F90" s="989"/>
      <c r="G90" s="989"/>
      <c r="H90" s="396"/>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3" t="s">
        <v>1831</v>
      </c>
      <c r="B91" s="350" t="s">
        <v>440</v>
      </c>
      <c r="C91" s="387">
        <f ca="1">C92+C96</f>
        <v>2837</v>
      </c>
      <c r="D91" s="380" t="s">
        <v>19</v>
      </c>
      <c r="E91" s="990"/>
      <c r="F91" s="989"/>
      <c r="G91" s="989"/>
      <c r="H91" s="396"/>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7" t="s">
        <v>1832</v>
      </c>
      <c r="B92" s="378" t="s">
        <v>441</v>
      </c>
      <c r="C92" s="380">
        <f>ROUND(IF(G95="2016年5月1日后购买",C93/(1+'数据-取费表'!C30)+C94+C95,C93+C94+C95),0)</f>
        <v>2561</v>
      </c>
      <c r="D92" s="380" t="s">
        <v>19</v>
      </c>
      <c r="E92" s="990"/>
      <c r="F92" s="989"/>
      <c r="G92" s="989"/>
      <c r="H92" s="396"/>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7" t="s">
        <v>1833</v>
      </c>
      <c r="B93" s="378" t="s">
        <v>442</v>
      </c>
      <c r="C93" s="398">
        <v>2000</v>
      </c>
      <c r="D93" s="380" t="s">
        <v>19</v>
      </c>
      <c r="E93" s="399" t="s">
        <v>443</v>
      </c>
      <c r="F93" s="400" t="s">
        <v>444</v>
      </c>
      <c r="G93" s="399" t="s">
        <v>445</v>
      </c>
      <c r="H93" s="401">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7" t="s">
        <v>1834</v>
      </c>
      <c r="B94" s="402" t="s">
        <v>446</v>
      </c>
      <c r="C94" s="380">
        <f>IF(F93="购房发票",ROUND(C93*H93*5%,0),0)</f>
        <v>500</v>
      </c>
      <c r="D94" s="403">
        <v>0.05</v>
      </c>
      <c r="E94" s="3352" t="s">
        <v>447</v>
      </c>
      <c r="F94" s="3351"/>
      <c r="G94" s="3351"/>
      <c r="H94" s="3387"/>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7" t="s">
        <v>1835</v>
      </c>
      <c r="B95" s="378" t="s">
        <v>448</v>
      </c>
      <c r="C95" s="380">
        <f>ROUND(IF(G95="个人买卖住房",0,IF(G95="2016年5月1日前购买",C93*D95,C93*D95/(1+'数据-取费表'!C42))),0)</f>
        <v>61</v>
      </c>
      <c r="D95" s="404">
        <f>'数据-取费表'!B48+'数据-取费表'!B49</f>
        <v>3.0499999999999999E-2</v>
      </c>
      <c r="E95" s="25" t="s">
        <v>449</v>
      </c>
      <c r="F95" s="405"/>
      <c r="G95" s="406" t="s">
        <v>2433</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7" t="s">
        <v>1836</v>
      </c>
      <c r="B96" s="378" t="s">
        <v>450</v>
      </c>
      <c r="C96" s="407">
        <f ca="1">ROUND(D63*D96/(1+'数据-取费表'!C42),0)</f>
        <v>276</v>
      </c>
      <c r="D96" s="408">
        <f>'数据-取费表'!B43</f>
        <v>6.000000000000001E-3</v>
      </c>
      <c r="E96" s="3379" t="s">
        <v>2432</v>
      </c>
      <c r="F96" s="3380"/>
      <c r="G96" s="3380"/>
      <c r="H96" s="3381"/>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1837</v>
      </c>
      <c r="B97" s="384" t="s">
        <v>451</v>
      </c>
      <c r="C97" s="387">
        <f ca="1">C90-C91</f>
        <v>43119</v>
      </c>
      <c r="D97" s="380" t="s">
        <v>19</v>
      </c>
      <c r="E97" s="990"/>
      <c r="F97" s="989"/>
      <c r="G97" s="989"/>
      <c r="H97" s="396"/>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1838</v>
      </c>
      <c r="B98" s="384" t="s">
        <v>452</v>
      </c>
      <c r="C98" s="409">
        <f ca="1">IF(C97&lt;=0,0,C97/C91)</f>
        <v>15.198801550934085</v>
      </c>
      <c r="D98" s="38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1839</v>
      </c>
      <c r="B99" s="389" t="s">
        <v>453</v>
      </c>
      <c r="C99" s="410">
        <f ca="1">ROUND(IF(C97&lt;=0,0,IF(C98&gt;=200%,C97*60%-C91*35%,IF(C98&gt;=100%,C97*50%-C91*15%,IF(C98&gt;=50%,C97*40%-C91*5%,IF(C98&lt;50%,C97*30%,0))))),0)</f>
        <v>24878</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90" t="s">
        <v>454</v>
      </c>
      <c r="B101" s="3391"/>
      <c r="C101" s="3391"/>
      <c r="D101" s="3391"/>
      <c r="E101" s="3391"/>
      <c r="F101" s="3391"/>
      <c r="G101" s="3391"/>
      <c r="H101" s="3391"/>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88" t="s">
        <v>428</v>
      </c>
      <c r="B102" s="3389"/>
      <c r="C102" s="993"/>
      <c r="D102" s="993" t="s">
        <v>429</v>
      </c>
      <c r="E102" s="393" t="s">
        <v>438</v>
      </c>
      <c r="F102" s="394"/>
      <c r="G102" s="394"/>
      <c r="H102" s="415"/>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3" t="s">
        <v>1825</v>
      </c>
      <c r="B103" s="384" t="s">
        <v>439</v>
      </c>
      <c r="C103" s="387">
        <f ca="1">ROUND(D63/(1+'数据-取费表'!C42),0)</f>
        <v>45956</v>
      </c>
      <c r="D103" s="380" t="s">
        <v>19</v>
      </c>
      <c r="E103" s="990"/>
      <c r="F103" s="989"/>
      <c r="G103" s="989"/>
      <c r="H103" s="416"/>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3" t="s">
        <v>1831</v>
      </c>
      <c r="B104" s="350" t="s">
        <v>440</v>
      </c>
      <c r="C104" s="387">
        <f ca="1">IF(H106="仅含出让金",C105+C108+C109+C110+C111+C112,C105+C109+C110+C111+C112)</f>
        <v>966</v>
      </c>
      <c r="D104" s="417"/>
      <c r="E104" s="990"/>
      <c r="F104" s="989"/>
      <c r="G104" s="989"/>
      <c r="H104" s="416"/>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7" t="s">
        <v>1832</v>
      </c>
      <c r="B105" s="378" t="s">
        <v>455</v>
      </c>
      <c r="C105" s="407">
        <f>C106+C107</f>
        <v>572</v>
      </c>
      <c r="D105" s="408"/>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7" t="s">
        <v>1833</v>
      </c>
      <c r="B106" s="378" t="s">
        <v>456</v>
      </c>
      <c r="C106" s="418">
        <v>555</v>
      </c>
      <c r="D106" s="408"/>
      <c r="E106" s="419" t="s">
        <v>457</v>
      </c>
      <c r="F106" s="985"/>
      <c r="G106" s="420" t="s">
        <v>458</v>
      </c>
      <c r="H106" s="421" t="s">
        <v>2443</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7" t="s">
        <v>1834</v>
      </c>
      <c r="B107" s="378" t="s">
        <v>448</v>
      </c>
      <c r="C107" s="407">
        <f>ROUND(C106*D107,0)</f>
        <v>17</v>
      </c>
      <c r="D107" s="408">
        <f>'数据-取费表'!B48+'数据-取费表'!B49</f>
        <v>3.0499999999999999E-2</v>
      </c>
      <c r="E107" s="419"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7" t="s">
        <v>1836</v>
      </c>
      <c r="B108" s="378" t="s">
        <v>460</v>
      </c>
      <c r="C108" s="418"/>
      <c r="D108" s="408"/>
      <c r="E108" s="419"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1840</v>
      </c>
      <c r="B109" s="378" t="s">
        <v>461</v>
      </c>
      <c r="C109" s="407">
        <f>IF(H109="——",IF(F1="现房",'剩余法-现房'!C18,'剩余法-待开发'!C18),I109)</f>
        <v>55</v>
      </c>
      <c r="D109" s="408"/>
      <c r="E109" s="3382" t="s">
        <v>462</v>
      </c>
      <c r="F109" s="3380"/>
      <c r="G109" s="3380"/>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1841</v>
      </c>
      <c r="B110" s="378" t="s">
        <v>463</v>
      </c>
      <c r="C110" s="407">
        <f>ROUND((C105+C108+C109)*D110,0)</f>
        <v>63</v>
      </c>
      <c r="D110" s="408">
        <v>0.1</v>
      </c>
      <c r="E110" s="3382" t="s">
        <v>464</v>
      </c>
      <c r="F110" s="3380"/>
      <c r="G110" s="3380"/>
      <c r="H110" s="3381"/>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1842</v>
      </c>
      <c r="B111" s="378" t="s">
        <v>450</v>
      </c>
      <c r="C111" s="407">
        <f ca="1">ROUND(D63*D111/(1+'数据-取费表'!C42),0)</f>
        <v>276</v>
      </c>
      <c r="D111" s="408">
        <f>'数据-取费表'!B43</f>
        <v>6.000000000000001E-3</v>
      </c>
      <c r="E111" s="3379" t="s">
        <v>2432</v>
      </c>
      <c r="F111" s="3380"/>
      <c r="G111" s="3380"/>
      <c r="H111" s="3381"/>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1843</v>
      </c>
      <c r="B112" s="378" t="s">
        <v>465</v>
      </c>
      <c r="C112" s="407">
        <f>ROUND(C108*D112,0)</f>
        <v>0</v>
      </c>
      <c r="D112" s="408">
        <v>0.2</v>
      </c>
      <c r="E112" s="3382" t="s">
        <v>2457</v>
      </c>
      <c r="F112" s="3380"/>
      <c r="G112" s="3380"/>
      <c r="H112" s="3381"/>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1837</v>
      </c>
      <c r="B113" s="384" t="s">
        <v>451</v>
      </c>
      <c r="C113" s="387">
        <f ca="1">ROUND(C103-C104,0)</f>
        <v>44990</v>
      </c>
      <c r="D113" s="380" t="s">
        <v>19</v>
      </c>
      <c r="E113" s="990"/>
      <c r="F113" s="989"/>
      <c r="G113" s="989"/>
      <c r="H113" s="416"/>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1838</v>
      </c>
      <c r="B114" s="384" t="s">
        <v>452</v>
      </c>
      <c r="C114" s="409">
        <f ca="1">IF(C113&lt;=0,0,C113/C104)</f>
        <v>46.573498964803314</v>
      </c>
      <c r="D114" s="38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6"/>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1839</v>
      </c>
      <c r="B115" s="389" t="s">
        <v>453</v>
      </c>
      <c r="C115" s="410">
        <f ca="1">ROUND(IF(C113&lt;=0,0,IF(C114&gt;=200%,C113*60%-C104*35%,IF(C114&gt;=100%,C113*50%-C104*15%,IF(C114&gt;=50%,C113*40%-C104*5%,IF(C114&lt;50%,C113*30%,0))))),0)</f>
        <v>26656</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9"/>
  <sheetViews>
    <sheetView view="pageBreakPreview" topLeftCell="A41" zoomScale="80" zoomScaleNormal="95" zoomScaleSheetLayoutView="80" workbookViewId="0">
      <selection activeCell="L40" sqref="L4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517</v>
      </c>
      <c r="B1" s="505"/>
      <c r="C1" s="506" t="s">
        <v>518</v>
      </c>
      <c r="D1" s="507" t="s">
        <v>519</v>
      </c>
      <c r="E1" s="508"/>
      <c r="F1" s="430"/>
      <c r="G1" s="508"/>
      <c r="H1" s="508"/>
      <c r="I1" s="508"/>
      <c r="J1" s="508"/>
      <c r="K1" s="509"/>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5" t="s">
        <v>467</v>
      </c>
      <c r="B2" s="510">
        <f>F68+E2</f>
        <v>81220</v>
      </c>
      <c r="C2" s="2128"/>
      <c r="D2" s="3185" t="s">
        <v>3226</v>
      </c>
      <c r="E2" s="3186">
        <v>22912</v>
      </c>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12">
        <f>ROUND(B2*10000/'数据-汇总表'!E3,0)</f>
        <v>3739</v>
      </c>
      <c r="C3" s="2062"/>
      <c r="D3" s="259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30"/>
    </row>
    <row r="4" spans="1:30" s="1335" customFormat="1" ht="28.5" customHeight="1">
      <c r="A4" s="513" t="s">
        <v>521</v>
      </c>
      <c r="B4" s="429">
        <f>ROUND(B2*10000/'数据-汇总表'!D3,0)</f>
        <v>19082</v>
      </c>
      <c r="C4" s="2062"/>
      <c r="D4" s="259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0"/>
    </row>
    <row r="5" spans="1:30" s="1335" customFormat="1" ht="28.5" customHeight="1" thickBot="1">
      <c r="A5" s="431"/>
      <c r="B5" s="432">
        <f>ROUND(B2/('数据-汇总表'!D3/666.67),0)</f>
        <v>1272</v>
      </c>
      <c r="C5" s="433"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30"/>
    </row>
    <row r="6" spans="1:30" ht="20.25">
      <c r="A6" s="514" t="s">
        <v>522</v>
      </c>
      <c r="B6" s="515"/>
      <c r="C6" s="3265" t="s">
        <v>523</v>
      </c>
      <c r="D6" s="3266"/>
      <c r="E6" s="3265" t="s">
        <v>524</v>
      </c>
      <c r="F6" s="3266"/>
      <c r="G6" s="3265" t="s">
        <v>525</v>
      </c>
      <c r="H6" s="3266"/>
      <c r="I6" s="3265" t="s">
        <v>526</v>
      </c>
      <c r="J6" s="3266"/>
      <c r="K6" s="516" t="s">
        <v>527</v>
      </c>
      <c r="L6" s="2134"/>
      <c r="M6" s="2133"/>
      <c r="N6" s="2133"/>
      <c r="O6" s="2135"/>
      <c r="P6" s="3269" t="s">
        <v>528</v>
      </c>
      <c r="Q6" s="3270"/>
      <c r="R6" s="3255" t="s">
        <v>524</v>
      </c>
      <c r="S6" s="3256"/>
      <c r="T6" s="3255" t="s">
        <v>525</v>
      </c>
      <c r="U6" s="3256"/>
      <c r="V6" s="3254" t="s">
        <v>526</v>
      </c>
      <c r="W6" s="3254"/>
      <c r="X6" s="3204"/>
      <c r="Y6" s="3255" t="s">
        <v>528</v>
      </c>
      <c r="Z6" s="3256"/>
      <c r="AA6" s="3261" t="s">
        <v>524</v>
      </c>
      <c r="AB6" s="3262" t="s">
        <v>525</v>
      </c>
      <c r="AC6" s="3261" t="s">
        <v>526</v>
      </c>
    </row>
    <row r="7" spans="1:30" ht="48.75" customHeight="1">
      <c r="A7" s="517"/>
      <c r="B7" s="518"/>
      <c r="C7" s="3275" t="s">
        <v>2937</v>
      </c>
      <c r="D7" s="3276"/>
      <c r="E7" s="3431" t="str">
        <f>Sheet2!A3</f>
        <v>官渡区关上街道办事处</v>
      </c>
      <c r="F7" s="3276"/>
      <c r="G7" s="3431" t="str">
        <f>Sheet2!A4</f>
        <v>官渡区关上街道办事处</v>
      </c>
      <c r="H7" s="3276"/>
      <c r="I7" s="3431" t="str">
        <f>Sheet2!A5</f>
        <v>官渡区关上街道办事处</v>
      </c>
      <c r="J7" s="3276"/>
      <c r="K7" s="516"/>
      <c r="L7" s="2134"/>
      <c r="M7" s="2133"/>
      <c r="N7" s="2133"/>
      <c r="O7" s="2135"/>
      <c r="P7" s="3271"/>
      <c r="Q7" s="3272"/>
      <c r="R7" s="3257"/>
      <c r="S7" s="3258"/>
      <c r="T7" s="3257"/>
      <c r="U7" s="3258"/>
      <c r="V7" s="3254"/>
      <c r="W7" s="3254"/>
      <c r="X7" s="3204"/>
      <c r="Y7" s="3257"/>
      <c r="Z7" s="3258"/>
      <c r="AA7" s="3262"/>
      <c r="AB7" s="3262"/>
      <c r="AC7" s="3262"/>
    </row>
    <row r="8" spans="1:30" ht="21" thickBot="1">
      <c r="A8" s="517"/>
      <c r="B8" s="518"/>
      <c r="C8" s="3432" t="s">
        <v>2941</v>
      </c>
      <c r="D8" s="3433"/>
      <c r="E8" s="3432" t="s">
        <v>2941</v>
      </c>
      <c r="F8" s="3433"/>
      <c r="G8" s="3432" t="s">
        <v>2941</v>
      </c>
      <c r="H8" s="3433"/>
      <c r="I8" s="3281" t="s">
        <v>2941</v>
      </c>
      <c r="J8" s="3282"/>
      <c r="K8" s="516" t="s">
        <v>529</v>
      </c>
      <c r="L8" s="2134"/>
      <c r="M8" s="2133"/>
      <c r="N8" s="2133"/>
      <c r="O8" s="2135"/>
      <c r="P8" s="3273"/>
      <c r="Q8" s="3274"/>
      <c r="R8" s="3257"/>
      <c r="S8" s="3258"/>
      <c r="T8" s="3259"/>
      <c r="U8" s="3260"/>
      <c r="V8" s="3254"/>
      <c r="W8" s="3254"/>
      <c r="X8" s="3204"/>
      <c r="Y8" s="3259"/>
      <c r="Z8" s="3260"/>
      <c r="AA8" s="3263"/>
      <c r="AB8" s="3263"/>
      <c r="AC8" s="3263"/>
    </row>
    <row r="9" spans="1:30" s="1219" customFormat="1" ht="21" thickBot="1">
      <c r="A9" s="2936"/>
      <c r="B9" s="2943" t="s">
        <v>530</v>
      </c>
      <c r="C9" s="2935">
        <f>'数据-取费表'!B2</f>
        <v>43187</v>
      </c>
      <c r="D9" s="522">
        <v>100</v>
      </c>
      <c r="E9" s="3179" t="str">
        <f>Sheet2!J3</f>
        <v>2017-10-25</v>
      </c>
      <c r="F9" s="524">
        <f>SUMIF(72:72,YEAR(E9)&amp;"-"&amp;INT((MONTH(E9)+2)/3),73:73)</f>
        <v>99</v>
      </c>
      <c r="G9" s="3179" t="str">
        <f>Sheet2!J4</f>
        <v>2017-10-25</v>
      </c>
      <c r="H9" s="522">
        <f>SUMIF(72:72,YEAR(G9)&amp;"-"&amp;INT((MONTH(G9)+2)/3),73:73)</f>
        <v>99</v>
      </c>
      <c r="I9" s="3179" t="str">
        <f>Sheet2!J5</f>
        <v>2017-10-25</v>
      </c>
      <c r="J9" s="522">
        <f>SUMIF(72:72,YEAR(I9)&amp;"-"&amp;INT((MONTH(I9)+2)/3),73:73)</f>
        <v>99</v>
      </c>
      <c r="K9" s="526"/>
      <c r="L9" s="2136"/>
      <c r="M9" s="2133"/>
      <c r="N9" s="2133"/>
      <c r="O9" s="2137"/>
      <c r="P9" s="3251" t="s">
        <v>531</v>
      </c>
      <c r="Q9" s="3264"/>
      <c r="R9" s="1568" t="s">
        <v>8</v>
      </c>
      <c r="S9" s="1569">
        <f t="shared" ref="S9:S17" si="0">F9</f>
        <v>99</v>
      </c>
      <c r="T9" s="1568" t="s">
        <v>8</v>
      </c>
      <c r="U9" s="1569">
        <f t="shared" ref="U9:U17" si="1">H9</f>
        <v>99</v>
      </c>
      <c r="V9" s="1568" t="s">
        <v>8</v>
      </c>
      <c r="W9" s="1569">
        <f t="shared" ref="W9:W17" si="2">J9</f>
        <v>99</v>
      </c>
      <c r="X9" s="1570"/>
      <c r="Y9" s="3251" t="s">
        <v>531</v>
      </c>
      <c r="Z9" s="3252"/>
      <c r="AA9" s="1571">
        <f>D9/F9</f>
        <v>1.0101010101010102</v>
      </c>
      <c r="AB9" s="1571">
        <f>D9/H9</f>
        <v>1.0101010101010102</v>
      </c>
      <c r="AC9" s="1571">
        <f>D9/J9</f>
        <v>1.0101010101010102</v>
      </c>
    </row>
    <row r="10" spans="1:30" s="1219" customFormat="1" ht="21" thickBot="1">
      <c r="A10" s="2937"/>
      <c r="B10" s="2944" t="s">
        <v>532</v>
      </c>
      <c r="C10" s="857" t="s">
        <v>533</v>
      </c>
      <c r="D10" s="522">
        <v>100</v>
      </c>
      <c r="E10" s="527" t="s">
        <v>2984</v>
      </c>
      <c r="F10" s="524">
        <f>SUMIF(75:75,E10,76:76)-SUMIF(75:75,C10,76:76)+100</f>
        <v>100</v>
      </c>
      <c r="G10" s="527" t="s">
        <v>2984</v>
      </c>
      <c r="H10" s="522">
        <f>SUMIF(75:75,G10,76:76)-SUMIF(75:75,C10,76:76)+100</f>
        <v>100</v>
      </c>
      <c r="I10" s="527" t="s">
        <v>2984</v>
      </c>
      <c r="J10" s="522">
        <f>SUMIF(75:75,I10,76:76)-SUMIF(75:75,C10,76:76)+100</f>
        <v>100</v>
      </c>
      <c r="K10" s="526"/>
      <c r="L10" s="2136"/>
      <c r="M10" s="2133"/>
      <c r="N10" s="2133"/>
      <c r="O10" s="2137"/>
      <c r="P10" s="3251" t="s">
        <v>534</v>
      </c>
      <c r="Q10" s="3252"/>
      <c r="R10" s="1568" t="s">
        <v>8</v>
      </c>
      <c r="S10" s="1569">
        <f t="shared" si="0"/>
        <v>100</v>
      </c>
      <c r="T10" s="1568" t="s">
        <v>8</v>
      </c>
      <c r="U10" s="1569">
        <f t="shared" si="1"/>
        <v>100</v>
      </c>
      <c r="V10" s="1568" t="s">
        <v>8</v>
      </c>
      <c r="W10" s="1569">
        <f t="shared" si="2"/>
        <v>100</v>
      </c>
      <c r="X10" s="1570"/>
      <c r="Y10" s="3251" t="s">
        <v>534</v>
      </c>
      <c r="Z10" s="3252"/>
      <c r="AA10" s="1571">
        <f t="shared" ref="AA10:AA47" si="3">D10/F10</f>
        <v>1</v>
      </c>
      <c r="AB10" s="1571">
        <f t="shared" ref="AB10:AB47" si="4">D10/H10</f>
        <v>1</v>
      </c>
      <c r="AC10" s="1571">
        <f t="shared" ref="AC10:AC47" si="5">D10/J10</f>
        <v>1</v>
      </c>
    </row>
    <row r="11" spans="1:30" s="1219" customFormat="1" ht="20.25">
      <c r="A11" s="2938"/>
      <c r="B11" s="2945" t="s">
        <v>2764</v>
      </c>
      <c r="C11" s="2932" t="s">
        <v>924</v>
      </c>
      <c r="D11" s="253">
        <v>100</v>
      </c>
      <c r="E11" s="2932" t="s">
        <v>924</v>
      </c>
      <c r="F11" s="253">
        <f>SUMIF(77:77,E11,78:78)-SUMIF(77:77,C11,78:78)+100</f>
        <v>100</v>
      </c>
      <c r="G11" s="2932" t="s">
        <v>924</v>
      </c>
      <c r="H11" s="253">
        <f>SUMIF(77:77,G11,78:78)-SUMIF(77:77,C11,78:78)+100</f>
        <v>100</v>
      </c>
      <c r="I11" s="2932" t="s">
        <v>924</v>
      </c>
      <c r="J11" s="253">
        <f>SUMIF(77:77,I11,78:78)-SUMIF(77:77,C11,78:78)+100</f>
        <v>100</v>
      </c>
      <c r="K11" s="526"/>
      <c r="L11" s="2136"/>
      <c r="M11" s="2133"/>
      <c r="N11" s="2133"/>
      <c r="O11" s="2138"/>
      <c r="P11" s="3241" t="s">
        <v>536</v>
      </c>
      <c r="Q11" s="3201" t="str">
        <f t="shared" ref="Q11:Q17" si="6">B11</f>
        <v>用途</v>
      </c>
      <c r="R11" s="1568" t="s">
        <v>8</v>
      </c>
      <c r="S11" s="1569">
        <f t="shared" si="0"/>
        <v>100</v>
      </c>
      <c r="T11" s="1568" t="s">
        <v>8</v>
      </c>
      <c r="U11" s="1569">
        <f t="shared" si="1"/>
        <v>100</v>
      </c>
      <c r="V11" s="1568" t="s">
        <v>8</v>
      </c>
      <c r="W11" s="1569">
        <f t="shared" si="2"/>
        <v>100</v>
      </c>
      <c r="X11" s="1570"/>
      <c r="Y11" s="3253" t="s">
        <v>537</v>
      </c>
      <c r="Z11" s="3200" t="str">
        <f t="shared" ref="Z11:Z17" si="7">Q11</f>
        <v>用途</v>
      </c>
      <c r="AA11" s="1571">
        <f t="shared" si="3"/>
        <v>1</v>
      </c>
      <c r="AB11" s="1571">
        <f t="shared" si="4"/>
        <v>1</v>
      </c>
      <c r="AC11" s="1571">
        <f t="shared" si="5"/>
        <v>1</v>
      </c>
    </row>
    <row r="12" spans="1:30" s="1337" customFormat="1" ht="27">
      <c r="A12" s="2939"/>
      <c r="B12" s="2944" t="s">
        <v>2765</v>
      </c>
      <c r="C12" s="909">
        <f>项目基本情况!D19</f>
        <v>70</v>
      </c>
      <c r="D12" s="254">
        <v>100</v>
      </c>
      <c r="E12" s="531" t="s">
        <v>3061</v>
      </c>
      <c r="F12" s="254">
        <f>ROUND(100/'数据-取费表'!G16,0)</f>
        <v>100</v>
      </c>
      <c r="G12" s="531" t="s">
        <v>3061</v>
      </c>
      <c r="H12" s="254">
        <f>ROUND(100/'数据-取费表'!G16,0)</f>
        <v>100</v>
      </c>
      <c r="I12" s="531" t="s">
        <v>3061</v>
      </c>
      <c r="J12" s="254">
        <f>ROUND(100/'数据-取费表'!G16,0)</f>
        <v>100</v>
      </c>
      <c r="K12" s="532"/>
      <c r="L12" s="2139"/>
      <c r="M12" s="2133"/>
      <c r="N12" s="2133"/>
      <c r="O12" s="2140"/>
      <c r="P12" s="3241"/>
      <c r="Q12" s="3201" t="str">
        <f t="shared" si="6"/>
        <v>土地使用年限（年）</v>
      </c>
      <c r="R12" s="1568" t="s">
        <v>8</v>
      </c>
      <c r="S12" s="1569">
        <f t="shared" si="0"/>
        <v>100</v>
      </c>
      <c r="T12" s="1568" t="s">
        <v>8</v>
      </c>
      <c r="U12" s="1569">
        <f t="shared" si="1"/>
        <v>100</v>
      </c>
      <c r="V12" s="1568" t="s">
        <v>8</v>
      </c>
      <c r="W12" s="1569">
        <f t="shared" si="2"/>
        <v>100</v>
      </c>
      <c r="X12" s="1570"/>
      <c r="Y12" s="3253"/>
      <c r="Z12" s="3200" t="str">
        <f t="shared" si="7"/>
        <v>土地使用年限（年）</v>
      </c>
      <c r="AA12" s="1571">
        <f t="shared" si="3"/>
        <v>1</v>
      </c>
      <c r="AB12" s="1571">
        <f t="shared" si="4"/>
        <v>1</v>
      </c>
      <c r="AC12" s="1571">
        <f t="shared" si="5"/>
        <v>1</v>
      </c>
    </row>
    <row r="13" spans="1:30" ht="20.25">
      <c r="A13" s="2940"/>
      <c r="B13" s="2944" t="s">
        <v>2766</v>
      </c>
      <c r="C13" s="3177">
        <v>3.79</v>
      </c>
      <c r="D13" s="254">
        <v>100</v>
      </c>
      <c r="E13" s="534">
        <v>4.46</v>
      </c>
      <c r="F13" s="254">
        <f>LOOKUP(E13,82:82,83:83)-LOOKUP(C13,82:82,83:83)+100</f>
        <v>97</v>
      </c>
      <c r="G13" s="535">
        <v>4.97</v>
      </c>
      <c r="H13" s="254">
        <f>LOOKUP(G13,82:82,83:83)-LOOKUP(C13,82:82,83:83)+100</f>
        <v>97</v>
      </c>
      <c r="I13" s="534">
        <v>4.9800000000000004</v>
      </c>
      <c r="J13" s="254">
        <f>LOOKUP(I13,82:82,83:83)-LOOKUP(C13,82:82,83:83)+100</f>
        <v>97</v>
      </c>
      <c r="K13" s="536">
        <v>3</v>
      </c>
      <c r="L13" s="2141"/>
      <c r="M13" s="2133"/>
      <c r="N13" s="2133"/>
      <c r="O13" s="2142"/>
      <c r="P13" s="3241"/>
      <c r="Q13" s="3201" t="str">
        <f t="shared" si="6"/>
        <v>容积率</v>
      </c>
      <c r="R13" s="1568" t="s">
        <v>8</v>
      </c>
      <c r="S13" s="1569">
        <f t="shared" si="0"/>
        <v>97</v>
      </c>
      <c r="T13" s="1568" t="s">
        <v>8</v>
      </c>
      <c r="U13" s="1569">
        <f t="shared" si="1"/>
        <v>97</v>
      </c>
      <c r="V13" s="1568" t="s">
        <v>8</v>
      </c>
      <c r="W13" s="1569">
        <f t="shared" si="2"/>
        <v>97</v>
      </c>
      <c r="X13" s="1570"/>
      <c r="Y13" s="3253"/>
      <c r="Z13" s="3200" t="str">
        <f t="shared" si="7"/>
        <v>容积率</v>
      </c>
      <c r="AA13" s="1571">
        <f t="shared" si="3"/>
        <v>1.0309278350515463</v>
      </c>
      <c r="AB13" s="1571">
        <f t="shared" si="4"/>
        <v>1.0309278350515463</v>
      </c>
      <c r="AC13" s="1571">
        <f t="shared" si="5"/>
        <v>1.0309278350515463</v>
      </c>
    </row>
    <row r="14" spans="1:30" s="1219" customFormat="1" ht="21" thickBot="1">
      <c r="A14" s="2937"/>
      <c r="B14" s="2946" t="s">
        <v>2767</v>
      </c>
      <c r="C14" s="2933" t="s">
        <v>3066</v>
      </c>
      <c r="D14" s="539">
        <v>100</v>
      </c>
      <c r="E14" s="1374" t="s">
        <v>3066</v>
      </c>
      <c r="F14" s="254">
        <f>SUMIF(84:84,E14,85:85)-SUMIF(84:84,C14,85:85)+100</f>
        <v>100</v>
      </c>
      <c r="G14" s="3167" t="s">
        <v>3066</v>
      </c>
      <c r="H14" s="254">
        <f>SUMIF(84:84,G14,85:85)-SUMIF(84:84,C14,85:85)+100</f>
        <v>100</v>
      </c>
      <c r="I14" s="3169" t="s">
        <v>3066</v>
      </c>
      <c r="J14" s="254">
        <f>SUMIF(84:84,I14,85:85)-SUMIF(84:84,C14,85:85)+100</f>
        <v>100</v>
      </c>
      <c r="K14" s="532"/>
      <c r="L14" s="2136"/>
      <c r="M14" s="2133"/>
      <c r="N14" s="2133"/>
      <c r="O14" s="2138"/>
      <c r="P14" s="3241"/>
      <c r="Q14" s="3201" t="str">
        <f t="shared" si="6"/>
        <v>配建</v>
      </c>
      <c r="R14" s="1568" t="s">
        <v>8</v>
      </c>
      <c r="S14" s="1569">
        <f t="shared" si="0"/>
        <v>100</v>
      </c>
      <c r="T14" s="1568" t="s">
        <v>8</v>
      </c>
      <c r="U14" s="1569">
        <f t="shared" si="1"/>
        <v>100</v>
      </c>
      <c r="V14" s="1568" t="s">
        <v>8</v>
      </c>
      <c r="W14" s="1569">
        <f t="shared" si="2"/>
        <v>100</v>
      </c>
      <c r="X14" s="1570"/>
      <c r="Y14" s="3253"/>
      <c r="Z14" s="3200" t="str">
        <f t="shared" si="7"/>
        <v>配建</v>
      </c>
      <c r="AA14" s="1571">
        <f>D14/F14</f>
        <v>1</v>
      </c>
      <c r="AB14" s="1571">
        <f>D14/H14</f>
        <v>1</v>
      </c>
      <c r="AC14" s="1571">
        <f>D14/J14</f>
        <v>1</v>
      </c>
    </row>
    <row r="15" spans="1:30" ht="20.25" hidden="1" customHeight="1">
      <c r="A15" s="2941"/>
      <c r="B15" s="2947"/>
      <c r="C15" s="911"/>
      <c r="D15" s="541">
        <v>100</v>
      </c>
      <c r="E15" s="542"/>
      <c r="F15" s="254">
        <f>SUMIF(86:86,E15,87:87)-SUMIF(86:86,C15,87:87)+100</f>
        <v>100</v>
      </c>
      <c r="G15" s="543"/>
      <c r="H15" s="541">
        <f>SUMIF(86:86,G15,87:87)-SUMIF(86:86,C15,87:87)+100</f>
        <v>100</v>
      </c>
      <c r="I15" s="543"/>
      <c r="J15" s="541">
        <f>SUMIF(86:86,I15,87:87)-SUMIF(86:86,C15,87:87)+100</f>
        <v>100</v>
      </c>
      <c r="K15" s="532"/>
      <c r="L15" s="2143"/>
      <c r="M15" s="2133"/>
      <c r="N15" s="2133"/>
      <c r="O15" s="2142"/>
      <c r="P15" s="3241"/>
      <c r="Q15" s="3201">
        <f t="shared" si="6"/>
        <v>0</v>
      </c>
      <c r="R15" s="1568" t="s">
        <v>8</v>
      </c>
      <c r="S15" s="1569">
        <f t="shared" si="0"/>
        <v>100</v>
      </c>
      <c r="T15" s="1568" t="s">
        <v>8</v>
      </c>
      <c r="U15" s="1569">
        <f t="shared" si="1"/>
        <v>100</v>
      </c>
      <c r="V15" s="1568" t="s">
        <v>8</v>
      </c>
      <c r="W15" s="1569">
        <f t="shared" si="2"/>
        <v>100</v>
      </c>
      <c r="X15" s="1570"/>
      <c r="Y15" s="3253"/>
      <c r="Z15" s="3200">
        <f t="shared" si="7"/>
        <v>0</v>
      </c>
      <c r="AA15" s="1571">
        <f>D15/F15</f>
        <v>1</v>
      </c>
      <c r="AB15" s="1571">
        <f>D15/H15</f>
        <v>1</v>
      </c>
      <c r="AC15" s="1571">
        <f>D15/J15</f>
        <v>1</v>
      </c>
    </row>
    <row r="16" spans="1:30" ht="21" hidden="1" customHeight="1" thickBot="1">
      <c r="A16" s="2942"/>
      <c r="B16" s="2948"/>
      <c r="C16" s="914"/>
      <c r="D16" s="547">
        <v>100</v>
      </c>
      <c r="E16" s="542"/>
      <c r="F16" s="547">
        <f>SUMIF(88:88,E16,89:89)-SUMIF(88:88,C16,89:89)+100</f>
        <v>100</v>
      </c>
      <c r="G16" s="543"/>
      <c r="H16" s="547">
        <f>SUMIF(88:88,G16,89:89)-SUMIF(88:88,C16,89:89)+100</f>
        <v>100</v>
      </c>
      <c r="I16" s="543"/>
      <c r="J16" s="547">
        <f>SUMIF(88:88,I16,89:89)-SUMIF(88:88,C16,89:89)+100</f>
        <v>100</v>
      </c>
      <c r="K16" s="532"/>
      <c r="L16" s="2143"/>
      <c r="M16" s="2133"/>
      <c r="N16" s="2133"/>
      <c r="O16" s="2142"/>
      <c r="P16" s="3241"/>
      <c r="Q16" s="3201">
        <f t="shared" si="6"/>
        <v>0</v>
      </c>
      <c r="R16" s="1568" t="s">
        <v>8</v>
      </c>
      <c r="S16" s="1569">
        <f t="shared" si="0"/>
        <v>100</v>
      </c>
      <c r="T16" s="1568" t="s">
        <v>8</v>
      </c>
      <c r="U16" s="1569">
        <f t="shared" si="1"/>
        <v>100</v>
      </c>
      <c r="V16" s="1568" t="s">
        <v>8</v>
      </c>
      <c r="W16" s="1569">
        <f t="shared" si="2"/>
        <v>100</v>
      </c>
      <c r="X16" s="1570"/>
      <c r="Y16" s="3253"/>
      <c r="Z16" s="3200">
        <f t="shared" si="7"/>
        <v>0</v>
      </c>
      <c r="AA16" s="1571">
        <f>D16/F16</f>
        <v>1</v>
      </c>
      <c r="AB16" s="1571">
        <f>D16/H16</f>
        <v>1</v>
      </c>
      <c r="AC16" s="1571">
        <f>D16/J16</f>
        <v>1</v>
      </c>
    </row>
    <row r="17" spans="1:29" ht="99.75">
      <c r="A17" s="2934" t="s">
        <v>2762</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103</v>
      </c>
      <c r="G17" s="553"/>
      <c r="H17" s="550">
        <f>SUMIF(90:90,G18,91:91)-SUMIF(90:90,C18,91:91)+100</f>
        <v>100</v>
      </c>
      <c r="I17" s="553"/>
      <c r="J17" s="550">
        <f>SUMIF(90:90,I18,91:91)-SUMIF(90:90,C18,91:91)+100</f>
        <v>100</v>
      </c>
      <c r="K17" s="536">
        <v>3</v>
      </c>
      <c r="L17" s="2143"/>
      <c r="M17" s="2133"/>
      <c r="N17" s="2133"/>
      <c r="O17" s="2142"/>
      <c r="P17" s="3246" t="s">
        <v>541</v>
      </c>
      <c r="Q17" s="3202" t="str">
        <f t="shared" si="6"/>
        <v>居住社区成熟度</v>
      </c>
      <c r="R17" s="1573" t="s">
        <v>8</v>
      </c>
      <c r="S17" s="1574">
        <f t="shared" si="0"/>
        <v>103</v>
      </c>
      <c r="T17" s="1573" t="s">
        <v>8</v>
      </c>
      <c r="U17" s="1574">
        <f t="shared" si="1"/>
        <v>100</v>
      </c>
      <c r="V17" s="1573" t="s">
        <v>8</v>
      </c>
      <c r="W17" s="1574">
        <f t="shared" si="2"/>
        <v>100</v>
      </c>
      <c r="X17" s="3204"/>
      <c r="Y17" s="3246" t="s">
        <v>541</v>
      </c>
      <c r="Z17" s="3203" t="str">
        <f t="shared" si="7"/>
        <v>居住社区成熟度</v>
      </c>
      <c r="AA17" s="3206">
        <f t="shared" si="3"/>
        <v>0.970873786407767</v>
      </c>
      <c r="AB17" s="3206">
        <f t="shared" si="4"/>
        <v>1</v>
      </c>
      <c r="AC17" s="3206">
        <f t="shared" si="5"/>
        <v>1</v>
      </c>
    </row>
    <row r="18" spans="1:29" ht="20.25">
      <c r="A18" s="533"/>
      <c r="B18" s="554"/>
      <c r="C18" s="555" t="s">
        <v>3052</v>
      </c>
      <c r="D18" s="558"/>
      <c r="E18" s="555" t="s">
        <v>3013</v>
      </c>
      <c r="F18" s="556"/>
      <c r="G18" s="555" t="s">
        <v>3052</v>
      </c>
      <c r="H18" s="560"/>
      <c r="I18" s="555" t="s">
        <v>3052</v>
      </c>
      <c r="J18" s="556"/>
      <c r="K18" s="532"/>
      <c r="L18" s="2143"/>
      <c r="M18" s="2133"/>
      <c r="N18" s="2133"/>
      <c r="O18" s="2142"/>
      <c r="P18" s="3247"/>
      <c r="Q18" s="3202"/>
      <c r="R18" s="1573"/>
      <c r="S18" s="1574"/>
      <c r="T18" s="1573"/>
      <c r="U18" s="1574"/>
      <c r="V18" s="1573"/>
      <c r="W18" s="1574"/>
      <c r="X18" s="3204"/>
      <c r="Y18" s="3247"/>
      <c r="Z18" s="3203"/>
      <c r="AA18" s="3206">
        <v>1</v>
      </c>
      <c r="AB18" s="3206">
        <v>1</v>
      </c>
      <c r="AC18" s="3206">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106</v>
      </c>
      <c r="G19" s="565"/>
      <c r="H19" s="566">
        <f>SUMIF(92:92,G20,93:93)-SUMIF(92:92,C20,93:93)+100</f>
        <v>106</v>
      </c>
      <c r="I19" s="565"/>
      <c r="J19" s="566">
        <f>SUMIF(92:92,I20,93:93)-SUMIF(92:92,C20,93:93)+100</f>
        <v>106</v>
      </c>
      <c r="K19" s="536">
        <v>3</v>
      </c>
      <c r="L19" s="2143"/>
      <c r="M19" s="2133"/>
      <c r="N19" s="2133"/>
      <c r="O19" s="2142"/>
      <c r="P19" s="3247"/>
      <c r="Q19" s="3202" t="str">
        <f>B19</f>
        <v>商业繁华度</v>
      </c>
      <c r="R19" s="1573" t="s">
        <v>8</v>
      </c>
      <c r="S19" s="1574">
        <f>F19</f>
        <v>106</v>
      </c>
      <c r="T19" s="1573" t="s">
        <v>8</v>
      </c>
      <c r="U19" s="1574">
        <f>H19</f>
        <v>106</v>
      </c>
      <c r="V19" s="1573" t="s">
        <v>8</v>
      </c>
      <c r="W19" s="1574">
        <f>J19</f>
        <v>106</v>
      </c>
      <c r="X19" s="3204"/>
      <c r="Y19" s="3247"/>
      <c r="Z19" s="3203" t="str">
        <f>Q19</f>
        <v>商业繁华度</v>
      </c>
      <c r="AA19" s="3206">
        <f t="shared" si="3"/>
        <v>0.94339622641509435</v>
      </c>
      <c r="AB19" s="3206">
        <f t="shared" si="4"/>
        <v>0.94339622641509435</v>
      </c>
      <c r="AC19" s="3206">
        <f t="shared" si="5"/>
        <v>0.94339622641509435</v>
      </c>
    </row>
    <row r="20" spans="1:29" ht="20.25">
      <c r="A20" s="533"/>
      <c r="B20" s="567"/>
      <c r="C20" s="555" t="s">
        <v>3063</v>
      </c>
      <c r="D20" s="564"/>
      <c r="E20" s="555" t="s">
        <v>3013</v>
      </c>
      <c r="F20" s="560"/>
      <c r="G20" s="555" t="s">
        <v>3013</v>
      </c>
      <c r="H20" s="556"/>
      <c r="I20" s="555" t="s">
        <v>3013</v>
      </c>
      <c r="J20" s="556"/>
      <c r="K20" s="532"/>
      <c r="L20" s="2143"/>
      <c r="M20" s="2133"/>
      <c r="N20" s="2133"/>
      <c r="O20" s="2142"/>
      <c r="P20" s="3247"/>
      <c r="Q20" s="3202"/>
      <c r="R20" s="1573"/>
      <c r="S20" s="1574"/>
      <c r="T20" s="1573"/>
      <c r="U20" s="1574"/>
      <c r="V20" s="1573"/>
      <c r="W20" s="1574"/>
      <c r="X20" s="3204"/>
      <c r="Y20" s="3247"/>
      <c r="Z20" s="3203"/>
      <c r="AA20" s="3206">
        <v>1</v>
      </c>
      <c r="AB20" s="3206">
        <v>1</v>
      </c>
      <c r="AC20" s="3206">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3"/>
      <c r="H21" s="560">
        <f>SUMIF(94:94,G22,95:95)-SUMIF(94:94,C22,95:95)+100</f>
        <v>100</v>
      </c>
      <c r="I21" s="573"/>
      <c r="J21" s="560">
        <f>SUMIF(94:94,I22,95:95)-SUMIF(94:94,C22,95:95)+100</f>
        <v>100</v>
      </c>
      <c r="K21" s="536">
        <v>3</v>
      </c>
      <c r="L21" s="2143"/>
      <c r="M21" s="2133"/>
      <c r="N21" s="2133"/>
      <c r="O21" s="2142"/>
      <c r="P21" s="3247"/>
      <c r="Q21" s="3202" t="str">
        <f>B21</f>
        <v>办公集聚程度</v>
      </c>
      <c r="R21" s="1573" t="s">
        <v>8</v>
      </c>
      <c r="S21" s="1574">
        <f>F21</f>
        <v>100</v>
      </c>
      <c r="T21" s="1573" t="s">
        <v>8</v>
      </c>
      <c r="U21" s="1574">
        <f>H21</f>
        <v>100</v>
      </c>
      <c r="V21" s="1573" t="s">
        <v>8</v>
      </c>
      <c r="W21" s="1574">
        <f>J21</f>
        <v>100</v>
      </c>
      <c r="X21" s="3204"/>
      <c r="Y21" s="3247"/>
      <c r="Z21" s="3203" t="str">
        <f>Q21</f>
        <v>办公集聚程度</v>
      </c>
      <c r="AA21" s="3206">
        <f t="shared" si="3"/>
        <v>1</v>
      </c>
      <c r="AB21" s="3206">
        <f t="shared" si="4"/>
        <v>1</v>
      </c>
      <c r="AC21" s="3206">
        <f t="shared" si="5"/>
        <v>1</v>
      </c>
    </row>
    <row r="22" spans="1:29" ht="20.25" hidden="1">
      <c r="A22" s="533"/>
      <c r="B22" s="567"/>
      <c r="C22" s="555"/>
      <c r="D22" s="558"/>
      <c r="E22" s="555"/>
      <c r="F22" s="556"/>
      <c r="G22" s="555"/>
      <c r="H22" s="556"/>
      <c r="I22" s="555"/>
      <c r="J22" s="556"/>
      <c r="K22" s="532"/>
      <c r="L22" s="2143"/>
      <c r="M22" s="2133"/>
      <c r="N22" s="2133"/>
      <c r="O22" s="2142"/>
      <c r="P22" s="3247"/>
      <c r="Q22" s="3202"/>
      <c r="R22" s="1573"/>
      <c r="S22" s="1574"/>
      <c r="T22" s="1573"/>
      <c r="U22" s="1574"/>
      <c r="V22" s="1573"/>
      <c r="W22" s="1574"/>
      <c r="X22" s="3204"/>
      <c r="Y22" s="3247"/>
      <c r="Z22" s="3203"/>
      <c r="AA22" s="3206">
        <v>1</v>
      </c>
      <c r="AB22" s="3206">
        <v>1</v>
      </c>
      <c r="AC22" s="3206">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100</v>
      </c>
      <c r="G23" s="565"/>
      <c r="H23" s="560">
        <f>SUMIF(96:96,G24,97:97)-SUMIF(96:96,C24,97:97)+100</f>
        <v>103</v>
      </c>
      <c r="I23" s="565"/>
      <c r="J23" s="560">
        <f>SUMIF(96:96,I24,97:97)-SUMIF(96:96,C24,97:97)+100</f>
        <v>103</v>
      </c>
      <c r="K23" s="536">
        <v>3</v>
      </c>
      <c r="L23" s="2143"/>
      <c r="M23" s="2133"/>
      <c r="N23" s="2133"/>
      <c r="O23" s="2142"/>
      <c r="P23" s="3247"/>
      <c r="Q23" s="3202" t="str">
        <f>B23</f>
        <v>交通便捷度</v>
      </c>
      <c r="R23" s="1573" t="s">
        <v>8</v>
      </c>
      <c r="S23" s="1574">
        <f>F23</f>
        <v>100</v>
      </c>
      <c r="T23" s="1573" t="s">
        <v>8</v>
      </c>
      <c r="U23" s="1574">
        <f>H23</f>
        <v>103</v>
      </c>
      <c r="V23" s="1573" t="s">
        <v>8</v>
      </c>
      <c r="W23" s="1574">
        <f>J23</f>
        <v>103</v>
      </c>
      <c r="X23" s="3204"/>
      <c r="Y23" s="3247"/>
      <c r="Z23" s="3203" t="str">
        <f>Q23</f>
        <v>交通便捷度</v>
      </c>
      <c r="AA23" s="3206">
        <f t="shared" si="3"/>
        <v>1</v>
      </c>
      <c r="AB23" s="3206">
        <f t="shared" si="4"/>
        <v>0.970873786407767</v>
      </c>
      <c r="AC23" s="3206">
        <f t="shared" si="5"/>
        <v>0.970873786407767</v>
      </c>
    </row>
    <row r="24" spans="1:29" ht="20.25">
      <c r="A24" s="533"/>
      <c r="B24" s="579"/>
      <c r="C24" s="555" t="s">
        <v>3052</v>
      </c>
      <c r="D24" s="558"/>
      <c r="E24" s="555" t="s">
        <v>3052</v>
      </c>
      <c r="F24" s="556"/>
      <c r="G24" s="555" t="s">
        <v>3013</v>
      </c>
      <c r="H24" s="556"/>
      <c r="I24" s="555" t="s">
        <v>3013</v>
      </c>
      <c r="J24" s="556"/>
      <c r="K24" s="532"/>
      <c r="L24" s="2143"/>
      <c r="M24" s="2133"/>
      <c r="N24" s="2133"/>
      <c r="O24" s="2142"/>
      <c r="P24" s="3247"/>
      <c r="Q24" s="3202"/>
      <c r="R24" s="1573"/>
      <c r="S24" s="1574"/>
      <c r="T24" s="1573"/>
      <c r="U24" s="1574"/>
      <c r="V24" s="1573"/>
      <c r="W24" s="1574"/>
      <c r="X24" s="3204"/>
      <c r="Y24" s="3247"/>
      <c r="Z24" s="3203"/>
      <c r="AA24" s="3206">
        <v>1</v>
      </c>
      <c r="AB24" s="3206">
        <v>1</v>
      </c>
      <c r="AC24" s="3206">
        <v>1</v>
      </c>
    </row>
    <row r="25" spans="1:29" ht="27">
      <c r="A25" s="517"/>
      <c r="B25" s="258" t="s">
        <v>545</v>
      </c>
      <c r="C25" s="574">
        <f>估价对象房地状况!C19</f>
        <v>0</v>
      </c>
      <c r="D25" s="564">
        <v>100</v>
      </c>
      <c r="E25" s="565"/>
      <c r="F25" s="566">
        <f>SUMIF(98:98,E26,99:99)-SUMIF(98:98,C26,99:99)+100</f>
        <v>100</v>
      </c>
      <c r="G25" s="565"/>
      <c r="H25" s="560">
        <f>SUMIF(98:98,G26,99:99)-SUMIF(98:98,C26,99:99)+100</f>
        <v>97</v>
      </c>
      <c r="I25" s="565"/>
      <c r="J25" s="560">
        <f>SUMIF(98:98,I26,99:99)-SUMIF(98:98,C26,99:99)+100</f>
        <v>97</v>
      </c>
      <c r="K25" s="536">
        <v>3</v>
      </c>
      <c r="L25" s="2143"/>
      <c r="M25" s="2133"/>
      <c r="N25" s="2133"/>
      <c r="O25" s="2142"/>
      <c r="P25" s="3247"/>
      <c r="Q25" s="3202" t="str">
        <f t="shared" ref="Q25:Q39" si="8">B25</f>
        <v>区域土地利用方向</v>
      </c>
      <c r="R25" s="1573" t="s">
        <v>8</v>
      </c>
      <c r="S25" s="1574">
        <f>F25</f>
        <v>100</v>
      </c>
      <c r="T25" s="1573" t="s">
        <v>8</v>
      </c>
      <c r="U25" s="1574">
        <f>H25</f>
        <v>97</v>
      </c>
      <c r="V25" s="1573" t="s">
        <v>8</v>
      </c>
      <c r="W25" s="1574">
        <f>J25</f>
        <v>97</v>
      </c>
      <c r="X25" s="3204"/>
      <c r="Y25" s="3247"/>
      <c r="Z25" s="3203" t="str">
        <f>Q25</f>
        <v>区域土地利用方向</v>
      </c>
      <c r="AA25" s="3206">
        <f t="shared" si="3"/>
        <v>1</v>
      </c>
      <c r="AB25" s="3206">
        <f t="shared" si="4"/>
        <v>1.0309278350515463</v>
      </c>
      <c r="AC25" s="3206">
        <f t="shared" si="5"/>
        <v>1.0309278350515463</v>
      </c>
    </row>
    <row r="26" spans="1:29" ht="20.25">
      <c r="A26" s="517"/>
      <c r="B26" s="1006"/>
      <c r="C26" s="555" t="s">
        <v>3013</v>
      </c>
      <c r="D26" s="558"/>
      <c r="E26" s="555" t="s">
        <v>3013</v>
      </c>
      <c r="F26" s="556"/>
      <c r="G26" s="555" t="s">
        <v>3052</v>
      </c>
      <c r="H26" s="556"/>
      <c r="I26" s="555" t="s">
        <v>3052</v>
      </c>
      <c r="J26" s="556"/>
      <c r="K26" s="532"/>
      <c r="L26" s="2143"/>
      <c r="M26" s="2133"/>
      <c r="N26" s="2133"/>
      <c r="O26" s="2142"/>
      <c r="P26" s="3247"/>
      <c r="Q26" s="3202"/>
      <c r="R26" s="1573"/>
      <c r="S26" s="1574"/>
      <c r="T26" s="1573"/>
      <c r="U26" s="1574"/>
      <c r="V26" s="1573"/>
      <c r="W26" s="1574"/>
      <c r="X26" s="3204"/>
      <c r="Y26" s="3247"/>
      <c r="Z26" s="3203"/>
      <c r="AA26" s="3206"/>
      <c r="AB26" s="3206"/>
      <c r="AC26" s="3206"/>
    </row>
    <row r="27" spans="1:29" ht="57">
      <c r="A27" s="517"/>
      <c r="B27" s="579" t="s">
        <v>546</v>
      </c>
      <c r="C27" s="562" t="str">
        <f>估价对象房地状况!C20</f>
        <v>区域自然环境：；人文环境；综合评价环境状况一般</v>
      </c>
      <c r="D27" s="564">
        <v>100</v>
      </c>
      <c r="E27" s="565"/>
      <c r="F27" s="560">
        <f>SUMIF(100:100,E28,101:101)-SUMIF(100:100,C28,101:101)+100</f>
        <v>103</v>
      </c>
      <c r="G27" s="565"/>
      <c r="H27" s="560">
        <f>SUMIF(100:100,G28,101:101)-SUMIF(100:100,C28,101:101)+100</f>
        <v>103</v>
      </c>
      <c r="I27" s="565"/>
      <c r="J27" s="560">
        <f>SUMIF(100:100,I28,101:101)-SUMIF(100:100,C28,101:101)+100</f>
        <v>103</v>
      </c>
      <c r="K27" s="536">
        <v>3</v>
      </c>
      <c r="L27" s="2143"/>
      <c r="M27" s="2133"/>
      <c r="N27" s="2133"/>
      <c r="O27" s="2142"/>
      <c r="P27" s="3247"/>
      <c r="Q27" s="3202" t="str">
        <f t="shared" si="8"/>
        <v>自然及人文环境状况</v>
      </c>
      <c r="R27" s="1573" t="s">
        <v>8</v>
      </c>
      <c r="S27" s="1574">
        <f>F27</f>
        <v>103</v>
      </c>
      <c r="T27" s="1573" t="s">
        <v>8</v>
      </c>
      <c r="U27" s="1574">
        <f>H27</f>
        <v>103</v>
      </c>
      <c r="V27" s="1573" t="s">
        <v>8</v>
      </c>
      <c r="W27" s="1574">
        <f>J27</f>
        <v>103</v>
      </c>
      <c r="X27" s="3204"/>
      <c r="Y27" s="3247"/>
      <c r="Z27" s="3203" t="str">
        <f>Q27</f>
        <v>自然及人文环境状况</v>
      </c>
      <c r="AA27" s="3206">
        <f t="shared" si="3"/>
        <v>0.970873786407767</v>
      </c>
      <c r="AB27" s="3206">
        <f t="shared" si="4"/>
        <v>0.970873786407767</v>
      </c>
      <c r="AC27" s="3206">
        <f t="shared" si="5"/>
        <v>0.970873786407767</v>
      </c>
    </row>
    <row r="28" spans="1:29" ht="20.25">
      <c r="A28" s="517"/>
      <c r="B28" s="567"/>
      <c r="C28" s="555" t="s">
        <v>3063</v>
      </c>
      <c r="D28" s="558"/>
      <c r="E28" s="555" t="s">
        <v>3052</v>
      </c>
      <c r="F28" s="556"/>
      <c r="G28" s="555" t="s">
        <v>3052</v>
      </c>
      <c r="H28" s="556"/>
      <c r="I28" s="555" t="s">
        <v>3052</v>
      </c>
      <c r="J28" s="556"/>
      <c r="K28" s="532"/>
      <c r="L28" s="2143"/>
      <c r="M28" s="2133"/>
      <c r="N28" s="2133"/>
      <c r="O28" s="2142"/>
      <c r="P28" s="3247"/>
      <c r="Q28" s="3202"/>
      <c r="R28" s="1573"/>
      <c r="S28" s="1574"/>
      <c r="T28" s="1573"/>
      <c r="U28" s="1574"/>
      <c r="V28" s="1573"/>
      <c r="W28" s="1574"/>
      <c r="X28" s="3204"/>
      <c r="Y28" s="3247"/>
      <c r="Z28" s="3203"/>
      <c r="AA28" s="3206">
        <v>1</v>
      </c>
      <c r="AB28" s="3206">
        <v>1</v>
      </c>
      <c r="AC28" s="3206">
        <v>1</v>
      </c>
    </row>
    <row r="29" spans="1:29" s="1219" customFormat="1" ht="42.75">
      <c r="A29" s="578"/>
      <c r="B29" s="2613" t="s">
        <v>2554</v>
      </c>
      <c r="C29" s="574" t="str">
        <f>估价对象房地状况!C21</f>
        <v>估价对象所在区域公共配套设施齐备情况</v>
      </c>
      <c r="D29" s="564">
        <v>100</v>
      </c>
      <c r="E29" s="565"/>
      <c r="F29" s="560">
        <f>SUMIF(102:102,E30,103:103)-SUMIF(102:102,C30,103:103)+100</f>
        <v>103</v>
      </c>
      <c r="G29" s="565"/>
      <c r="H29" s="560">
        <f>SUMIF(102:102,G30,103:103)-SUMIF(102:102,C30,103:103)+100</f>
        <v>103</v>
      </c>
      <c r="I29" s="565"/>
      <c r="J29" s="560">
        <f>SUMIF(102:102,I30,103:103)-SUMIF(102:102,C30,103:103)+100</f>
        <v>103</v>
      </c>
      <c r="K29" s="536">
        <v>3</v>
      </c>
      <c r="L29" s="2136"/>
      <c r="M29" s="2133"/>
      <c r="N29" s="2133"/>
      <c r="O29" s="2138"/>
      <c r="P29" s="3247"/>
      <c r="Q29" s="3201" t="str">
        <f t="shared" si="8"/>
        <v>公共配套设施</v>
      </c>
      <c r="R29" s="1568" t="s">
        <v>8</v>
      </c>
      <c r="S29" s="1569">
        <f>F29</f>
        <v>103</v>
      </c>
      <c r="T29" s="1568" t="s">
        <v>8</v>
      </c>
      <c r="U29" s="1569">
        <f>H29</f>
        <v>103</v>
      </c>
      <c r="V29" s="1568" t="s">
        <v>8</v>
      </c>
      <c r="W29" s="1569">
        <f>J29</f>
        <v>103</v>
      </c>
      <c r="X29" s="1570"/>
      <c r="Y29" s="3247"/>
      <c r="Z29" s="3200" t="str">
        <f>Q29</f>
        <v>公共配套设施</v>
      </c>
      <c r="AA29" s="3206">
        <f>D29/F29</f>
        <v>0.970873786407767</v>
      </c>
      <c r="AB29" s="3206">
        <f>D29/H29</f>
        <v>0.970873786407767</v>
      </c>
      <c r="AC29" s="3206">
        <f>D29/J29</f>
        <v>0.970873786407767</v>
      </c>
    </row>
    <row r="30" spans="1:29" s="1219" customFormat="1" ht="20.25">
      <c r="A30" s="578"/>
      <c r="B30" s="567"/>
      <c r="C30" s="555" t="s">
        <v>3052</v>
      </c>
      <c r="D30" s="558"/>
      <c r="E30" s="555" t="s">
        <v>3013</v>
      </c>
      <c r="F30" s="556"/>
      <c r="G30" s="555" t="s">
        <v>3013</v>
      </c>
      <c r="H30" s="556"/>
      <c r="I30" s="555" t="s">
        <v>3013</v>
      </c>
      <c r="J30" s="556"/>
      <c r="K30" s="532"/>
      <c r="L30" s="2136"/>
      <c r="M30" s="2133"/>
      <c r="N30" s="2133"/>
      <c r="O30" s="2138"/>
      <c r="P30" s="3247"/>
      <c r="Q30" s="3201"/>
      <c r="R30" s="1568"/>
      <c r="S30" s="1569"/>
      <c r="T30" s="1568"/>
      <c r="U30" s="1569"/>
      <c r="V30" s="1568"/>
      <c r="W30" s="1569"/>
      <c r="X30" s="1570"/>
      <c r="Y30" s="3247"/>
      <c r="Z30" s="3200"/>
      <c r="AA30" s="3206">
        <v>1</v>
      </c>
      <c r="AB30" s="3206">
        <v>1</v>
      </c>
      <c r="AC30" s="3206">
        <v>1</v>
      </c>
    </row>
    <row r="31" spans="1:29" s="1219" customFormat="1" ht="28.5">
      <c r="A31" s="578"/>
      <c r="B31" s="2613" t="s">
        <v>2555</v>
      </c>
      <c r="C31" s="574" t="str">
        <f>估价对象房地状况!C22</f>
        <v>估价对象所在区域基础设施水平</v>
      </c>
      <c r="D31" s="564">
        <v>100</v>
      </c>
      <c r="E31" s="565"/>
      <c r="F31" s="560">
        <f>SUMIF(104:104,E32,105:105)-SUMIF(104:104,C32,105:105)+100</f>
        <v>100</v>
      </c>
      <c r="G31" s="565"/>
      <c r="H31" s="560">
        <f>SUMIF(104:104,G32,105:105)-SUMIF(104:104,C32,105:105)+100</f>
        <v>100</v>
      </c>
      <c r="I31" s="565"/>
      <c r="J31" s="560">
        <f>SUMIF(104:104,I32,105:105)-SUMIF(104:104,C32,105:105)+100</f>
        <v>100</v>
      </c>
      <c r="K31" s="536">
        <v>1</v>
      </c>
      <c r="L31" s="2136"/>
      <c r="M31" s="2133"/>
      <c r="N31" s="2133"/>
      <c r="O31" s="2138"/>
      <c r="P31" s="3247"/>
      <c r="Q31" s="3201" t="str">
        <f>B31</f>
        <v>基础设施水平</v>
      </c>
      <c r="R31" s="1568" t="s">
        <v>8</v>
      </c>
      <c r="S31" s="1569">
        <f>F31</f>
        <v>100</v>
      </c>
      <c r="T31" s="1568" t="s">
        <v>8</v>
      </c>
      <c r="U31" s="1569">
        <f>H31</f>
        <v>100</v>
      </c>
      <c r="V31" s="1568" t="s">
        <v>8</v>
      </c>
      <c r="W31" s="1569">
        <f>J31</f>
        <v>100</v>
      </c>
      <c r="X31" s="1570"/>
      <c r="Y31" s="3247"/>
      <c r="Z31" s="3200" t="str">
        <f>Q31</f>
        <v>基础设施水平</v>
      </c>
      <c r="AA31" s="3206">
        <f>D31/F31</f>
        <v>1</v>
      </c>
      <c r="AB31" s="3206">
        <f>D31/H31</f>
        <v>1</v>
      </c>
      <c r="AC31" s="3206">
        <f>D31/J31</f>
        <v>1</v>
      </c>
    </row>
    <row r="32" spans="1:29" s="1219" customFormat="1" ht="20.25">
      <c r="A32" s="578"/>
      <c r="B32" s="567"/>
      <c r="C32" s="580" t="s">
        <v>3050</v>
      </c>
      <c r="D32" s="558"/>
      <c r="E32" s="580" t="s">
        <v>3050</v>
      </c>
      <c r="F32" s="556"/>
      <c r="G32" s="580" t="s">
        <v>3050</v>
      </c>
      <c r="H32" s="556"/>
      <c r="I32" s="580" t="s">
        <v>3050</v>
      </c>
      <c r="J32" s="556"/>
      <c r="K32" s="532"/>
      <c r="L32" s="2136"/>
      <c r="M32" s="2133"/>
      <c r="N32" s="2133"/>
      <c r="O32" s="2138"/>
      <c r="P32" s="3247"/>
      <c r="Q32" s="3201"/>
      <c r="R32" s="1568"/>
      <c r="S32" s="1569"/>
      <c r="T32" s="1568"/>
      <c r="U32" s="1569"/>
      <c r="V32" s="1568"/>
      <c r="W32" s="1569"/>
      <c r="X32" s="1570"/>
      <c r="Y32" s="3247"/>
      <c r="Z32" s="3200"/>
      <c r="AA32" s="3206">
        <v>1</v>
      </c>
      <c r="AB32" s="3206">
        <v>1</v>
      </c>
      <c r="AC32" s="3206">
        <v>1</v>
      </c>
    </row>
    <row r="33" spans="1:29" ht="20.25">
      <c r="A33" s="533"/>
      <c r="B33" s="567" t="s">
        <v>548</v>
      </c>
      <c r="C33" s="581" t="s">
        <v>3062</v>
      </c>
      <c r="D33" s="576">
        <v>100</v>
      </c>
      <c r="E33" s="581" t="s">
        <v>3062</v>
      </c>
      <c r="F33" s="541">
        <f>SUMIF(106:106,E33,107:107)-SUMIF(106:106,C33,107:107)+100</f>
        <v>100</v>
      </c>
      <c r="G33" s="581" t="s">
        <v>3014</v>
      </c>
      <c r="H33" s="541">
        <f>SUMIF(106:106,G33,107:107)-SUMIF(106:106,C33,107:107)+100</f>
        <v>99</v>
      </c>
      <c r="I33" s="581" t="s">
        <v>3014</v>
      </c>
      <c r="J33" s="541">
        <f>SUMIF(106:106,I33,107:107)-SUMIF(106:106,C33,107:107)+100</f>
        <v>99</v>
      </c>
      <c r="K33" s="536">
        <v>1</v>
      </c>
      <c r="L33" s="2143"/>
      <c r="M33" s="2133"/>
      <c r="N33" s="2133"/>
      <c r="O33" s="2142"/>
      <c r="P33" s="3247"/>
      <c r="Q33" s="3202" t="str">
        <f t="shared" si="8"/>
        <v>临街状况</v>
      </c>
      <c r="R33" s="1573" t="s">
        <v>8</v>
      </c>
      <c r="S33" s="1574">
        <f t="shared" ref="S33:S47" si="9">F33</f>
        <v>100</v>
      </c>
      <c r="T33" s="1573" t="s">
        <v>8</v>
      </c>
      <c r="U33" s="1574">
        <f t="shared" ref="U33:U47" si="10">H33</f>
        <v>99</v>
      </c>
      <c r="V33" s="1573" t="s">
        <v>8</v>
      </c>
      <c r="W33" s="1574">
        <f t="shared" ref="W33:W47" si="11">J33</f>
        <v>99</v>
      </c>
      <c r="X33" s="3204"/>
      <c r="Y33" s="3247"/>
      <c r="Z33" s="3203" t="str">
        <f t="shared" ref="Z33:Z47" si="12">Q33</f>
        <v>临街状况</v>
      </c>
      <c r="AA33" s="3206">
        <f t="shared" si="3"/>
        <v>1</v>
      </c>
      <c r="AB33" s="3206">
        <f t="shared" si="4"/>
        <v>1.0101010101010102</v>
      </c>
      <c r="AC33" s="3206">
        <f t="shared" si="5"/>
        <v>1.0101010101010102</v>
      </c>
    </row>
    <row r="34" spans="1:29" ht="27">
      <c r="A34" s="533"/>
      <c r="B34" s="579" t="s">
        <v>549</v>
      </c>
      <c r="C34" s="563"/>
      <c r="D34" s="564">
        <v>100</v>
      </c>
      <c r="E34" s="565"/>
      <c r="F34" s="560">
        <f>SUMIF(108:108,E35,109:109)-SUMIF(108:108,C35,109:109)+100</f>
        <v>99</v>
      </c>
      <c r="G34" s="565"/>
      <c r="H34" s="560">
        <f>SUMIF(108:108,G35,109:109)-SUMIF(108:108,C35,109:109)+100</f>
        <v>98</v>
      </c>
      <c r="I34" s="565"/>
      <c r="J34" s="560">
        <f>SUMIF(108:108,I35,109:109)-SUMIF(108:108,C35,109:109)+100</f>
        <v>98</v>
      </c>
      <c r="K34" s="536">
        <v>1</v>
      </c>
      <c r="L34" s="2143"/>
      <c r="M34" s="2133"/>
      <c r="N34" s="2133"/>
      <c r="O34" s="2142"/>
      <c r="P34" s="3247"/>
      <c r="Q34" s="3202" t="str">
        <f t="shared" si="8"/>
        <v>毗邻道路的类型与等级</v>
      </c>
      <c r="R34" s="1573" t="s">
        <v>8</v>
      </c>
      <c r="S34" s="1574">
        <f t="shared" si="9"/>
        <v>99</v>
      </c>
      <c r="T34" s="1573" t="s">
        <v>8</v>
      </c>
      <c r="U34" s="1574">
        <f t="shared" si="10"/>
        <v>98</v>
      </c>
      <c r="V34" s="1573" t="s">
        <v>8</v>
      </c>
      <c r="W34" s="1574">
        <f t="shared" si="11"/>
        <v>98</v>
      </c>
      <c r="X34" s="3204"/>
      <c r="Y34" s="3247"/>
      <c r="Z34" s="3203" t="str">
        <f t="shared" si="12"/>
        <v>毗邻道路的类型与等级</v>
      </c>
      <c r="AA34" s="3206">
        <f t="shared" si="3"/>
        <v>1.0101010101010102</v>
      </c>
      <c r="AB34" s="3206">
        <f t="shared" si="4"/>
        <v>1.0204081632653061</v>
      </c>
      <c r="AC34" s="3206">
        <f t="shared" si="5"/>
        <v>1.0204081632653061</v>
      </c>
    </row>
    <row r="35" spans="1:29" ht="20.25">
      <c r="A35" s="533"/>
      <c r="B35" s="567"/>
      <c r="C35" s="555" t="s">
        <v>3239</v>
      </c>
      <c r="D35" s="558"/>
      <c r="E35" s="555" t="s">
        <v>3252</v>
      </c>
      <c r="F35" s="556"/>
      <c r="G35" s="555" t="s">
        <v>3064</v>
      </c>
      <c r="H35" s="556"/>
      <c r="I35" s="555" t="s">
        <v>3064</v>
      </c>
      <c r="J35" s="556"/>
      <c r="K35" s="582"/>
      <c r="L35" s="2143"/>
      <c r="M35" s="2133"/>
      <c r="N35" s="2133"/>
      <c r="O35" s="2142"/>
      <c r="P35" s="3247"/>
      <c r="Q35" s="3202"/>
      <c r="R35" s="1573"/>
      <c r="S35" s="1574"/>
      <c r="T35" s="1573"/>
      <c r="U35" s="1574"/>
      <c r="V35" s="1573"/>
      <c r="W35" s="1574"/>
      <c r="X35" s="3204"/>
      <c r="Y35" s="3247"/>
      <c r="Z35" s="3203"/>
      <c r="AA35" s="3206">
        <v>1</v>
      </c>
      <c r="AB35" s="3206">
        <v>1</v>
      </c>
      <c r="AC35" s="3206">
        <v>1</v>
      </c>
    </row>
    <row r="36" spans="1:29" ht="20.25">
      <c r="A36" s="533"/>
      <c r="B36" s="583" t="s">
        <v>550</v>
      </c>
      <c r="C36" s="581"/>
      <c r="D36" s="576">
        <v>100</v>
      </c>
      <c r="E36" s="584"/>
      <c r="F36" s="541">
        <f>SUMIF(110:110,E36,111:111)-SUMIF(110:110,C36,111:111)+100</f>
        <v>100</v>
      </c>
      <c r="G36" s="584"/>
      <c r="H36" s="541">
        <f>SUMIF(110:110,G36,111:111)-SUMIF(110:110,C36,111:111)+100</f>
        <v>100</v>
      </c>
      <c r="I36" s="584"/>
      <c r="J36" s="541">
        <f>SUMIF(110:110,I36,111:111)-SUMIF(110:110,C36,111:111)+100</f>
        <v>100</v>
      </c>
      <c r="K36" s="585"/>
      <c r="L36" s="2143"/>
      <c r="M36" s="2133"/>
      <c r="N36" s="2133"/>
      <c r="O36" s="2142"/>
      <c r="P36" s="3247"/>
      <c r="Q36" s="3202" t="str">
        <f t="shared" si="8"/>
        <v>土地级别</v>
      </c>
      <c r="R36" s="1573" t="s">
        <v>8</v>
      </c>
      <c r="S36" s="1574">
        <f t="shared" si="9"/>
        <v>100</v>
      </c>
      <c r="T36" s="1573" t="s">
        <v>8</v>
      </c>
      <c r="U36" s="1574">
        <f t="shared" si="10"/>
        <v>100</v>
      </c>
      <c r="V36" s="1573" t="s">
        <v>8</v>
      </c>
      <c r="W36" s="1574">
        <f t="shared" si="11"/>
        <v>100</v>
      </c>
      <c r="X36" s="3204"/>
      <c r="Y36" s="3247"/>
      <c r="Z36" s="3203" t="str">
        <f t="shared" si="12"/>
        <v>土地级别</v>
      </c>
      <c r="AA36" s="3206">
        <f t="shared" si="3"/>
        <v>1</v>
      </c>
      <c r="AB36" s="3206">
        <f t="shared" si="4"/>
        <v>1</v>
      </c>
      <c r="AC36" s="3206">
        <f t="shared" si="5"/>
        <v>1</v>
      </c>
    </row>
    <row r="37" spans="1:29" ht="20.25">
      <c r="A37" s="517"/>
      <c r="B37" s="586"/>
      <c r="C37" s="587"/>
      <c r="D37" s="576">
        <v>100</v>
      </c>
      <c r="E37" s="3184"/>
      <c r="F37" s="541">
        <f>SUMIF(112:112,E37,113:113)-SUMIF(112:112,C37,113:113)+100</f>
        <v>100</v>
      </c>
      <c r="G37" s="3184"/>
      <c r="H37" s="541">
        <f>SUMIF(112:112,G37,113:113)-SUMIF(112:112,C37,113:113)+100</f>
        <v>100</v>
      </c>
      <c r="I37" s="3184"/>
      <c r="J37" s="541">
        <f>SUMIF(112:112,I37,113:113)-SUMIF(112:112,C37,113:113)+100</f>
        <v>100</v>
      </c>
      <c r="K37" s="582"/>
      <c r="L37" s="2143"/>
      <c r="M37" s="2133"/>
      <c r="N37" s="2133"/>
      <c r="O37" s="2142"/>
      <c r="P37" s="3247"/>
      <c r="Q37" s="3202">
        <f t="shared" si="8"/>
        <v>0</v>
      </c>
      <c r="R37" s="1573" t="s">
        <v>8</v>
      </c>
      <c r="S37" s="1574">
        <f t="shared" si="9"/>
        <v>100</v>
      </c>
      <c r="T37" s="1573" t="s">
        <v>8</v>
      </c>
      <c r="U37" s="1574">
        <f t="shared" si="10"/>
        <v>100</v>
      </c>
      <c r="V37" s="1573" t="s">
        <v>8</v>
      </c>
      <c r="W37" s="1574">
        <f t="shared" si="11"/>
        <v>100</v>
      </c>
      <c r="X37" s="3204"/>
      <c r="Y37" s="3247"/>
      <c r="Z37" s="3203">
        <f t="shared" si="12"/>
        <v>0</v>
      </c>
      <c r="AA37" s="3206">
        <f t="shared" si="3"/>
        <v>1</v>
      </c>
      <c r="AB37" s="3206">
        <f t="shared" si="4"/>
        <v>1</v>
      </c>
      <c r="AC37" s="3206">
        <f t="shared" si="5"/>
        <v>1</v>
      </c>
    </row>
    <row r="38" spans="1:29" ht="20.25">
      <c r="A38" s="588"/>
      <c r="B38" s="589"/>
      <c r="C38" s="587"/>
      <c r="D38" s="576">
        <v>100</v>
      </c>
      <c r="E38" s="543"/>
      <c r="F38" s="541">
        <f>SUMIF(114:114,E39,115:115)-SUMIF(114:114,C39,115:115)+100</f>
        <v>100</v>
      </c>
      <c r="G38" s="543"/>
      <c r="H38" s="541">
        <f>SUMIF(114:114,G38,115:115)-SUMIF(114:114,C38,115:115)+100</f>
        <v>100</v>
      </c>
      <c r="I38" s="543"/>
      <c r="J38" s="541">
        <f>SUMIF(114:114,I38,115:115)-SUMIF(114:114,C38,115:115)+100</f>
        <v>100</v>
      </c>
      <c r="K38" s="582"/>
      <c r="L38" s="2143"/>
      <c r="M38" s="2133"/>
      <c r="N38" s="2133"/>
      <c r="O38" s="2142"/>
      <c r="P38" s="3248" t="s">
        <v>551</v>
      </c>
      <c r="Q38" s="3202">
        <f t="shared" si="8"/>
        <v>0</v>
      </c>
      <c r="R38" s="1573" t="s">
        <v>8</v>
      </c>
      <c r="S38" s="1574">
        <f t="shared" si="9"/>
        <v>100</v>
      </c>
      <c r="T38" s="1573" t="s">
        <v>8</v>
      </c>
      <c r="U38" s="1574">
        <f t="shared" si="10"/>
        <v>100</v>
      </c>
      <c r="V38" s="1573" t="s">
        <v>8</v>
      </c>
      <c r="W38" s="1574">
        <f t="shared" si="11"/>
        <v>100</v>
      </c>
      <c r="X38" s="3204"/>
      <c r="Y38" s="3249" t="s">
        <v>551</v>
      </c>
      <c r="Z38" s="3203">
        <f t="shared" si="12"/>
        <v>0</v>
      </c>
      <c r="AA38" s="3206">
        <f t="shared" si="3"/>
        <v>1</v>
      </c>
      <c r="AB38" s="3206">
        <f t="shared" si="4"/>
        <v>1</v>
      </c>
      <c r="AC38" s="3206">
        <f t="shared" si="5"/>
        <v>1</v>
      </c>
    </row>
    <row r="39" spans="1:29" s="1338" customFormat="1" ht="21" thickBot="1">
      <c r="A39" s="590"/>
      <c r="B39" s="591"/>
      <c r="C39" s="592"/>
      <c r="D39" s="741">
        <v>100</v>
      </c>
      <c r="E39" s="594"/>
      <c r="F39" s="547">
        <f>SUMIF(116:116,E39,117:117)-SUMIF(116:116,C39,117:117)+100</f>
        <v>100</v>
      </c>
      <c r="G39" s="594"/>
      <c r="H39" s="547">
        <f>SUMIF(116:116,G39,117:117)-SUMIF(116:116,C39,117:117)+100</f>
        <v>100</v>
      </c>
      <c r="I39" s="594"/>
      <c r="J39" s="547">
        <f>SUMIF(116:116,I39,117:117)-SUMIF(116:116,C39,117:117)+100</f>
        <v>100</v>
      </c>
      <c r="K39" s="582"/>
      <c r="L39" s="2141"/>
      <c r="M39" s="2133"/>
      <c r="N39" s="2133"/>
      <c r="O39" s="2144"/>
      <c r="P39" s="3249"/>
      <c r="Q39" s="3202">
        <f t="shared" si="8"/>
        <v>0</v>
      </c>
      <c r="R39" s="1577" t="s">
        <v>8</v>
      </c>
      <c r="S39" s="1578">
        <f t="shared" si="9"/>
        <v>100</v>
      </c>
      <c r="T39" s="1577" t="s">
        <v>8</v>
      </c>
      <c r="U39" s="1578">
        <f t="shared" si="10"/>
        <v>100</v>
      </c>
      <c r="V39" s="1577" t="s">
        <v>8</v>
      </c>
      <c r="W39" s="1578">
        <f t="shared" si="11"/>
        <v>100</v>
      </c>
      <c r="X39" s="1579"/>
      <c r="Y39" s="3249"/>
      <c r="Z39" s="1580">
        <f t="shared" si="12"/>
        <v>0</v>
      </c>
      <c r="AA39" s="3206">
        <f t="shared" si="3"/>
        <v>1</v>
      </c>
      <c r="AB39" s="3206">
        <f t="shared" si="4"/>
        <v>1</v>
      </c>
      <c r="AC39" s="3206">
        <f t="shared" si="5"/>
        <v>1</v>
      </c>
    </row>
    <row r="40" spans="1:29" ht="20.25">
      <c r="A40" s="2931" t="s">
        <v>2763</v>
      </c>
      <c r="B40" s="596" t="s">
        <v>553</v>
      </c>
      <c r="C40" s="597">
        <f>'数据-基础表'!A3</f>
        <v>42563.17</v>
      </c>
      <c r="D40" s="598">
        <v>100</v>
      </c>
      <c r="E40" s="597">
        <f>Sheet2!G3</f>
        <v>118650.6</v>
      </c>
      <c r="F40" s="598">
        <f>LOOKUP(E40,119:119,120:120)-LOOKUP(C40,119:119,120:120)+100</f>
        <v>106</v>
      </c>
      <c r="G40" s="597">
        <f>Sheet2!G4</f>
        <v>65462.52</v>
      </c>
      <c r="H40" s="598">
        <f>LOOKUP(G40,119:119,120:120)-LOOKUP(C40,119:119,120:120)+100</f>
        <v>102</v>
      </c>
      <c r="I40" s="597">
        <f>Sheet2!G5</f>
        <v>93420.39</v>
      </c>
      <c r="J40" s="598">
        <f>LOOKUP(I40,119:119,120:120)-LOOKUP(C40,119:119,120:120)+100</f>
        <v>104</v>
      </c>
      <c r="K40" s="582"/>
      <c r="L40" s="2143"/>
      <c r="M40" s="2133"/>
      <c r="N40" s="2133"/>
      <c r="O40" s="2142"/>
      <c r="P40" s="3249"/>
      <c r="Q40" s="3202" t="str">
        <f>B40</f>
        <v>宗地面积</v>
      </c>
      <c r="R40" s="1573" t="s">
        <v>8</v>
      </c>
      <c r="S40" s="1574">
        <f t="shared" si="9"/>
        <v>106</v>
      </c>
      <c r="T40" s="1573" t="s">
        <v>8</v>
      </c>
      <c r="U40" s="1574">
        <f t="shared" si="10"/>
        <v>102</v>
      </c>
      <c r="V40" s="1573" t="s">
        <v>8</v>
      </c>
      <c r="W40" s="1574">
        <f t="shared" si="11"/>
        <v>104</v>
      </c>
      <c r="X40" s="3204"/>
      <c r="Y40" s="3249"/>
      <c r="Z40" s="3203" t="str">
        <f t="shared" si="12"/>
        <v>宗地面积</v>
      </c>
      <c r="AA40" s="3206">
        <f t="shared" si="3"/>
        <v>0.94339622641509435</v>
      </c>
      <c r="AB40" s="3206">
        <f t="shared" si="4"/>
        <v>0.98039215686274506</v>
      </c>
      <c r="AC40" s="3206">
        <f t="shared" si="5"/>
        <v>0.96153846153846156</v>
      </c>
    </row>
    <row r="41" spans="1:29" ht="20.25">
      <c r="A41" s="595"/>
      <c r="B41" s="529" t="s">
        <v>554</v>
      </c>
      <c r="C41" s="600" t="s">
        <v>3256</v>
      </c>
      <c r="D41" s="541">
        <v>100</v>
      </c>
      <c r="E41" s="600" t="s">
        <v>3015</v>
      </c>
      <c r="F41" s="541">
        <f>SUMIF(121:121,E41,122:122)-SUMIF(121:121,C41,122:122)+100</f>
        <v>102</v>
      </c>
      <c r="G41" s="600" t="s">
        <v>3015</v>
      </c>
      <c r="H41" s="541">
        <f>SUMIF(121:121,G41,122:122)-SUMIF(121:121,C41,122:122)+100</f>
        <v>102</v>
      </c>
      <c r="I41" s="600" t="s">
        <v>3015</v>
      </c>
      <c r="J41" s="541">
        <f>SUMIF(121:121,I41,122:122)-SUMIF(121:121,C41,122:122)+100</f>
        <v>102</v>
      </c>
      <c r="K41" s="585">
        <v>2</v>
      </c>
      <c r="L41" s="2143"/>
      <c r="M41" s="2133"/>
      <c r="N41" s="2133"/>
      <c r="O41" s="2142"/>
      <c r="P41" s="3249"/>
      <c r="Q41" s="3202" t="str">
        <f t="shared" ref="Q41:Q47" si="13">B41</f>
        <v>宗地形状</v>
      </c>
      <c r="R41" s="1573" t="s">
        <v>8</v>
      </c>
      <c r="S41" s="1574">
        <f t="shared" si="9"/>
        <v>102</v>
      </c>
      <c r="T41" s="1573" t="s">
        <v>8</v>
      </c>
      <c r="U41" s="1574">
        <f t="shared" si="10"/>
        <v>102</v>
      </c>
      <c r="V41" s="1573" t="s">
        <v>8</v>
      </c>
      <c r="W41" s="1574">
        <f t="shared" si="11"/>
        <v>102</v>
      </c>
      <c r="X41" s="3204"/>
      <c r="Y41" s="3249"/>
      <c r="Z41" s="3203" t="str">
        <f t="shared" si="12"/>
        <v>宗地形状</v>
      </c>
      <c r="AA41" s="3206">
        <f t="shared" si="3"/>
        <v>0.98039215686274506</v>
      </c>
      <c r="AB41" s="3206">
        <f t="shared" si="4"/>
        <v>0.98039215686274506</v>
      </c>
      <c r="AC41" s="3206">
        <f t="shared" si="5"/>
        <v>0.98039215686274506</v>
      </c>
    </row>
    <row r="42" spans="1:29" ht="20.25">
      <c r="A42" s="595"/>
      <c r="B42" s="529" t="s">
        <v>555</v>
      </c>
      <c r="C42" s="600" t="s">
        <v>3016</v>
      </c>
      <c r="D42" s="541">
        <v>100</v>
      </c>
      <c r="E42" s="600" t="s">
        <v>3016</v>
      </c>
      <c r="F42" s="541">
        <f>SUMIF(123:123,E42,124:124)-SUMIF(123:123,C42,124:124)+100</f>
        <v>100</v>
      </c>
      <c r="G42" s="600" t="s">
        <v>3016</v>
      </c>
      <c r="H42" s="541">
        <f>SUMIF(123:123,G42,124:124)-SUMIF(123:123,C42,124:124)+100</f>
        <v>100</v>
      </c>
      <c r="I42" s="600" t="s">
        <v>3016</v>
      </c>
      <c r="J42" s="541">
        <f>SUMIF(123:123,I42,124:124)-SUMIF(123:123,C42,124:124)+100</f>
        <v>100</v>
      </c>
      <c r="K42" s="585">
        <v>1</v>
      </c>
      <c r="L42" s="2143"/>
      <c r="M42" s="2133"/>
      <c r="N42" s="2133"/>
      <c r="O42" s="2142"/>
      <c r="P42" s="3249"/>
      <c r="Q42" s="3202" t="str">
        <f t="shared" si="13"/>
        <v>临街宽度及深度</v>
      </c>
      <c r="R42" s="1573" t="s">
        <v>8</v>
      </c>
      <c r="S42" s="1574">
        <f t="shared" si="9"/>
        <v>100</v>
      </c>
      <c r="T42" s="1573" t="s">
        <v>8</v>
      </c>
      <c r="U42" s="1574">
        <f t="shared" si="10"/>
        <v>100</v>
      </c>
      <c r="V42" s="1573" t="s">
        <v>8</v>
      </c>
      <c r="W42" s="1574">
        <f t="shared" si="11"/>
        <v>100</v>
      </c>
      <c r="X42" s="3204"/>
      <c r="Y42" s="3249"/>
      <c r="Z42" s="3203" t="str">
        <f t="shared" si="12"/>
        <v>临街宽度及深度</v>
      </c>
      <c r="AA42" s="3206">
        <f t="shared" si="3"/>
        <v>1</v>
      </c>
      <c r="AB42" s="3206">
        <f t="shared" si="4"/>
        <v>1</v>
      </c>
      <c r="AC42" s="3206">
        <f t="shared" si="5"/>
        <v>1</v>
      </c>
    </row>
    <row r="43" spans="1:29" s="1219" customFormat="1" ht="20.25">
      <c r="A43" s="601"/>
      <c r="B43" s="1896" t="s">
        <v>2428</v>
      </c>
      <c r="C43" s="602" t="s">
        <v>3049</v>
      </c>
      <c r="D43" s="254">
        <v>100</v>
      </c>
      <c r="E43" s="602" t="s">
        <v>3049</v>
      </c>
      <c r="F43" s="541">
        <f>SUMIF(125:125,E43,126:126)-SUMIF(125:125,C43,126:126)+100</f>
        <v>100</v>
      </c>
      <c r="G43" s="602" t="s">
        <v>3049</v>
      </c>
      <c r="H43" s="541">
        <f>SUMIF(125:125,G43,126:126)-SUMIF(125:125,C43,126:126)+100</f>
        <v>100</v>
      </c>
      <c r="I43" s="602" t="s">
        <v>3049</v>
      </c>
      <c r="J43" s="541">
        <f>SUMIF(125:125,I43,126:126)-SUMIF(125:125,C43,126:126)+100</f>
        <v>100</v>
      </c>
      <c r="K43" s="585">
        <v>1</v>
      </c>
      <c r="L43" s="2136"/>
      <c r="M43" s="2133"/>
      <c r="N43" s="2133"/>
      <c r="O43" s="2138"/>
      <c r="P43" s="3249"/>
      <c r="Q43" s="3202" t="str">
        <f t="shared" si="13"/>
        <v>宗地开发程度</v>
      </c>
      <c r="R43" s="1568" t="s">
        <v>8</v>
      </c>
      <c r="S43" s="1569">
        <f t="shared" si="9"/>
        <v>100</v>
      </c>
      <c r="T43" s="1568" t="s">
        <v>8</v>
      </c>
      <c r="U43" s="1569">
        <f t="shared" si="10"/>
        <v>100</v>
      </c>
      <c r="V43" s="1568" t="s">
        <v>8</v>
      </c>
      <c r="W43" s="1569">
        <f t="shared" si="11"/>
        <v>100</v>
      </c>
      <c r="X43" s="1570"/>
      <c r="Y43" s="3249"/>
      <c r="Z43" s="3200" t="str">
        <f t="shared" si="12"/>
        <v>宗地开发程度</v>
      </c>
      <c r="AA43" s="1571">
        <f t="shared" si="3"/>
        <v>1</v>
      </c>
      <c r="AB43" s="1571">
        <f t="shared" si="4"/>
        <v>1</v>
      </c>
      <c r="AC43" s="1571">
        <f t="shared" si="5"/>
        <v>1</v>
      </c>
    </row>
    <row r="44" spans="1:29" ht="20.25">
      <c r="A44" s="595"/>
      <c r="B44" s="529" t="s">
        <v>556</v>
      </c>
      <c r="C44" s="600" t="s">
        <v>3052</v>
      </c>
      <c r="D44" s="541">
        <v>100</v>
      </c>
      <c r="E44" s="600" t="s">
        <v>3013</v>
      </c>
      <c r="F44" s="541">
        <f>SUMIF(127:127,E44,128:128)-SUMIF(127:127,C44,128:128)+100</f>
        <v>103</v>
      </c>
      <c r="G44" s="600" t="s">
        <v>3013</v>
      </c>
      <c r="H44" s="541">
        <f>SUMIF(127:127,G44,128:128)-SUMIF(127:127,C44,128:128)+100</f>
        <v>103</v>
      </c>
      <c r="I44" s="600" t="s">
        <v>3013</v>
      </c>
      <c r="J44" s="541">
        <f>SUMIF(127:127,I44,128:128)-SUMIF(127:127,C44,128:128)+100</f>
        <v>103</v>
      </c>
      <c r="K44" s="585">
        <v>3</v>
      </c>
      <c r="L44" s="2143"/>
      <c r="M44" s="2133"/>
      <c r="N44" s="2133"/>
      <c r="O44" s="2142"/>
      <c r="P44" s="3249" t="s">
        <v>551</v>
      </c>
      <c r="Q44" s="3202" t="str">
        <f t="shared" si="13"/>
        <v>工程地质条件</v>
      </c>
      <c r="R44" s="1573" t="s">
        <v>8</v>
      </c>
      <c r="S44" s="1574">
        <f t="shared" si="9"/>
        <v>103</v>
      </c>
      <c r="T44" s="1573" t="s">
        <v>8</v>
      </c>
      <c r="U44" s="1574">
        <f t="shared" si="10"/>
        <v>103</v>
      </c>
      <c r="V44" s="1573" t="s">
        <v>8</v>
      </c>
      <c r="W44" s="1574">
        <f t="shared" si="11"/>
        <v>103</v>
      </c>
      <c r="X44" s="3204"/>
      <c r="Y44" s="3249" t="s">
        <v>551</v>
      </c>
      <c r="Z44" s="3203" t="str">
        <f t="shared" si="12"/>
        <v>工程地质条件</v>
      </c>
      <c r="AA44" s="3206">
        <f t="shared" si="3"/>
        <v>0.970873786407767</v>
      </c>
      <c r="AB44" s="3206">
        <f t="shared" si="4"/>
        <v>0.970873786407767</v>
      </c>
      <c r="AC44" s="3206">
        <f t="shared" si="5"/>
        <v>0.970873786407767</v>
      </c>
    </row>
    <row r="45" spans="1:29" ht="20.25" customHeight="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3"/>
      <c r="M45" s="2133"/>
      <c r="N45" s="2133"/>
      <c r="O45" s="2142"/>
      <c r="P45" s="3249"/>
      <c r="Q45" s="3202">
        <f t="shared" si="13"/>
        <v>0</v>
      </c>
      <c r="R45" s="1573" t="s">
        <v>8</v>
      </c>
      <c r="S45" s="1574">
        <f t="shared" si="9"/>
        <v>100</v>
      </c>
      <c r="T45" s="1573" t="s">
        <v>8</v>
      </c>
      <c r="U45" s="1574">
        <f t="shared" si="10"/>
        <v>100</v>
      </c>
      <c r="V45" s="1573" t="s">
        <v>8</v>
      </c>
      <c r="W45" s="1574">
        <f t="shared" si="11"/>
        <v>100</v>
      </c>
      <c r="X45" s="3204"/>
      <c r="Y45" s="3249"/>
      <c r="Z45" s="3203">
        <f t="shared" si="12"/>
        <v>0</v>
      </c>
      <c r="AA45" s="3206">
        <f t="shared" si="3"/>
        <v>1</v>
      </c>
      <c r="AB45" s="3206">
        <f t="shared" si="4"/>
        <v>1</v>
      </c>
      <c r="AC45" s="3206">
        <f t="shared" si="5"/>
        <v>1</v>
      </c>
    </row>
    <row r="46" spans="1:29" ht="20.25" customHeight="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3"/>
      <c r="M46" s="2133"/>
      <c r="N46" s="2133"/>
      <c r="O46" s="2142"/>
      <c r="P46" s="3249"/>
      <c r="Q46" s="3202">
        <f t="shared" si="13"/>
        <v>0</v>
      </c>
      <c r="R46" s="1573" t="s">
        <v>8</v>
      </c>
      <c r="S46" s="1574">
        <f t="shared" si="9"/>
        <v>100</v>
      </c>
      <c r="T46" s="1573" t="s">
        <v>8</v>
      </c>
      <c r="U46" s="1574">
        <f t="shared" si="10"/>
        <v>100</v>
      </c>
      <c r="V46" s="1573" t="s">
        <v>8</v>
      </c>
      <c r="W46" s="1574">
        <f t="shared" si="11"/>
        <v>100</v>
      </c>
      <c r="X46" s="3204"/>
      <c r="Y46" s="3249"/>
      <c r="Z46" s="3203">
        <f t="shared" si="12"/>
        <v>0</v>
      </c>
      <c r="AA46" s="3206">
        <f t="shared" si="3"/>
        <v>1</v>
      </c>
      <c r="AB46" s="3206">
        <f t="shared" si="4"/>
        <v>1</v>
      </c>
      <c r="AC46" s="3206">
        <f t="shared" si="5"/>
        <v>1</v>
      </c>
    </row>
    <row r="47" spans="1:29" s="1338" customFormat="1" ht="21" customHeight="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1"/>
      <c r="M47" s="2133"/>
      <c r="N47" s="2133"/>
      <c r="O47" s="2144"/>
      <c r="P47" s="3249"/>
      <c r="Q47" s="3202">
        <f t="shared" si="13"/>
        <v>0</v>
      </c>
      <c r="R47" s="1577" t="s">
        <v>8</v>
      </c>
      <c r="S47" s="1578">
        <f t="shared" si="9"/>
        <v>100</v>
      </c>
      <c r="T47" s="1577" t="s">
        <v>8</v>
      </c>
      <c r="U47" s="1578">
        <f t="shared" si="10"/>
        <v>100</v>
      </c>
      <c r="V47" s="1577" t="s">
        <v>8</v>
      </c>
      <c r="W47" s="1578">
        <f t="shared" si="11"/>
        <v>100</v>
      </c>
      <c r="X47" s="1579"/>
      <c r="Y47" s="3249"/>
      <c r="Z47" s="1580">
        <f t="shared" si="12"/>
        <v>0</v>
      </c>
      <c r="AA47" s="3206">
        <f t="shared" si="3"/>
        <v>1</v>
      </c>
      <c r="AB47" s="3206">
        <f t="shared" si="4"/>
        <v>1</v>
      </c>
      <c r="AC47" s="3206">
        <f t="shared" si="5"/>
        <v>1</v>
      </c>
    </row>
    <row r="48" spans="1:29" ht="20.25">
      <c r="A48" s="608" t="s">
        <v>557</v>
      </c>
      <c r="B48" s="609" t="s">
        <v>3227</v>
      </c>
      <c r="C48" s="610" t="s">
        <v>1</v>
      </c>
      <c r="D48" s="611"/>
      <c r="E48" s="612">
        <v>4782</v>
      </c>
      <c r="F48" s="613"/>
      <c r="G48" s="612">
        <v>4163</v>
      </c>
      <c r="H48" s="615"/>
      <c r="I48" s="612">
        <v>4044</v>
      </c>
      <c r="J48" s="615"/>
      <c r="K48" s="1339"/>
      <c r="L48" s="2145"/>
      <c r="M48" s="2133"/>
      <c r="N48" s="2133"/>
      <c r="O48" s="2146"/>
      <c r="P48" s="3241" t="str">
        <f>A48</f>
        <v>成交单价</v>
      </c>
      <c r="Q48" s="3241"/>
      <c r="R48" s="3254">
        <f>E48</f>
        <v>4782</v>
      </c>
      <c r="S48" s="3254"/>
      <c r="T48" s="3254">
        <f>G48</f>
        <v>4163</v>
      </c>
      <c r="U48" s="3254"/>
      <c r="V48" s="3254">
        <f>I48</f>
        <v>4044</v>
      </c>
      <c r="W48" s="3254"/>
      <c r="X48" s="1559"/>
      <c r="Y48" s="1581"/>
      <c r="Z48" s="1559"/>
      <c r="AA48" s="1559"/>
      <c r="AB48" s="1559"/>
      <c r="AC48" s="1559"/>
    </row>
    <row r="49" spans="1:29" ht="21" thickBot="1">
      <c r="A49" s="616" t="s">
        <v>2701</v>
      </c>
      <c r="B49" s="617"/>
      <c r="C49" s="618">
        <f>R50</f>
        <v>3715</v>
      </c>
      <c r="D49" s="619"/>
      <c r="E49" s="618">
        <f>R49</f>
        <v>3899</v>
      </c>
      <c r="F49" s="620"/>
      <c r="G49" s="621">
        <f>T49</f>
        <v>3711</v>
      </c>
      <c r="H49" s="619"/>
      <c r="I49" s="618">
        <f>V49</f>
        <v>3536</v>
      </c>
      <c r="J49" s="619"/>
      <c r="K49" s="1340"/>
      <c r="L49" s="2145"/>
      <c r="M49" s="2133"/>
      <c r="N49" s="2133"/>
      <c r="O49" s="2146"/>
      <c r="P49" s="3241" t="str">
        <f>A49</f>
        <v>比较价格（元/平方米）</v>
      </c>
      <c r="Q49" s="3241"/>
      <c r="R49" s="3429">
        <f>ROUND(PRODUCT(R48,AA9:AA47),0)</f>
        <v>3899</v>
      </c>
      <c r="S49" s="3429"/>
      <c r="T49" s="3429">
        <f>ROUND(PRODUCT(T48,AB9:AB47),0)</f>
        <v>3711</v>
      </c>
      <c r="U49" s="3429"/>
      <c r="V49" s="3429">
        <f>ROUND(PRODUCT(V48,AC9:AC47),0)</f>
        <v>3536</v>
      </c>
      <c r="W49" s="3429"/>
      <c r="X49" s="1559"/>
      <c r="Y49" s="1559"/>
      <c r="Z49" s="1559"/>
      <c r="AA49" s="1559"/>
      <c r="AB49" s="1559"/>
      <c r="AC49" s="1559"/>
    </row>
    <row r="50" spans="1:29" ht="21" thickBot="1">
      <c r="A50" s="622" t="s">
        <v>2943</v>
      </c>
      <c r="B50" s="623"/>
      <c r="C50" s="624">
        <f>R50</f>
        <v>3715</v>
      </c>
      <c r="D50" s="624"/>
      <c r="E50" s="624"/>
      <c r="F50" s="624"/>
      <c r="G50" s="624"/>
      <c r="H50" s="624"/>
      <c r="I50" s="624"/>
      <c r="J50" s="624"/>
      <c r="K50" s="1341"/>
      <c r="L50" s="2145"/>
      <c r="M50" s="2133"/>
      <c r="N50" s="2133"/>
      <c r="O50" s="2146"/>
      <c r="P50" s="3243" t="str">
        <f>A50</f>
        <v>估价对象XX用房的比较价格（楼面单价，元/平方米）</v>
      </c>
      <c r="Q50" s="3244"/>
      <c r="R50" s="3430">
        <f>ROUND(AVERAGE(R49:V49),0)</f>
        <v>3715</v>
      </c>
      <c r="S50" s="3430"/>
      <c r="T50" s="3430"/>
      <c r="U50" s="3430"/>
      <c r="V50" s="3430"/>
      <c r="W50" s="343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f>IF(E48&lt;E49,E49/E48-1,E48/E49-1)</f>
        <v>0.22646832521159266</v>
      </c>
      <c r="F53" s="628" t="str">
        <f>IF(OR(E53&gt;=0.3,E53&lt;=-0.3),"超过30%","")</f>
        <v/>
      </c>
      <c r="G53" s="627">
        <f>IF(G48&lt;G49,G49/G48-1,G48/G49-1)</f>
        <v>0.12180005389382909</v>
      </c>
      <c r="H53" s="628" t="str">
        <f>IF(OR(G53&gt;=0.3,G53&lt;=-0.3),"超过30%","")</f>
        <v/>
      </c>
      <c r="I53" s="627">
        <f>IF(I48&lt;I49,I49/I48-1,I48/I49-1)</f>
        <v>0.14366515837104066</v>
      </c>
      <c r="J53" s="628"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f>IF(E49&lt;G49,G49/E49-1,E49/G49-1)</f>
        <v>5.0660199407167816E-2</v>
      </c>
      <c r="F54" s="628" t="str">
        <f>IF(OR(E54&gt;=0.2,E54&lt;=-0.2),"超过20%","")</f>
        <v/>
      </c>
      <c r="G54" s="627">
        <f>IF(G49&lt;I49,I49/G49-1,G49/I49-1)</f>
        <v>4.949095022624439E-2</v>
      </c>
      <c r="H54" s="628" t="str">
        <f>IF(OR(G54&gt;=0.2,G54&lt;=-0.2),"超过20%","")</f>
        <v/>
      </c>
      <c r="I54" s="627">
        <f>IF(I49&lt;E49,E49/I49-1,I49/E49-1)</f>
        <v>0.10265837104072406</v>
      </c>
      <c r="J54" s="628"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5" t="s">
        <v>560</v>
      </c>
      <c r="D55" s="629"/>
      <c r="E55" s="627">
        <f>IF(E48&lt;G48,G48/E48-1,E48/G48-1)</f>
        <v>0.14869084794619258</v>
      </c>
      <c r="F55" s="628" t="str">
        <f>IF(OR(E55&gt;=0.3,E55&lt;=-0.3),"超过30%","")</f>
        <v/>
      </c>
      <c r="G55" s="627">
        <f>IF(G48&lt;I48,I48/G48-1,G48/I48-1)</f>
        <v>2.9426310583580584E-2</v>
      </c>
      <c r="H55" s="628" t="str">
        <f>IF(OR(G55&gt;=0.3,G55&lt;=-0.3),"超过30%","")</f>
        <v/>
      </c>
      <c r="I55" s="627">
        <f>IF(I48&lt;E48,E48/I48-1,I48/E48-1)</f>
        <v>0.18249258160237392</v>
      </c>
      <c r="J55" s="628"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30" t="s">
        <v>561</v>
      </c>
      <c r="B57" s="631" t="s">
        <v>562</v>
      </c>
      <c r="C57" s="1560" t="s">
        <v>3069</v>
      </c>
      <c r="D57" s="2228" t="s">
        <v>2296</v>
      </c>
      <c r="E57" s="632" t="s">
        <v>563</v>
      </c>
      <c r="F57" s="633" t="s">
        <v>564</v>
      </c>
      <c r="G57" s="3424" t="s">
        <v>2284</v>
      </c>
      <c r="H57" s="3425"/>
      <c r="I57" s="1555" t="s">
        <v>1724</v>
      </c>
      <c r="J57" s="1555" t="str">
        <f>项目基本情况!F41</f>
        <v>云南省昆明市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4" t="s">
        <v>565</v>
      </c>
      <c r="B58" s="635">
        <f>C50</f>
        <v>3715</v>
      </c>
      <c r="C58" s="636">
        <v>1</v>
      </c>
      <c r="D58" s="2229">
        <v>1</v>
      </c>
      <c r="E58" s="636">
        <f>'数据-汇总表'!E8+'数据-汇总表'!E9-'数据-汇总表'!F22</f>
        <v>156953</v>
      </c>
      <c r="F58" s="637">
        <f t="shared" ref="F58:F67" si="14">ROUND(B58*E58/10000,0)</f>
        <v>58308</v>
      </c>
      <c r="G58" s="3426"/>
      <c r="H58" s="3427"/>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8" t="s">
        <v>566</v>
      </c>
      <c r="B59" s="639">
        <f>ROUND($C$50*C59*D59,0)</f>
        <v>0</v>
      </c>
      <c r="C59" s="380">
        <f t="shared" ref="C59:C67" si="15">IF($C$57="北京市系数",I59,J59)</f>
        <v>0</v>
      </c>
      <c r="D59" s="2230">
        <v>0.25</v>
      </c>
      <c r="E59" s="640">
        <v>0</v>
      </c>
      <c r="F59" s="637">
        <f t="shared" si="14"/>
        <v>0</v>
      </c>
      <c r="G59" s="3428"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8" t="s">
        <v>567</v>
      </c>
      <c r="B60" s="639">
        <f t="shared" ref="B60:B67" si="16">ROUND($C$50*C60*D60,0)</f>
        <v>0</v>
      </c>
      <c r="C60" s="380">
        <f t="shared" si="15"/>
        <v>0</v>
      </c>
      <c r="D60" s="2230">
        <v>0.25</v>
      </c>
      <c r="E60" s="640">
        <v>0</v>
      </c>
      <c r="F60" s="637">
        <f t="shared" si="14"/>
        <v>0</v>
      </c>
      <c r="G60" s="3428"/>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8" t="s">
        <v>568</v>
      </c>
      <c r="B61" s="639">
        <f t="shared" si="16"/>
        <v>0</v>
      </c>
      <c r="C61" s="380">
        <f t="shared" si="15"/>
        <v>0</v>
      </c>
      <c r="D61" s="2230">
        <v>0.25</v>
      </c>
      <c r="E61" s="640">
        <v>0</v>
      </c>
      <c r="F61" s="637">
        <f t="shared" si="14"/>
        <v>0</v>
      </c>
      <c r="G61" s="3428"/>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8" t="s">
        <v>569</v>
      </c>
      <c r="B62" s="639">
        <f t="shared" si="16"/>
        <v>0</v>
      </c>
      <c r="C62" s="380">
        <f t="shared" si="15"/>
        <v>0</v>
      </c>
      <c r="D62" s="2230">
        <v>0.25</v>
      </c>
      <c r="E62" s="640">
        <v>0</v>
      </c>
      <c r="F62" s="637">
        <f t="shared" si="14"/>
        <v>0</v>
      </c>
      <c r="G62" s="3428"/>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2331</v>
      </c>
      <c r="B63" s="639">
        <f t="shared" si="16"/>
        <v>0</v>
      </c>
      <c r="C63" s="380">
        <f t="shared" si="15"/>
        <v>0</v>
      </c>
      <c r="D63" s="2230">
        <v>0.25</v>
      </c>
      <c r="E63" s="642">
        <f>'数据-汇总表'!E11</f>
        <v>0</v>
      </c>
      <c r="F63" s="637">
        <f t="shared" si="14"/>
        <v>0</v>
      </c>
      <c r="G63" s="3205"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8" t="s">
        <v>570</v>
      </c>
      <c r="B64" s="639">
        <f t="shared" si="16"/>
        <v>0</v>
      </c>
      <c r="C64" s="380">
        <f t="shared" si="15"/>
        <v>0</v>
      </c>
      <c r="D64" s="2230">
        <v>0.25</v>
      </c>
      <c r="E64" s="642">
        <f>'数据-汇总表'!E12</f>
        <v>0</v>
      </c>
      <c r="F64" s="637">
        <f t="shared" si="14"/>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8" t="s">
        <v>571</v>
      </c>
      <c r="B65" s="639">
        <f t="shared" si="16"/>
        <v>0</v>
      </c>
      <c r="C65" s="380">
        <f t="shared" si="15"/>
        <v>0</v>
      </c>
      <c r="D65" s="2230">
        <v>0.25</v>
      </c>
      <c r="E65" s="642">
        <f>'数据-汇总表'!E13</f>
        <v>54885</v>
      </c>
      <c r="F65" s="637">
        <f t="shared" si="14"/>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8" t="s">
        <v>572</v>
      </c>
      <c r="B66" s="639">
        <f t="shared" si="16"/>
        <v>0</v>
      </c>
      <c r="C66" s="380">
        <f t="shared" si="15"/>
        <v>0</v>
      </c>
      <c r="D66" s="2230">
        <v>0.25</v>
      </c>
      <c r="E66" s="642">
        <f>'数据-汇总表'!E14</f>
        <v>0</v>
      </c>
      <c r="F66" s="637">
        <f t="shared" si="14"/>
        <v>0</v>
      </c>
      <c r="G66" s="3205"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8" t="s">
        <v>573</v>
      </c>
      <c r="B67" s="639">
        <f t="shared" si="16"/>
        <v>0</v>
      </c>
      <c r="C67" s="380">
        <f t="shared" si="15"/>
        <v>0</v>
      </c>
      <c r="D67" s="2230">
        <v>0.25</v>
      </c>
      <c r="E67" s="642">
        <f>'数据-汇总表'!E15</f>
        <v>0</v>
      </c>
      <c r="F67" s="637">
        <f t="shared" si="14"/>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3" t="s">
        <v>574</v>
      </c>
      <c r="B68" s="644" t="s">
        <v>17</v>
      </c>
      <c r="C68" s="644" t="s">
        <v>18</v>
      </c>
      <c r="D68" s="644" t="s">
        <v>2297</v>
      </c>
      <c r="E68" s="644">
        <f>IF(B48="楼面地价",SUM(E58:E67),'数据-汇总表'!D3)</f>
        <v>211838</v>
      </c>
      <c r="F68" s="645">
        <f>IF(B48="楼面地价",SUM(F58:F67),ROUND(C50*E68/10000,0))</f>
        <v>58308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3" t="str">
        <f>YEAR(C9)&amp;"-"&amp;MONTH(C9)&amp;"-1"</f>
        <v>2018-3-1</v>
      </c>
      <c r="D70" s="2823">
        <f>EDATE(C70,-3)</f>
        <v>43070</v>
      </c>
      <c r="E70" s="2823">
        <f t="shared" ref="E70:N70" si="17">EDATE(D70,-3)</f>
        <v>42979</v>
      </c>
      <c r="F70" s="2823">
        <f t="shared" si="17"/>
        <v>42887</v>
      </c>
      <c r="G70" s="2823">
        <f t="shared" si="17"/>
        <v>42795</v>
      </c>
      <c r="H70" s="2823">
        <f t="shared" si="17"/>
        <v>42705</v>
      </c>
      <c r="I70" s="2823">
        <f t="shared" si="17"/>
        <v>42614</v>
      </c>
      <c r="J70" s="2823">
        <f t="shared" si="17"/>
        <v>42522</v>
      </c>
      <c r="K70" s="2823">
        <f t="shared" si="17"/>
        <v>42430</v>
      </c>
      <c r="L70" s="2823">
        <f t="shared" si="17"/>
        <v>42339</v>
      </c>
      <c r="M70" s="2823">
        <f t="shared" si="17"/>
        <v>42248</v>
      </c>
      <c r="N70" s="2823">
        <f t="shared" si="17"/>
        <v>42156</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0" t="s">
        <v>2538</v>
      </c>
      <c r="B72" s="2591"/>
      <c r="C72" s="2825" t="str">
        <f>YEAR(C70)&amp;"-"&amp;ROUNDUP(MONTH(C70)/3,0)</f>
        <v>2018-1</v>
      </c>
      <c r="D72" s="2825" t="str">
        <f>YEAR(D70)&amp;"-"&amp;ROUNDUP(MONTH(D70)/3,0)</f>
        <v>2017-4</v>
      </c>
      <c r="E72" s="2825" t="str">
        <f t="shared" ref="E72:N72" si="18">YEAR(E70)&amp;"-"&amp;ROUNDUP(MONTH(E70)/3,0)</f>
        <v>2017-3</v>
      </c>
      <c r="F72" s="2825" t="str">
        <f t="shared" si="18"/>
        <v>2017-2</v>
      </c>
      <c r="G72" s="2825" t="str">
        <f t="shared" si="18"/>
        <v>2017-1</v>
      </c>
      <c r="H72" s="2825" t="str">
        <f t="shared" si="18"/>
        <v>2016-4</v>
      </c>
      <c r="I72" s="2825" t="str">
        <f t="shared" si="18"/>
        <v>2016-3</v>
      </c>
      <c r="J72" s="2825" t="str">
        <f t="shared" si="18"/>
        <v>2016-2</v>
      </c>
      <c r="K72" s="2825" t="str">
        <f t="shared" si="18"/>
        <v>2016-1</v>
      </c>
      <c r="L72" s="2825" t="str">
        <f t="shared" si="18"/>
        <v>2015-4</v>
      </c>
      <c r="M72" s="2825" t="str">
        <f t="shared" si="18"/>
        <v>2015-3</v>
      </c>
      <c r="N72" s="2825" t="str">
        <f t="shared" si="18"/>
        <v>2015-2</v>
      </c>
      <c r="O72" s="3173">
        <v>42005</v>
      </c>
      <c r="P72" s="3172"/>
      <c r="Q72" s="2162" t="s">
        <v>3065</v>
      </c>
      <c r="R72" s="2162"/>
      <c r="S72" s="2162"/>
      <c r="T72" s="2162"/>
      <c r="U72" s="2162"/>
      <c r="V72" s="2162"/>
      <c r="W72" s="2162"/>
      <c r="X72" s="2162"/>
      <c r="Y72" s="2162"/>
      <c r="Z72" s="2162"/>
      <c r="AA72" s="2162"/>
      <c r="AB72" s="2162"/>
      <c r="AC72" s="2162"/>
    </row>
    <row r="73" spans="1:29" s="1219" customFormat="1" ht="27" customHeight="1">
      <c r="A73" s="2830" t="s">
        <v>2655</v>
      </c>
      <c r="B73" s="481" t="str">
        <f>"北京市平均增长率"&amp;TEXT(SUMIF(基准地价!N21:N25,A73,基准地价!P21:P25),"0.00%")</f>
        <v>北京市平均增长率0.00%</v>
      </c>
      <c r="C73" s="893">
        <v>100</v>
      </c>
      <c r="D73" s="731">
        <v>99</v>
      </c>
      <c r="E73" s="3171">
        <v>98</v>
      </c>
      <c r="F73" s="731">
        <v>97</v>
      </c>
      <c r="G73" s="3171">
        <v>96</v>
      </c>
      <c r="H73" s="731">
        <v>95</v>
      </c>
      <c r="I73" s="3171">
        <v>94</v>
      </c>
      <c r="J73" s="731">
        <v>93</v>
      </c>
      <c r="K73" s="3171">
        <v>92</v>
      </c>
      <c r="L73" s="731">
        <v>91</v>
      </c>
      <c r="M73" s="3171">
        <v>90</v>
      </c>
      <c r="N73" s="731">
        <v>89</v>
      </c>
      <c r="O73" s="3171">
        <v>88</v>
      </c>
      <c r="P73" s="731">
        <v>87</v>
      </c>
      <c r="Q73" s="3171">
        <v>79</v>
      </c>
      <c r="R73" s="1994"/>
      <c r="S73" s="1994"/>
      <c r="T73" s="1994"/>
      <c r="U73" s="1994"/>
      <c r="V73" s="1994"/>
      <c r="W73" s="1994"/>
      <c r="X73" s="1994"/>
      <c r="Y73" s="1994"/>
      <c r="Z73" s="1994"/>
      <c r="AA73" s="1994"/>
      <c r="AB73" s="1994"/>
      <c r="AC73" s="1994"/>
    </row>
    <row r="74" spans="1:29" s="1219" customFormat="1" ht="15" customHeight="1" thickBot="1">
      <c r="A74" s="2820" t="s">
        <v>2654</v>
      </c>
      <c r="B74" s="2829"/>
      <c r="C74" s="2814"/>
      <c r="D74" s="2815"/>
      <c r="E74" s="2815"/>
      <c r="F74" s="2815"/>
      <c r="G74" s="2815"/>
      <c r="H74" s="2815"/>
      <c r="I74" s="2815"/>
      <c r="J74" s="2815"/>
      <c r="K74" s="2815"/>
      <c r="L74" s="2815"/>
      <c r="M74" s="2815"/>
      <c r="N74" s="2815"/>
      <c r="O74" s="2163"/>
      <c r="P74" s="2159"/>
      <c r="Q74" s="2159"/>
      <c r="R74" s="1994"/>
      <c r="S74" s="1994"/>
      <c r="T74" s="1994"/>
      <c r="U74" s="1994"/>
      <c r="V74" s="1994"/>
      <c r="W74" s="1994"/>
      <c r="X74" s="1994"/>
      <c r="Y74" s="1994"/>
      <c r="Z74" s="1994"/>
      <c r="AA74" s="1994"/>
      <c r="AB74" s="1994"/>
      <c r="AC74" s="1994"/>
    </row>
    <row r="75" spans="1:29" s="1219" customFormat="1" ht="15">
      <c r="A75" s="660" t="s">
        <v>532</v>
      </c>
      <c r="B75" s="649"/>
      <c r="C75" s="661" t="s">
        <v>577</v>
      </c>
      <c r="D75" s="662"/>
      <c r="E75" s="662"/>
      <c r="F75" s="662"/>
      <c r="G75" s="662"/>
      <c r="H75" s="662"/>
      <c r="I75" s="662"/>
      <c r="J75" s="662"/>
      <c r="K75" s="662"/>
      <c r="L75" s="663"/>
      <c r="M75" s="664"/>
      <c r="N75" s="2163"/>
      <c r="O75" s="2163"/>
      <c r="P75" s="2164"/>
      <c r="Q75" s="2159"/>
      <c r="R75" s="1994"/>
      <c r="S75" s="1994"/>
      <c r="T75" s="1994"/>
      <c r="U75" s="1994"/>
      <c r="V75" s="1994"/>
      <c r="W75" s="1994"/>
      <c r="X75" s="1994"/>
      <c r="Y75" s="1994"/>
      <c r="Z75" s="1994"/>
      <c r="AA75" s="1994"/>
      <c r="AB75" s="1994"/>
      <c r="AC75" s="1994"/>
    </row>
    <row r="76" spans="1:29" s="1219" customFormat="1" ht="15.75" thickBot="1">
      <c r="A76" s="660"/>
      <c r="B76" s="649"/>
      <c r="C76" s="650">
        <v>100</v>
      </c>
      <c r="D76" s="651"/>
      <c r="E76" s="651"/>
      <c r="F76" s="651"/>
      <c r="G76" s="651"/>
      <c r="H76" s="651"/>
      <c r="I76" s="651"/>
      <c r="J76" s="651"/>
      <c r="K76" s="651"/>
      <c r="L76" s="651"/>
      <c r="M76" s="653"/>
      <c r="N76" s="2163"/>
      <c r="O76" s="2163"/>
      <c r="P76" s="2159"/>
      <c r="Q76" s="2159"/>
      <c r="R76" s="1994"/>
      <c r="S76" s="1994"/>
      <c r="T76" s="1994"/>
      <c r="U76" s="1994"/>
      <c r="V76" s="1994"/>
      <c r="W76" s="1994"/>
      <c r="X76" s="1994"/>
      <c r="Y76" s="1994"/>
      <c r="Z76" s="1994"/>
      <c r="AA76" s="1994"/>
      <c r="AB76" s="1994"/>
      <c r="AC76" s="1994"/>
    </row>
    <row r="77" spans="1:29">
      <c r="A77" s="665" t="s">
        <v>578</v>
      </c>
      <c r="B77" s="666" t="s">
        <v>535</v>
      </c>
      <c r="C77" s="3163" t="s">
        <v>1953</v>
      </c>
      <c r="D77" s="59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72">
        <v>100</v>
      </c>
      <c r="D78" s="672"/>
      <c r="E78" s="672"/>
      <c r="F78" s="672"/>
      <c r="G78" s="672"/>
      <c r="H78" s="672"/>
      <c r="I78" s="672"/>
      <c r="J78" s="672"/>
      <c r="K78" s="672"/>
      <c r="L78" s="672"/>
      <c r="M78" s="673"/>
      <c r="N78" s="2167"/>
      <c r="O78" s="2167"/>
      <c r="P78" s="2166"/>
      <c r="Q78" s="2159"/>
      <c r="R78" s="2146"/>
      <c r="S78" s="2146"/>
      <c r="T78" s="2146"/>
      <c r="U78" s="2146"/>
      <c r="V78" s="2146"/>
      <c r="W78" s="2146"/>
      <c r="X78" s="2146"/>
      <c r="Y78" s="2146"/>
      <c r="Z78" s="2146"/>
      <c r="AA78" s="2146"/>
      <c r="AB78" s="2146"/>
      <c r="AC78" s="2146"/>
    </row>
    <row r="79" spans="1:29" ht="27.75" thickTop="1">
      <c r="A79" s="670"/>
      <c r="B79" s="674" t="s">
        <v>538</v>
      </c>
      <c r="C79" s="675"/>
      <c r="D79" s="675"/>
      <c r="E79" s="675"/>
      <c r="F79" s="675"/>
      <c r="G79" s="675"/>
      <c r="H79" s="675"/>
      <c r="I79" s="675"/>
      <c r="J79" s="675"/>
      <c r="K79" s="676"/>
      <c r="L79" s="677"/>
      <c r="M79" s="678"/>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c r="D80" s="680"/>
      <c r="E80" s="680"/>
      <c r="F80" s="680"/>
      <c r="G80" s="680"/>
      <c r="H80" s="680"/>
      <c r="I80" s="680"/>
      <c r="J80" s="680"/>
      <c r="K80" s="680"/>
      <c r="L80" s="680"/>
      <c r="M80" s="681"/>
      <c r="N80" s="2167"/>
      <c r="O80" s="2167"/>
      <c r="P80" s="2166"/>
      <c r="Q80" s="2159"/>
      <c r="R80" s="2146"/>
      <c r="S80" s="2146"/>
      <c r="T80" s="2146"/>
      <c r="U80" s="2146"/>
      <c r="V80" s="2146"/>
      <c r="W80" s="2146"/>
      <c r="X80" s="2146"/>
      <c r="Y80" s="2146"/>
      <c r="Z80" s="2146"/>
      <c r="AA80" s="2146"/>
      <c r="AB80" s="2146"/>
      <c r="AC80" s="2146"/>
    </row>
    <row r="81" spans="1:29" ht="15.75" thickTop="1">
      <c r="A81" s="670"/>
      <c r="B81" s="682" t="s">
        <v>539</v>
      </c>
      <c r="C81" s="683" t="str">
        <f>C82&amp;"（含）"&amp;"-"&amp;D82</f>
        <v>3（含）-4</v>
      </c>
      <c r="D81" s="683" t="str">
        <f t="shared" ref="D81:L81" si="19">D82&amp;"（含）"&amp;"-"&amp;E82</f>
        <v>4（含）-5</v>
      </c>
      <c r="E81" s="683" t="str">
        <f t="shared" si="19"/>
        <v>5（含）-6</v>
      </c>
      <c r="F81" s="683" t="str">
        <f t="shared" si="19"/>
        <v>6（含）-7</v>
      </c>
      <c r="G81" s="683" t="str">
        <f t="shared" si="19"/>
        <v>7（含）-8</v>
      </c>
      <c r="H81" s="683" t="str">
        <f t="shared" si="19"/>
        <v>8（含）-9</v>
      </c>
      <c r="I81" s="683" t="str">
        <f t="shared" si="19"/>
        <v>9（含）-10</v>
      </c>
      <c r="J81" s="683" t="str">
        <f t="shared" si="19"/>
        <v>10（含）-11</v>
      </c>
      <c r="K81" s="683" t="str">
        <f t="shared" si="19"/>
        <v>11（含）-12</v>
      </c>
      <c r="L81" s="683" t="str">
        <f t="shared" si="19"/>
        <v>12（含）-13</v>
      </c>
      <c r="M81" s="556" t="str">
        <f>M82&amp;"（含）"&amp;"-"&amp;P82</f>
        <v>13（含）-</v>
      </c>
      <c r="N81" s="2167"/>
      <c r="O81" s="2167"/>
      <c r="P81" s="2166"/>
      <c r="Q81" s="2159"/>
      <c r="R81" s="2146"/>
      <c r="S81" s="2146"/>
      <c r="T81" s="2146"/>
      <c r="U81" s="2146"/>
      <c r="V81" s="2146"/>
      <c r="W81" s="2146"/>
      <c r="X81" s="2146"/>
      <c r="Y81" s="2146"/>
      <c r="Z81" s="2146"/>
      <c r="AA81" s="2146"/>
      <c r="AB81" s="2146"/>
      <c r="AC81" s="2146"/>
    </row>
    <row r="82" spans="1:29" ht="15">
      <c r="A82" s="670"/>
      <c r="B82" s="684"/>
      <c r="C82" s="542">
        <v>3</v>
      </c>
      <c r="D82" s="542">
        <v>4</v>
      </c>
      <c r="E82" s="542">
        <v>5</v>
      </c>
      <c r="F82" s="542">
        <v>6</v>
      </c>
      <c r="G82" s="542">
        <v>7</v>
      </c>
      <c r="H82" s="542">
        <v>8</v>
      </c>
      <c r="I82" s="542">
        <v>9</v>
      </c>
      <c r="J82" s="542">
        <v>10</v>
      </c>
      <c r="K82" s="542">
        <v>11</v>
      </c>
      <c r="L82" s="542">
        <v>12</v>
      </c>
      <c r="M82" s="542">
        <v>13</v>
      </c>
      <c r="N82" s="2165"/>
      <c r="O82" s="2165"/>
      <c r="P82" s="2166"/>
      <c r="Q82" s="2159"/>
      <c r="R82" s="2146"/>
      <c r="S82" s="2146"/>
      <c r="T82" s="2146"/>
      <c r="U82" s="2146"/>
      <c r="V82" s="2146"/>
      <c r="W82" s="2146"/>
      <c r="X82" s="2146"/>
      <c r="Y82" s="2146"/>
      <c r="Z82" s="2146"/>
      <c r="AA82" s="2146"/>
      <c r="AB82" s="2146"/>
      <c r="AC82" s="2146"/>
    </row>
    <row r="83" spans="1:29" ht="15.75" thickBot="1">
      <c r="A83" s="670"/>
      <c r="B83" s="671"/>
      <c r="C83" s="680">
        <v>100</v>
      </c>
      <c r="D83" s="680">
        <f>IF($B$48="单位面积地价",C83+$K13,C83-$K13)</f>
        <v>97</v>
      </c>
      <c r="E83" s="680">
        <f t="shared" ref="E83:M83" si="20">IF($B$48="单位面积地价",D83+$K13,D83-$K13)</f>
        <v>94</v>
      </c>
      <c r="F83" s="680">
        <f t="shared" si="20"/>
        <v>91</v>
      </c>
      <c r="G83" s="680">
        <f t="shared" si="20"/>
        <v>88</v>
      </c>
      <c r="H83" s="680">
        <f t="shared" si="20"/>
        <v>85</v>
      </c>
      <c r="I83" s="680">
        <f t="shared" si="20"/>
        <v>82</v>
      </c>
      <c r="J83" s="680">
        <f t="shared" si="20"/>
        <v>79</v>
      </c>
      <c r="K83" s="680">
        <f t="shared" si="20"/>
        <v>76</v>
      </c>
      <c r="L83" s="680">
        <f t="shared" si="20"/>
        <v>73</v>
      </c>
      <c r="M83" s="680">
        <f t="shared" si="20"/>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8"/>
      <c r="B84" s="674" t="str">
        <f>B14</f>
        <v>配建</v>
      </c>
      <c r="C84" s="3175" t="s">
        <v>3067</v>
      </c>
      <c r="D84" s="1375" t="s">
        <v>3068</v>
      </c>
      <c r="E84" s="1376"/>
      <c r="F84" s="689"/>
      <c r="G84" s="689"/>
      <c r="H84" s="690"/>
      <c r="I84" s="690"/>
      <c r="J84" s="690"/>
      <c r="K84" s="690"/>
      <c r="L84" s="691"/>
      <c r="M84" s="692"/>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8"/>
      <c r="B85" s="679"/>
      <c r="C85" s="693">
        <v>100</v>
      </c>
      <c r="D85" s="672">
        <v>90</v>
      </c>
      <c r="E85" s="672"/>
      <c r="F85" s="672"/>
      <c r="G85" s="672"/>
      <c r="H85" s="672"/>
      <c r="I85" s="672"/>
      <c r="J85" s="672"/>
      <c r="K85" s="672"/>
      <c r="L85" s="672"/>
      <c r="M85" s="673"/>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8"/>
      <c r="B86" s="674">
        <f>B15</f>
        <v>0</v>
      </c>
      <c r="C86" s="689"/>
      <c r="D86" s="689"/>
      <c r="E86" s="689"/>
      <c r="F86" s="689"/>
      <c r="G86" s="689"/>
      <c r="H86" s="690"/>
      <c r="I86" s="690"/>
      <c r="J86" s="690"/>
      <c r="K86" s="690"/>
      <c r="L86" s="691"/>
      <c r="M86" s="692"/>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8"/>
      <c r="B87" s="679"/>
      <c r="C87" s="693"/>
      <c r="D87" s="693"/>
      <c r="E87" s="693"/>
      <c r="F87" s="693"/>
      <c r="G87" s="693"/>
      <c r="H87" s="694"/>
      <c r="I87" s="694"/>
      <c r="J87" s="694"/>
      <c r="K87" s="694"/>
      <c r="L87" s="694"/>
      <c r="M87" s="695"/>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8"/>
      <c r="B88" s="682">
        <f>B16</f>
        <v>0</v>
      </c>
      <c r="C88" s="662"/>
      <c r="D88" s="662"/>
      <c r="E88" s="662"/>
      <c r="F88" s="662"/>
      <c r="G88" s="662"/>
      <c r="H88" s="696"/>
      <c r="I88" s="696"/>
      <c r="J88" s="696"/>
      <c r="K88" s="696"/>
      <c r="L88" s="697"/>
      <c r="M88" s="698"/>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9"/>
      <c r="B89" s="700"/>
      <c r="C89" s="701"/>
      <c r="D89" s="701"/>
      <c r="E89" s="701"/>
      <c r="F89" s="701"/>
      <c r="G89" s="701"/>
      <c r="H89" s="702"/>
      <c r="I89" s="702"/>
      <c r="J89" s="702"/>
      <c r="K89" s="702"/>
      <c r="L89" s="702"/>
      <c r="M89" s="703"/>
      <c r="N89" s="2168"/>
      <c r="O89" s="2168"/>
      <c r="P89" s="2169"/>
      <c r="Q89" s="2170"/>
      <c r="R89" s="2171"/>
      <c r="S89" s="2171"/>
      <c r="T89" s="2171"/>
      <c r="U89" s="2171"/>
      <c r="V89" s="2171"/>
      <c r="W89" s="2171"/>
      <c r="X89" s="2171"/>
      <c r="Y89" s="2171"/>
      <c r="Z89" s="2171"/>
      <c r="AA89" s="2171"/>
      <c r="AB89" s="2171"/>
      <c r="AC89" s="2171"/>
    </row>
    <row r="90" spans="1:29">
      <c r="A90" s="665" t="s">
        <v>540</v>
      </c>
      <c r="B90" s="666" t="s">
        <v>579</v>
      </c>
      <c r="C90" s="704" t="s">
        <v>580</v>
      </c>
      <c r="D90" s="704" t="s">
        <v>581</v>
      </c>
      <c r="E90" s="704" t="s">
        <v>582</v>
      </c>
      <c r="F90" s="704" t="s">
        <v>583</v>
      </c>
      <c r="G90" s="704" t="s">
        <v>584</v>
      </c>
      <c r="H90" s="705"/>
      <c r="I90" s="705"/>
      <c r="J90" s="705"/>
      <c r="K90" s="706"/>
      <c r="L90" s="707"/>
      <c r="M90" s="708"/>
      <c r="N90" s="2165"/>
      <c r="O90" s="2165"/>
      <c r="P90" s="2175"/>
      <c r="Q90" s="2159"/>
      <c r="R90" s="2146"/>
      <c r="S90" s="2146"/>
      <c r="T90" s="2146"/>
      <c r="U90" s="2146"/>
      <c r="V90" s="2146"/>
      <c r="W90" s="2146"/>
      <c r="X90" s="2146"/>
      <c r="Y90" s="2146"/>
      <c r="Z90" s="2146"/>
      <c r="AA90" s="2146"/>
      <c r="AB90" s="2146"/>
      <c r="AC90" s="2146"/>
    </row>
    <row r="91" spans="1:29" ht="15.75" thickBot="1">
      <c r="A91" s="670"/>
      <c r="B91" s="679"/>
      <c r="C91" s="680">
        <v>100</v>
      </c>
      <c r="D91" s="680">
        <f>C91-$K17</f>
        <v>97</v>
      </c>
      <c r="E91" s="680">
        <f>D91-$K17</f>
        <v>94</v>
      </c>
      <c r="F91" s="680">
        <f>E91-$K17</f>
        <v>91</v>
      </c>
      <c r="G91" s="680">
        <f>F91-$K17</f>
        <v>88</v>
      </c>
      <c r="H91" s="680"/>
      <c r="I91" s="680"/>
      <c r="J91" s="680"/>
      <c r="K91" s="680"/>
      <c r="L91" s="680"/>
      <c r="M91" s="681"/>
      <c r="N91" s="2167"/>
      <c r="O91" s="2167"/>
      <c r="P91" s="2166"/>
      <c r="Q91" s="2159"/>
      <c r="R91" s="2146"/>
      <c r="S91" s="2146"/>
      <c r="T91" s="2146"/>
      <c r="U91" s="2146"/>
      <c r="V91" s="2146"/>
      <c r="W91" s="2146"/>
      <c r="X91" s="2146"/>
      <c r="Y91" s="2146"/>
      <c r="Z91" s="2146"/>
      <c r="AA91" s="2146"/>
      <c r="AB91" s="2146"/>
      <c r="AC91" s="2146"/>
    </row>
    <row r="92" spans="1:29" ht="15.75" thickTop="1">
      <c r="A92" s="670"/>
      <c r="B92" s="674" t="s">
        <v>585</v>
      </c>
      <c r="C92" s="709" t="s">
        <v>580</v>
      </c>
      <c r="D92" s="709" t="s">
        <v>581</v>
      </c>
      <c r="E92" s="709" t="s">
        <v>582</v>
      </c>
      <c r="F92" s="709" t="s">
        <v>583</v>
      </c>
      <c r="G92" s="709" t="s">
        <v>584</v>
      </c>
      <c r="H92" s="675"/>
      <c r="I92" s="675"/>
      <c r="J92" s="675"/>
      <c r="K92" s="676"/>
      <c r="L92" s="677"/>
      <c r="M92" s="678"/>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80">
        <v>100</v>
      </c>
      <c r="D93" s="680">
        <f>C93-$K19</f>
        <v>97</v>
      </c>
      <c r="E93" s="680">
        <f>D93-$K19</f>
        <v>94</v>
      </c>
      <c r="F93" s="680">
        <f>E93-$K19</f>
        <v>91</v>
      </c>
      <c r="G93" s="680">
        <f>F93-$K19</f>
        <v>88</v>
      </c>
      <c r="H93" s="680"/>
      <c r="I93" s="680"/>
      <c r="J93" s="680"/>
      <c r="K93" s="680"/>
      <c r="L93" s="680"/>
      <c r="M93" s="681"/>
      <c r="N93" s="2167"/>
      <c r="O93" s="2167"/>
      <c r="P93" s="2166"/>
      <c r="Q93" s="2159"/>
      <c r="R93" s="2146"/>
      <c r="S93" s="2146"/>
      <c r="T93" s="2146"/>
      <c r="U93" s="2146"/>
      <c r="V93" s="2146"/>
      <c r="W93" s="2146"/>
      <c r="X93" s="2146"/>
      <c r="Y93" s="2146"/>
      <c r="Z93" s="2146"/>
      <c r="AA93" s="2146"/>
      <c r="AB93" s="2146"/>
      <c r="AC93" s="2146"/>
    </row>
    <row r="94" spans="1:29" ht="15.75" thickTop="1">
      <c r="A94" s="670"/>
      <c r="B94" s="674" t="s">
        <v>586</v>
      </c>
      <c r="C94" s="709" t="s">
        <v>580</v>
      </c>
      <c r="D94" s="709" t="s">
        <v>581</v>
      </c>
      <c r="E94" s="709" t="s">
        <v>582</v>
      </c>
      <c r="F94" s="709" t="s">
        <v>583</v>
      </c>
      <c r="G94" s="709" t="s">
        <v>584</v>
      </c>
      <c r="H94" s="675"/>
      <c r="I94" s="675"/>
      <c r="J94" s="675"/>
      <c r="K94" s="676"/>
      <c r="L94" s="677"/>
      <c r="M94" s="678"/>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80">
        <v>100</v>
      </c>
      <c r="D95" s="680">
        <f>C95-$K21</f>
        <v>97</v>
      </c>
      <c r="E95" s="680">
        <f>D95-$K21</f>
        <v>94</v>
      </c>
      <c r="F95" s="680">
        <f>E95-$K21</f>
        <v>91</v>
      </c>
      <c r="G95" s="680">
        <f>F95-$K21</f>
        <v>88</v>
      </c>
      <c r="H95" s="680"/>
      <c r="I95" s="680"/>
      <c r="J95" s="680"/>
      <c r="K95" s="680"/>
      <c r="L95" s="680"/>
      <c r="M95" s="681"/>
      <c r="N95" s="2167"/>
      <c r="O95" s="2167"/>
      <c r="P95" s="2166"/>
      <c r="Q95" s="2159"/>
      <c r="R95" s="2146"/>
      <c r="S95" s="2146"/>
      <c r="T95" s="2146"/>
      <c r="U95" s="2146"/>
      <c r="V95" s="2146"/>
      <c r="W95" s="2146"/>
      <c r="X95" s="2146"/>
      <c r="Y95" s="2146"/>
      <c r="Z95" s="2146"/>
      <c r="AA95" s="2146"/>
      <c r="AB95" s="2146"/>
      <c r="AC95" s="2146"/>
    </row>
    <row r="96" spans="1:29" ht="15.75" thickTop="1">
      <c r="A96" s="670"/>
      <c r="B96" s="674" t="s">
        <v>587</v>
      </c>
      <c r="C96" s="709" t="s">
        <v>580</v>
      </c>
      <c r="D96" s="709" t="s">
        <v>581</v>
      </c>
      <c r="E96" s="709" t="s">
        <v>582</v>
      </c>
      <c r="F96" s="709" t="s">
        <v>583</v>
      </c>
      <c r="G96" s="709" t="s">
        <v>584</v>
      </c>
      <c r="H96" s="675"/>
      <c r="I96" s="675"/>
      <c r="J96" s="675"/>
      <c r="K96" s="676"/>
      <c r="L96" s="677"/>
      <c r="M96" s="678"/>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80">
        <v>100</v>
      </c>
      <c r="D97" s="680">
        <f>C97-$K23</f>
        <v>97</v>
      </c>
      <c r="E97" s="680">
        <f>D97-$K23</f>
        <v>94</v>
      </c>
      <c r="F97" s="680">
        <f>E97-$K23</f>
        <v>91</v>
      </c>
      <c r="G97" s="680">
        <f>F97-$K23</f>
        <v>88</v>
      </c>
      <c r="H97" s="680"/>
      <c r="I97" s="680"/>
      <c r="J97" s="680"/>
      <c r="K97" s="680"/>
      <c r="L97" s="680"/>
      <c r="M97" s="681"/>
      <c r="N97" s="2167"/>
      <c r="O97" s="2167"/>
      <c r="P97" s="2166"/>
      <c r="Q97" s="2159"/>
      <c r="R97" s="2146"/>
      <c r="S97" s="2146"/>
      <c r="T97" s="2146"/>
      <c r="U97" s="2146"/>
      <c r="V97" s="2146"/>
      <c r="W97" s="2146"/>
      <c r="X97" s="2146"/>
      <c r="Y97" s="2146"/>
      <c r="Z97" s="2146"/>
      <c r="AA97" s="2146"/>
      <c r="AB97" s="2146"/>
      <c r="AC97" s="2146"/>
    </row>
    <row r="98" spans="1:29" s="1219" customFormat="1" ht="27.75" thickTop="1">
      <c r="A98" s="710"/>
      <c r="B98" s="674" t="s">
        <v>588</v>
      </c>
      <c r="C98" s="709" t="s">
        <v>580</v>
      </c>
      <c r="D98" s="709" t="s">
        <v>581</v>
      </c>
      <c r="E98" s="709" t="s">
        <v>582</v>
      </c>
      <c r="F98" s="709" t="s">
        <v>583</v>
      </c>
      <c r="G98" s="709" t="s">
        <v>584</v>
      </c>
      <c r="H98" s="709"/>
      <c r="I98" s="709"/>
      <c r="J98" s="709"/>
      <c r="K98" s="709"/>
      <c r="L98" s="711"/>
      <c r="M98" s="712"/>
      <c r="N98" s="2163"/>
      <c r="O98" s="2163"/>
      <c r="P98" s="2166"/>
      <c r="Q98" s="2159"/>
      <c r="R98" s="1994"/>
      <c r="S98" s="1994"/>
      <c r="T98" s="1994"/>
      <c r="U98" s="1994"/>
      <c r="V98" s="1994"/>
      <c r="W98" s="1994"/>
      <c r="X98" s="1994"/>
      <c r="Y98" s="1994"/>
      <c r="Z98" s="1994"/>
      <c r="AA98" s="1994"/>
      <c r="AB98" s="1994"/>
      <c r="AC98" s="1994"/>
    </row>
    <row r="99" spans="1:29" s="1219" customFormat="1" ht="15.75" thickBot="1">
      <c r="A99" s="710"/>
      <c r="B99" s="679"/>
      <c r="C99" s="713">
        <v>100</v>
      </c>
      <c r="D99" s="680">
        <f>C99-$K25</f>
        <v>97</v>
      </c>
      <c r="E99" s="680">
        <f>D99-$K25</f>
        <v>94</v>
      </c>
      <c r="F99" s="680">
        <f>E99-$K25</f>
        <v>91</v>
      </c>
      <c r="G99" s="680">
        <f>F99-$K25</f>
        <v>88</v>
      </c>
      <c r="H99" s="680"/>
      <c r="I99" s="680"/>
      <c r="J99" s="680"/>
      <c r="K99" s="680"/>
      <c r="L99" s="680"/>
      <c r="M99" s="681"/>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10"/>
      <c r="B100" s="674" t="s">
        <v>589</v>
      </c>
      <c r="C100" s="704" t="s">
        <v>580</v>
      </c>
      <c r="D100" s="704" t="s">
        <v>581</v>
      </c>
      <c r="E100" s="704" t="s">
        <v>582</v>
      </c>
      <c r="F100" s="704" t="s">
        <v>583</v>
      </c>
      <c r="G100" s="704" t="s">
        <v>584</v>
      </c>
      <c r="H100" s="709"/>
      <c r="I100" s="709"/>
      <c r="J100" s="709"/>
      <c r="K100" s="709"/>
      <c r="L100" s="709"/>
      <c r="M100" s="712"/>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10"/>
      <c r="B101" s="679"/>
      <c r="C101" s="680">
        <v>100</v>
      </c>
      <c r="D101" s="680">
        <f>C101-$K27</f>
        <v>97</v>
      </c>
      <c r="E101" s="680">
        <f>D101-$K27</f>
        <v>94</v>
      </c>
      <c r="F101" s="680">
        <f>E101-$K27</f>
        <v>91</v>
      </c>
      <c r="G101" s="680">
        <f>F101-$K27</f>
        <v>88</v>
      </c>
      <c r="H101" s="680"/>
      <c r="I101" s="680"/>
      <c r="J101" s="680"/>
      <c r="K101" s="680"/>
      <c r="L101" s="680"/>
      <c r="M101" s="681"/>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8"/>
      <c r="B102" s="1897" t="s">
        <v>2554</v>
      </c>
      <c r="C102" s="704" t="s">
        <v>580</v>
      </c>
      <c r="D102" s="704" t="s">
        <v>581</v>
      </c>
      <c r="E102" s="704" t="s">
        <v>582</v>
      </c>
      <c r="F102" s="704" t="s">
        <v>583</v>
      </c>
      <c r="G102" s="704" t="s">
        <v>584</v>
      </c>
      <c r="H102" s="714"/>
      <c r="I102" s="714"/>
      <c r="J102" s="714"/>
      <c r="K102" s="714"/>
      <c r="L102" s="715"/>
      <c r="M102" s="716"/>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8"/>
      <c r="B104" s="2619" t="s">
        <v>2555</v>
      </c>
      <c r="C104" s="2620" t="s">
        <v>2557</v>
      </c>
      <c r="D104" s="2620" t="s">
        <v>2558</v>
      </c>
      <c r="E104" s="2620" t="s">
        <v>2559</v>
      </c>
      <c r="F104" s="2620" t="s">
        <v>2560</v>
      </c>
      <c r="G104" s="2620" t="s">
        <v>2561</v>
      </c>
      <c r="H104" s="714"/>
      <c r="I104" s="714"/>
      <c r="J104" s="714"/>
      <c r="K104" s="714"/>
      <c r="L104" s="714"/>
      <c r="M104" s="716"/>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8"/>
      <c r="B105" s="682"/>
      <c r="C105" s="680">
        <v>100</v>
      </c>
      <c r="D105" s="680">
        <f>C105-$K31</f>
        <v>99</v>
      </c>
      <c r="E105" s="680">
        <f>D105-$K31</f>
        <v>98</v>
      </c>
      <c r="F105" s="680">
        <f>E105-$K31</f>
        <v>97</v>
      </c>
      <c r="G105" s="680">
        <f>F105-$K31</f>
        <v>96</v>
      </c>
      <c r="H105" s="684"/>
      <c r="I105" s="684"/>
      <c r="J105" s="684"/>
      <c r="K105" s="684"/>
      <c r="L105" s="684"/>
      <c r="M105" s="2612"/>
      <c r="N105" s="2168"/>
      <c r="O105" s="2168"/>
      <c r="P105" s="2169"/>
      <c r="Q105" s="2170"/>
      <c r="R105" s="2171"/>
      <c r="S105" s="2171"/>
      <c r="T105" s="2171"/>
      <c r="U105" s="2171"/>
      <c r="V105" s="2171"/>
      <c r="W105" s="2171"/>
      <c r="X105" s="2171"/>
      <c r="Y105" s="2171"/>
      <c r="Z105" s="2171"/>
      <c r="AA105" s="2171"/>
      <c r="AB105" s="2171"/>
      <c r="AC105" s="2171"/>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5"/>
      <c r="O106" s="2165"/>
      <c r="P106" s="2166"/>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C107-$K33</f>
        <v>99</v>
      </c>
      <c r="E107" s="680">
        <f t="shared" ref="E107:M107" si="21">D107-$K33</f>
        <v>98</v>
      </c>
      <c r="F107" s="680">
        <f t="shared" si="21"/>
        <v>97</v>
      </c>
      <c r="G107" s="680">
        <f t="shared" si="21"/>
        <v>96</v>
      </c>
      <c r="H107" s="680">
        <f t="shared" si="21"/>
        <v>95</v>
      </c>
      <c r="I107" s="680">
        <f t="shared" si="21"/>
        <v>94</v>
      </c>
      <c r="J107" s="680">
        <f t="shared" si="21"/>
        <v>93</v>
      </c>
      <c r="K107" s="680">
        <f t="shared" si="21"/>
        <v>92</v>
      </c>
      <c r="L107" s="680">
        <f t="shared" si="21"/>
        <v>91</v>
      </c>
      <c r="M107" s="680">
        <f t="shared" si="21"/>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0"/>
      <c r="B108" s="674" t="s">
        <v>549</v>
      </c>
      <c r="C108" s="689" t="s">
        <v>2986</v>
      </c>
      <c r="D108" s="689" t="s">
        <v>2987</v>
      </c>
      <c r="E108" s="689" t="s">
        <v>2988</v>
      </c>
      <c r="F108" s="689" t="s">
        <v>2989</v>
      </c>
      <c r="G108" s="689" t="s">
        <v>2990</v>
      </c>
      <c r="H108" s="719"/>
      <c r="I108" s="719"/>
      <c r="J108" s="719"/>
      <c r="K108" s="720"/>
      <c r="L108" s="721"/>
      <c r="M108" s="722"/>
      <c r="N108" s="2165"/>
      <c r="O108" s="2165"/>
      <c r="P108" s="2166"/>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C109-$K34</f>
        <v>99</v>
      </c>
      <c r="E109" s="680">
        <f t="shared" ref="E109:M109" si="22">D109-$K34</f>
        <v>98</v>
      </c>
      <c r="F109" s="680">
        <f t="shared" si="22"/>
        <v>97</v>
      </c>
      <c r="G109" s="680">
        <f t="shared" si="22"/>
        <v>96</v>
      </c>
      <c r="H109" s="680">
        <f t="shared" si="22"/>
        <v>95</v>
      </c>
      <c r="I109" s="680">
        <f t="shared" si="22"/>
        <v>94</v>
      </c>
      <c r="J109" s="680">
        <f t="shared" si="22"/>
        <v>93</v>
      </c>
      <c r="K109" s="680">
        <f t="shared" si="22"/>
        <v>92</v>
      </c>
      <c r="L109" s="680">
        <f t="shared" si="22"/>
        <v>91</v>
      </c>
      <c r="M109" s="680">
        <f t="shared" si="22"/>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0"/>
      <c r="B110" s="674" t="s">
        <v>550</v>
      </c>
      <c r="C110" s="719" t="s">
        <v>2991</v>
      </c>
      <c r="D110" s="719" t="s">
        <v>2992</v>
      </c>
      <c r="E110" s="719" t="s">
        <v>2993</v>
      </c>
      <c r="F110" s="719"/>
      <c r="G110" s="719"/>
      <c r="H110" s="719"/>
      <c r="I110" s="719"/>
      <c r="J110" s="719"/>
      <c r="K110" s="720"/>
      <c r="L110" s="721"/>
      <c r="M110" s="72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80">
        <v>100</v>
      </c>
      <c r="D111" s="680">
        <f>C111-$K36</f>
        <v>100</v>
      </c>
      <c r="E111" s="680">
        <f t="shared" ref="E111:M111" si="23">D111-$K36</f>
        <v>100</v>
      </c>
      <c r="F111" s="680">
        <f t="shared" si="23"/>
        <v>100</v>
      </c>
      <c r="G111" s="680">
        <f t="shared" si="23"/>
        <v>100</v>
      </c>
      <c r="H111" s="680">
        <f t="shared" si="23"/>
        <v>100</v>
      </c>
      <c r="I111" s="680">
        <f t="shared" si="23"/>
        <v>100</v>
      </c>
      <c r="J111" s="680">
        <f t="shared" si="23"/>
        <v>100</v>
      </c>
      <c r="K111" s="680">
        <f t="shared" si="23"/>
        <v>100</v>
      </c>
      <c r="L111" s="680">
        <f t="shared" si="23"/>
        <v>100</v>
      </c>
      <c r="M111" s="680">
        <f t="shared" si="23"/>
        <v>100</v>
      </c>
      <c r="N111" s="2167"/>
      <c r="O111" s="2167"/>
      <c r="P111" s="2166"/>
      <c r="Q111" s="2159"/>
      <c r="R111" s="2146"/>
      <c r="S111" s="2146"/>
      <c r="T111" s="2146"/>
      <c r="U111" s="2146"/>
      <c r="V111" s="2146"/>
      <c r="W111" s="2146"/>
      <c r="X111" s="2146"/>
      <c r="Y111" s="2146"/>
      <c r="Z111" s="2146"/>
      <c r="AA111" s="2146"/>
      <c r="AB111" s="2146"/>
      <c r="AC111" s="2146"/>
    </row>
    <row r="112" spans="1:29" ht="16.5" hidden="1" thickTop="1" thickBot="1">
      <c r="A112" s="670"/>
      <c r="B112" s="682">
        <f>B37</f>
        <v>0</v>
      </c>
      <c r="C112" s="689"/>
      <c r="D112" s="689"/>
      <c r="E112" s="689"/>
      <c r="F112" s="689"/>
      <c r="G112" s="723"/>
      <c r="H112" s="723"/>
      <c r="I112" s="723"/>
      <c r="J112" s="723"/>
      <c r="K112" s="724"/>
      <c r="L112" s="725"/>
      <c r="M112" s="726"/>
      <c r="N112" s="2165"/>
      <c r="O112" s="2165"/>
      <c r="P112" s="2166"/>
      <c r="Q112" s="2159"/>
      <c r="R112" s="2146"/>
      <c r="S112" s="2146"/>
      <c r="T112" s="2146"/>
      <c r="U112" s="2146"/>
      <c r="V112" s="2146"/>
      <c r="W112" s="2146"/>
      <c r="X112" s="2146"/>
      <c r="Y112" s="2146"/>
      <c r="Z112" s="2146"/>
      <c r="AA112" s="2146"/>
      <c r="AB112" s="2146"/>
      <c r="AC112" s="2146"/>
    </row>
    <row r="113" spans="1:29" ht="16.5" hidden="1" thickTop="1" thickBot="1">
      <c r="A113" s="670"/>
      <c r="B113" s="700"/>
      <c r="C113" s="693"/>
      <c r="D113" s="693"/>
      <c r="E113" s="693"/>
      <c r="F113" s="693"/>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ht="15.75" hidden="1" thickTop="1" thickBot="1">
      <c r="A114" s="588"/>
      <c r="B114" s="674">
        <f>B38</f>
        <v>0</v>
      </c>
      <c r="C114" s="662"/>
      <c r="D114" s="662"/>
      <c r="E114" s="662"/>
      <c r="F114" s="662"/>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6.5" hidden="1" thickTop="1" thickBot="1">
      <c r="A115" s="670"/>
      <c r="B115" s="679"/>
      <c r="C115" s="701"/>
      <c r="D115" s="701"/>
      <c r="E115" s="701"/>
      <c r="F115" s="701"/>
      <c r="G115" s="672"/>
      <c r="H115" s="672"/>
      <c r="I115" s="672"/>
      <c r="J115" s="672"/>
      <c r="K115" s="672"/>
      <c r="L115" s="672"/>
      <c r="M115" s="673"/>
      <c r="N115" s="2167"/>
      <c r="O115" s="2167"/>
      <c r="P115" s="2166"/>
      <c r="Q115" s="2159"/>
      <c r="R115" s="2146"/>
      <c r="S115" s="2146"/>
      <c r="T115" s="2146"/>
      <c r="U115" s="2146"/>
      <c r="V115" s="2146"/>
      <c r="W115" s="2146"/>
      <c r="X115" s="2146"/>
      <c r="Y115" s="2146"/>
      <c r="Z115" s="2146"/>
      <c r="AA115" s="2146"/>
      <c r="AB115" s="2146"/>
      <c r="AC115" s="2146"/>
    </row>
    <row r="116" spans="1:29" s="1338" customFormat="1" ht="15.75" hidden="1" thickTop="1" thickBot="1">
      <c r="A116" s="729"/>
      <c r="B116" s="730">
        <f>B39</f>
        <v>0</v>
      </c>
      <c r="C116" s="731"/>
      <c r="D116" s="731"/>
      <c r="E116" s="731"/>
      <c r="F116" s="731"/>
      <c r="G116" s="731"/>
      <c r="H116" s="731"/>
      <c r="I116" s="731"/>
      <c r="J116" s="732"/>
      <c r="K116" s="732"/>
      <c r="L116" s="733"/>
      <c r="M116" s="734"/>
      <c r="N116" s="2168"/>
      <c r="O116" s="2168"/>
      <c r="P116" s="2169"/>
      <c r="Q116" s="2170"/>
      <c r="R116" s="2171"/>
      <c r="S116" s="2171"/>
      <c r="T116" s="2171"/>
      <c r="U116" s="2171"/>
      <c r="V116" s="2171"/>
      <c r="W116" s="2171"/>
      <c r="X116" s="2171"/>
      <c r="Y116" s="2171"/>
      <c r="Z116" s="2171"/>
      <c r="AA116" s="2171"/>
      <c r="AB116" s="2171"/>
      <c r="AC116" s="2171"/>
    </row>
    <row r="117" spans="1:29" s="1338" customFormat="1" ht="16.5" hidden="1" thickTop="1" thickBot="1">
      <c r="A117" s="688"/>
      <c r="B117" s="682"/>
      <c r="C117" s="651"/>
      <c r="D117" s="593"/>
      <c r="E117" s="593"/>
      <c r="F117" s="593"/>
      <c r="G117" s="593"/>
      <c r="H117" s="593"/>
      <c r="I117" s="593"/>
      <c r="J117" s="593"/>
      <c r="K117" s="593"/>
      <c r="L117" s="593"/>
      <c r="M117" s="735"/>
      <c r="N117" s="2167"/>
      <c r="O117" s="2167"/>
      <c r="P117" s="2169"/>
      <c r="Q117" s="2170"/>
      <c r="R117" s="2171"/>
      <c r="S117" s="2171"/>
      <c r="T117" s="2171"/>
      <c r="U117" s="2171"/>
      <c r="V117" s="2171"/>
      <c r="W117" s="2171"/>
      <c r="X117" s="2171"/>
      <c r="Y117" s="2171"/>
      <c r="Z117" s="2171"/>
      <c r="AA117" s="2171"/>
      <c r="AB117" s="2171"/>
      <c r="AC117" s="2171"/>
    </row>
    <row r="118" spans="1:29" ht="29.25" thickTop="1">
      <c r="A118" s="665" t="s">
        <v>552</v>
      </c>
      <c r="B118" s="666" t="s">
        <v>594</v>
      </c>
      <c r="C118" s="705" t="str">
        <f t="shared" ref="C118:L118" si="24">C119&amp;"(含)"&amp;"-"&amp;D119</f>
        <v>0(含)-20000</v>
      </c>
      <c r="D118" s="705" t="str">
        <f t="shared" si="24"/>
        <v>20000(含)-40000</v>
      </c>
      <c r="E118" s="705" t="str">
        <f t="shared" si="24"/>
        <v>40000(含)-60000</v>
      </c>
      <c r="F118" s="705" t="str">
        <f t="shared" si="24"/>
        <v>60000(含)-80000</v>
      </c>
      <c r="G118" s="705" t="str">
        <f t="shared" si="24"/>
        <v>80000(含)-100000</v>
      </c>
      <c r="H118" s="705" t="str">
        <f t="shared" si="24"/>
        <v>100000(含)-120000</v>
      </c>
      <c r="I118" s="705" t="str">
        <f t="shared" si="24"/>
        <v>120000(含)-140000</v>
      </c>
      <c r="J118" s="3117" t="str">
        <f t="shared" si="24"/>
        <v>140000(含)-160000</v>
      </c>
      <c r="K118" s="3117" t="str">
        <f t="shared" si="24"/>
        <v>160000(含)-180000</v>
      </c>
      <c r="L118" s="3118" t="str">
        <f t="shared" si="24"/>
        <v>180000(含)-200000</v>
      </c>
      <c r="M118" s="3119" t="str">
        <f>M119&amp;"(含)"&amp;"-"&amp;P119</f>
        <v>200000(含)-</v>
      </c>
      <c r="N118" s="2165"/>
      <c r="O118" s="2165"/>
      <c r="P118" s="2166"/>
      <c r="Q118" s="2159"/>
      <c r="R118" s="2146"/>
      <c r="S118" s="2146"/>
      <c r="T118" s="2146"/>
      <c r="U118" s="2146"/>
      <c r="V118" s="2146"/>
      <c r="W118" s="2146"/>
      <c r="X118" s="2146"/>
      <c r="Y118" s="2146"/>
      <c r="Z118" s="2146"/>
      <c r="AA118" s="2146"/>
      <c r="AB118" s="2146"/>
      <c r="AC118" s="2146"/>
    </row>
    <row r="119" spans="1:29" ht="15">
      <c r="A119" s="670"/>
      <c r="B119" s="682"/>
      <c r="C119" s="731">
        <v>0</v>
      </c>
      <c r="D119" s="731">
        <v>20000</v>
      </c>
      <c r="E119" s="731">
        <v>40000</v>
      </c>
      <c r="F119" s="731">
        <v>60000</v>
      </c>
      <c r="G119" s="731">
        <v>80000</v>
      </c>
      <c r="H119" s="731">
        <v>100000</v>
      </c>
      <c r="I119" s="731">
        <v>120000</v>
      </c>
      <c r="J119" s="731">
        <v>140000</v>
      </c>
      <c r="K119" s="731">
        <v>160000</v>
      </c>
      <c r="L119" s="731">
        <v>180000</v>
      </c>
      <c r="M119" s="731">
        <v>200000</v>
      </c>
      <c r="N119" s="2165"/>
      <c r="O119" s="2165"/>
      <c r="P119" s="2166"/>
      <c r="Q119" s="2159"/>
      <c r="R119" s="2146"/>
      <c r="S119" s="2146"/>
      <c r="T119" s="2146"/>
      <c r="U119" s="2146"/>
      <c r="V119" s="2146"/>
      <c r="W119" s="2146"/>
      <c r="X119" s="2146"/>
      <c r="Y119" s="2146"/>
      <c r="Z119" s="2146"/>
      <c r="AA119" s="2146"/>
      <c r="AB119" s="2146"/>
      <c r="AC119" s="2146"/>
    </row>
    <row r="120" spans="1:29" ht="15.75" thickBot="1">
      <c r="A120" s="670"/>
      <c r="B120" s="679"/>
      <c r="C120" s="701">
        <v>100</v>
      </c>
      <c r="D120" s="727">
        <v>102</v>
      </c>
      <c r="E120" s="701">
        <v>104</v>
      </c>
      <c r="F120" s="727">
        <v>106</v>
      </c>
      <c r="G120" s="701">
        <v>108</v>
      </c>
      <c r="H120" s="727">
        <v>110</v>
      </c>
      <c r="I120" s="701">
        <v>112</v>
      </c>
      <c r="J120" s="727">
        <v>114</v>
      </c>
      <c r="K120" s="701">
        <v>116</v>
      </c>
      <c r="L120" s="727">
        <v>118</v>
      </c>
      <c r="M120" s="701">
        <v>120</v>
      </c>
      <c r="N120" s="2167"/>
      <c r="O120" s="2167"/>
      <c r="P120" s="2166"/>
      <c r="Q120" s="2159"/>
      <c r="R120" s="2146"/>
      <c r="S120" s="2146"/>
      <c r="T120" s="2146"/>
      <c r="U120" s="2146"/>
      <c r="V120" s="2146"/>
      <c r="W120" s="2146"/>
      <c r="X120" s="2146"/>
      <c r="Y120" s="2146"/>
      <c r="Z120" s="2146"/>
      <c r="AA120" s="2146"/>
      <c r="AB120" s="2146"/>
      <c r="AC120" s="2146"/>
    </row>
    <row r="121" spans="1:29" ht="15" thickTop="1">
      <c r="A121" s="736"/>
      <c r="B121" s="674" t="s">
        <v>595</v>
      </c>
      <c r="C121" s="719" t="s">
        <v>2994</v>
      </c>
      <c r="D121" s="719" t="s">
        <v>2995</v>
      </c>
      <c r="E121" s="719" t="s">
        <v>2996</v>
      </c>
      <c r="F121" s="719" t="s">
        <v>2997</v>
      </c>
      <c r="G121" s="719"/>
      <c r="H121" s="719"/>
      <c r="I121" s="719"/>
      <c r="J121" s="719"/>
      <c r="K121" s="720"/>
      <c r="L121" s="721"/>
      <c r="M121" s="722"/>
      <c r="N121" s="2165"/>
      <c r="O121" s="2165"/>
      <c r="P121" s="2166"/>
      <c r="Q121" s="2159"/>
      <c r="R121" s="2146"/>
      <c r="S121" s="2146"/>
      <c r="T121" s="2146"/>
      <c r="U121" s="2146"/>
      <c r="V121" s="2146"/>
      <c r="W121" s="2146"/>
      <c r="X121" s="2146"/>
      <c r="Y121" s="2146"/>
      <c r="Z121" s="2146"/>
      <c r="AA121" s="2146"/>
      <c r="AB121" s="2146"/>
      <c r="AC121" s="2146"/>
    </row>
    <row r="122" spans="1:29" ht="15.75" thickBot="1">
      <c r="A122" s="670"/>
      <c r="B122" s="679"/>
      <c r="C122" s="680">
        <v>100</v>
      </c>
      <c r="D122" s="680">
        <f t="shared" ref="D122:M122" si="25">C122-$K41</f>
        <v>98</v>
      </c>
      <c r="E122" s="680">
        <f t="shared" si="25"/>
        <v>96</v>
      </c>
      <c r="F122" s="680">
        <f t="shared" si="25"/>
        <v>94</v>
      </c>
      <c r="G122" s="680">
        <f t="shared" si="25"/>
        <v>92</v>
      </c>
      <c r="H122" s="680">
        <f t="shared" si="25"/>
        <v>90</v>
      </c>
      <c r="I122" s="680">
        <f t="shared" si="25"/>
        <v>88</v>
      </c>
      <c r="J122" s="680">
        <f t="shared" si="25"/>
        <v>86</v>
      </c>
      <c r="K122" s="680">
        <f t="shared" si="25"/>
        <v>84</v>
      </c>
      <c r="L122" s="680">
        <f t="shared" si="25"/>
        <v>82</v>
      </c>
      <c r="M122" s="681">
        <f t="shared" si="25"/>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6"/>
      <c r="B123" s="674" t="s">
        <v>596</v>
      </c>
      <c r="C123" s="689" t="s">
        <v>2998</v>
      </c>
      <c r="D123" s="689" t="s">
        <v>2999</v>
      </c>
      <c r="E123" s="689" t="s">
        <v>3000</v>
      </c>
      <c r="F123" s="719"/>
      <c r="G123" s="719"/>
      <c r="H123" s="719"/>
      <c r="I123" s="719"/>
      <c r="J123" s="719"/>
      <c r="K123" s="720"/>
      <c r="L123" s="721"/>
      <c r="M123" s="722"/>
      <c r="N123" s="2165"/>
      <c r="O123" s="2165"/>
      <c r="P123" s="2166"/>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26">C124-$K42</f>
        <v>99</v>
      </c>
      <c r="E124" s="680">
        <f t="shared" si="26"/>
        <v>98</v>
      </c>
      <c r="F124" s="680">
        <f t="shared" si="26"/>
        <v>97</v>
      </c>
      <c r="G124" s="680">
        <f t="shared" si="26"/>
        <v>96</v>
      </c>
      <c r="H124" s="680">
        <f t="shared" si="26"/>
        <v>95</v>
      </c>
      <c r="I124" s="680">
        <f t="shared" si="26"/>
        <v>94</v>
      </c>
      <c r="J124" s="680">
        <f t="shared" si="26"/>
        <v>93</v>
      </c>
      <c r="K124" s="680">
        <f t="shared" si="26"/>
        <v>92</v>
      </c>
      <c r="L124" s="680">
        <f t="shared" si="26"/>
        <v>91</v>
      </c>
      <c r="M124" s="681">
        <f t="shared" si="26"/>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9"/>
      <c r="B125" s="1897" t="s">
        <v>2429</v>
      </c>
      <c r="C125" s="1375" t="s">
        <v>3001</v>
      </c>
      <c r="D125" s="1375" t="s">
        <v>3002</v>
      </c>
      <c r="E125" s="1375" t="s">
        <v>3003</v>
      </c>
      <c r="F125" s="1375" t="s">
        <v>3004</v>
      </c>
      <c r="G125" s="1375" t="s">
        <v>3005</v>
      </c>
      <c r="H125" s="3164" t="s">
        <v>1987</v>
      </c>
      <c r="I125" s="3164" t="s">
        <v>1986</v>
      </c>
      <c r="J125" s="719"/>
      <c r="K125" s="720"/>
      <c r="L125" s="721"/>
      <c r="M125" s="722"/>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8"/>
      <c r="B126" s="679"/>
      <c r="C126" s="680">
        <v>100</v>
      </c>
      <c r="D126" s="680">
        <f>C126-$K43</f>
        <v>99</v>
      </c>
      <c r="E126" s="680">
        <f t="shared" ref="E126:M126" si="27">D126-$K43</f>
        <v>98</v>
      </c>
      <c r="F126" s="680">
        <f t="shared" si="27"/>
        <v>97</v>
      </c>
      <c r="G126" s="680">
        <f t="shared" si="27"/>
        <v>96</v>
      </c>
      <c r="H126" s="680">
        <f t="shared" si="27"/>
        <v>95</v>
      </c>
      <c r="I126" s="680">
        <f t="shared" si="27"/>
        <v>94</v>
      </c>
      <c r="J126" s="680">
        <f t="shared" si="27"/>
        <v>93</v>
      </c>
      <c r="K126" s="680">
        <f t="shared" si="27"/>
        <v>92</v>
      </c>
      <c r="L126" s="680">
        <f t="shared" si="27"/>
        <v>91</v>
      </c>
      <c r="M126" s="681">
        <f t="shared" si="27"/>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6"/>
      <c r="B127" s="674" t="s">
        <v>597</v>
      </c>
      <c r="C127" s="689" t="s">
        <v>580</v>
      </c>
      <c r="D127" s="689" t="s">
        <v>581</v>
      </c>
      <c r="E127" s="719" t="s">
        <v>3010</v>
      </c>
      <c r="F127" s="719" t="s">
        <v>3011</v>
      </c>
      <c r="G127" s="719" t="s">
        <v>3012</v>
      </c>
      <c r="H127" s="719"/>
      <c r="I127" s="719"/>
      <c r="J127" s="719"/>
      <c r="K127" s="720"/>
      <c r="L127" s="721"/>
      <c r="M127" s="722"/>
      <c r="N127" s="2165"/>
      <c r="O127" s="2165"/>
      <c r="P127" s="2166"/>
      <c r="Q127" s="2159"/>
      <c r="R127" s="2146"/>
      <c r="S127" s="2146"/>
      <c r="T127" s="2146"/>
      <c r="U127" s="2146"/>
      <c r="V127" s="2146"/>
      <c r="W127" s="2146"/>
      <c r="X127" s="2146"/>
      <c r="Y127" s="2146"/>
      <c r="Z127" s="2146"/>
      <c r="AA127" s="2146"/>
      <c r="AB127" s="2146"/>
      <c r="AC127" s="2146"/>
    </row>
    <row r="128" spans="1:29" ht="15.75" thickBot="1">
      <c r="A128" s="670"/>
      <c r="B128" s="679"/>
      <c r="C128" s="680">
        <v>100</v>
      </c>
      <c r="D128" s="680">
        <f t="shared" ref="D128:M128" si="28">C128-$K44</f>
        <v>97</v>
      </c>
      <c r="E128" s="680">
        <f t="shared" si="28"/>
        <v>94</v>
      </c>
      <c r="F128" s="680">
        <f t="shared" si="28"/>
        <v>91</v>
      </c>
      <c r="G128" s="680">
        <f t="shared" si="28"/>
        <v>88</v>
      </c>
      <c r="H128" s="680">
        <f t="shared" si="28"/>
        <v>85</v>
      </c>
      <c r="I128" s="680">
        <f t="shared" si="28"/>
        <v>82</v>
      </c>
      <c r="J128" s="680">
        <f t="shared" si="28"/>
        <v>79</v>
      </c>
      <c r="K128" s="680">
        <f t="shared" si="28"/>
        <v>76</v>
      </c>
      <c r="L128" s="680">
        <f t="shared" si="28"/>
        <v>73</v>
      </c>
      <c r="M128" s="681">
        <f t="shared" si="28"/>
        <v>70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6"/>
      <c r="B129" s="674">
        <f>B45</f>
        <v>0</v>
      </c>
      <c r="C129" s="689"/>
      <c r="D129" s="689"/>
      <c r="E129" s="689"/>
      <c r="F129" s="689"/>
      <c r="G129" s="689"/>
      <c r="H129" s="719"/>
      <c r="I129" s="719"/>
      <c r="J129" s="719"/>
      <c r="K129" s="720"/>
      <c r="L129" s="721"/>
      <c r="M129" s="722"/>
      <c r="N129" s="2165"/>
      <c r="O129" s="2165"/>
      <c r="P129" s="2166"/>
      <c r="Q129" s="2159"/>
      <c r="R129" s="2146"/>
      <c r="S129" s="2146"/>
      <c r="T129" s="2146"/>
      <c r="U129" s="2146"/>
      <c r="V129" s="2146"/>
      <c r="W129" s="2146"/>
      <c r="X129" s="2146"/>
      <c r="Y129" s="2146"/>
      <c r="Z129" s="2146"/>
      <c r="AA129" s="2146"/>
      <c r="AB129" s="2146"/>
      <c r="AC129" s="2146"/>
    </row>
    <row r="130" spans="1:29" ht="16.5" hidden="1" thickTop="1" thickBot="1">
      <c r="A130" s="670"/>
      <c r="B130" s="679"/>
      <c r="C130" s="693"/>
      <c r="D130" s="693"/>
      <c r="E130" s="693"/>
      <c r="F130" s="693"/>
      <c r="G130" s="672"/>
      <c r="H130" s="672"/>
      <c r="I130" s="672"/>
      <c r="J130" s="672"/>
      <c r="K130" s="672"/>
      <c r="L130" s="672"/>
      <c r="M130" s="673"/>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6"/>
      <c r="B131" s="674">
        <f>B46</f>
        <v>0</v>
      </c>
      <c r="C131" s="662"/>
      <c r="D131" s="662"/>
      <c r="E131" s="662"/>
      <c r="F131" s="662"/>
      <c r="G131" s="719"/>
      <c r="H131" s="719"/>
      <c r="I131" s="719"/>
      <c r="J131" s="719"/>
      <c r="K131" s="720"/>
      <c r="L131" s="721"/>
      <c r="M131" s="722"/>
      <c r="N131" s="2165"/>
      <c r="O131" s="2165"/>
      <c r="P131" s="2166"/>
      <c r="Q131" s="2159"/>
      <c r="R131" s="2146"/>
      <c r="S131" s="2146"/>
      <c r="T131" s="2146"/>
      <c r="U131" s="2146"/>
      <c r="V131" s="2146"/>
      <c r="W131" s="2146"/>
      <c r="X131" s="2146"/>
      <c r="Y131" s="2146"/>
      <c r="Z131" s="2146"/>
      <c r="AA131" s="2146"/>
      <c r="AB131" s="2146"/>
      <c r="AC131" s="2146"/>
    </row>
    <row r="132" spans="1:29" ht="16.5" hidden="1" thickTop="1" thickBot="1">
      <c r="A132" s="670"/>
      <c r="B132" s="679"/>
      <c r="C132" s="701"/>
      <c r="D132" s="701"/>
      <c r="E132" s="701"/>
      <c r="F132" s="701"/>
      <c r="G132" s="672"/>
      <c r="H132" s="672"/>
      <c r="I132" s="672"/>
      <c r="J132" s="672"/>
      <c r="K132" s="672"/>
      <c r="L132" s="672"/>
      <c r="M132" s="673"/>
      <c r="N132" s="2167"/>
      <c r="O132" s="2167"/>
      <c r="P132" s="2166"/>
      <c r="Q132" s="2159"/>
      <c r="R132" s="2146"/>
      <c r="S132" s="2146"/>
      <c r="T132" s="2146"/>
      <c r="U132" s="2146"/>
      <c r="V132" s="2146"/>
      <c r="W132" s="2146"/>
      <c r="X132" s="2146"/>
      <c r="Y132" s="2146"/>
      <c r="Z132" s="2146"/>
      <c r="AA132" s="2146"/>
      <c r="AB132" s="2146"/>
      <c r="AC132" s="2146"/>
    </row>
    <row r="133" spans="1:29" s="1338" customFormat="1" ht="15" hidden="1" thickTop="1">
      <c r="A133" s="729"/>
      <c r="B133" s="674">
        <f>B47</f>
        <v>0</v>
      </c>
      <c r="C133" s="662"/>
      <c r="D133" s="662"/>
      <c r="E133" s="662"/>
      <c r="F133" s="662"/>
      <c r="G133" s="690"/>
      <c r="H133" s="690"/>
      <c r="I133" s="690"/>
      <c r="J133" s="690"/>
      <c r="K133" s="690"/>
      <c r="L133" s="691"/>
      <c r="M133" s="692"/>
      <c r="N133" s="2168"/>
      <c r="O133" s="2168"/>
      <c r="P133" s="2169"/>
      <c r="Q133" s="2170"/>
      <c r="R133" s="2171"/>
      <c r="S133" s="2171"/>
      <c r="T133" s="2171"/>
      <c r="U133" s="2171"/>
      <c r="V133" s="2171"/>
      <c r="W133" s="2171"/>
      <c r="X133" s="2171"/>
      <c r="Y133" s="2171"/>
      <c r="Z133" s="2171"/>
      <c r="AA133" s="2171"/>
      <c r="AB133" s="2171"/>
      <c r="AC133" s="2171"/>
    </row>
    <row r="134" spans="1:29" s="1338" customFormat="1" ht="16.5" hidden="1" thickTop="1" thickBot="1">
      <c r="A134" s="699"/>
      <c r="B134" s="737"/>
      <c r="C134" s="701"/>
      <c r="D134" s="701"/>
      <c r="E134" s="701"/>
      <c r="F134" s="701"/>
      <c r="G134" s="727"/>
      <c r="H134" s="727"/>
      <c r="I134" s="727"/>
      <c r="J134" s="727"/>
      <c r="K134" s="727"/>
      <c r="L134" s="727"/>
      <c r="M134" s="728"/>
      <c r="N134" s="2168"/>
      <c r="O134" s="2168"/>
      <c r="P134" s="2169"/>
      <c r="Q134" s="2170"/>
      <c r="R134" s="2171"/>
      <c r="S134" s="2171"/>
      <c r="T134" s="2171"/>
      <c r="U134" s="2171"/>
      <c r="V134" s="2171"/>
      <c r="W134" s="2171"/>
      <c r="X134" s="2171"/>
      <c r="Y134" s="2171"/>
      <c r="Z134" s="2171"/>
      <c r="AA134" s="2171"/>
      <c r="AB134" s="2171"/>
      <c r="AC134" s="2171"/>
    </row>
    <row r="135" spans="1:29" s="1587"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C26 I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C18 I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G30 I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14" t="str">
        <f>项目基本情况!B1</f>
        <v>云南省昆明市官渡区官渡街道办事处出让国有建设用地使用权市场价格预评估</v>
      </c>
      <c r="C37" s="3214"/>
      <c r="D37" s="3214"/>
      <c r="E37" s="3214"/>
      <c r="F37" s="3214"/>
      <c r="G37" s="3214"/>
      <c r="H37" s="3214"/>
      <c r="I37" s="3214"/>
    </row>
    <row r="38" spans="1:9">
      <c r="A38" s="1656"/>
      <c r="B38" s="1656"/>
    </row>
    <row r="39" spans="1:9">
      <c r="A39" s="1654" t="s">
        <v>1903</v>
      </c>
      <c r="B39" s="1654" t="s">
        <v>2049</v>
      </c>
    </row>
    <row r="40" spans="1:9">
      <c r="A40" s="1654"/>
      <c r="B40" s="1654">
        <f>项目基本情况!B5</f>
        <v>0</v>
      </c>
    </row>
    <row r="41" spans="1:9">
      <c r="A41" s="1654"/>
      <c r="B41" s="1654"/>
    </row>
    <row r="42" spans="1:9">
      <c r="A42" s="1654" t="s">
        <v>1903</v>
      </c>
      <c r="B42" s="1654" t="s">
        <v>2050</v>
      </c>
    </row>
    <row r="43" spans="1:9">
      <c r="A43" s="1654"/>
      <c r="B43" s="1654" t="s">
        <v>1905</v>
      </c>
    </row>
    <row r="44" spans="1:9">
      <c r="A44" s="1654"/>
      <c r="B44" s="1654"/>
    </row>
    <row r="45" spans="1:9">
      <c r="A45" s="1654" t="s">
        <v>1903</v>
      </c>
      <c r="B45" s="1654" t="s">
        <v>2048</v>
      </c>
    </row>
    <row r="46" spans="1:9" s="1654" customFormat="1" ht="12.75">
      <c r="B46" s="1654" t="str">
        <f>项目基本情况!K4</f>
        <v>王鹏、郑燚</v>
      </c>
    </row>
    <row r="47" spans="1:9">
      <c r="A47" s="1654"/>
      <c r="B47" s="1654"/>
    </row>
    <row r="48" spans="1:9">
      <c r="A48" s="1654" t="s">
        <v>1903</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9" zoomScale="80" zoomScaleNormal="95" zoomScaleSheetLayoutView="80" workbookViewId="0">
      <selection activeCell="C25" sqref="C25"/>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517</v>
      </c>
      <c r="B1" s="505"/>
      <c r="C1" s="506" t="s">
        <v>518</v>
      </c>
      <c r="D1" s="507" t="s">
        <v>519</v>
      </c>
      <c r="E1" s="508"/>
      <c r="F1" s="430"/>
      <c r="G1" s="508"/>
      <c r="H1" s="508"/>
      <c r="I1" s="508"/>
      <c r="J1" s="508"/>
      <c r="K1" s="509"/>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5" t="s">
        <v>467</v>
      </c>
      <c r="B2" s="510">
        <f>F68+E2</f>
        <v>70924</v>
      </c>
      <c r="C2" s="2128"/>
      <c r="D2" s="3185" t="s">
        <v>3226</v>
      </c>
      <c r="E2" s="3186">
        <v>22912</v>
      </c>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12">
        <f>ROUND(B2*10000/'数据-汇总表'!E3,0)</f>
        <v>3265</v>
      </c>
      <c r="C3" s="2062"/>
      <c r="D3" s="259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30"/>
    </row>
    <row r="4" spans="1:30" s="1335" customFormat="1" ht="28.5" customHeight="1">
      <c r="A4" s="513" t="s">
        <v>521</v>
      </c>
      <c r="B4" s="429">
        <f>ROUND(B2*10000/'数据-汇总表'!D3,0)</f>
        <v>16663</v>
      </c>
      <c r="C4" s="2062"/>
      <c r="D4" s="259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0"/>
    </row>
    <row r="5" spans="1:30" s="1335" customFormat="1" ht="28.5" customHeight="1" thickBot="1">
      <c r="A5" s="431"/>
      <c r="B5" s="432">
        <f>ROUND(B2/('数据-汇总表'!D3/666.67),0)</f>
        <v>1111</v>
      </c>
      <c r="C5" s="433"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30"/>
    </row>
    <row r="6" spans="1:30" ht="20.25">
      <c r="A6" s="514" t="s">
        <v>522</v>
      </c>
      <c r="B6" s="515"/>
      <c r="C6" s="3265" t="s">
        <v>523</v>
      </c>
      <c r="D6" s="3266"/>
      <c r="E6" s="3265" t="s">
        <v>524</v>
      </c>
      <c r="F6" s="3266"/>
      <c r="G6" s="3265" t="s">
        <v>525</v>
      </c>
      <c r="H6" s="3266"/>
      <c r="I6" s="3265" t="s">
        <v>526</v>
      </c>
      <c r="J6" s="3266"/>
      <c r="K6" s="516" t="s">
        <v>527</v>
      </c>
      <c r="L6" s="2134"/>
      <c r="M6" s="2133"/>
      <c r="N6" s="2133"/>
      <c r="O6" s="2135"/>
      <c r="P6" s="3269" t="s">
        <v>528</v>
      </c>
      <c r="Q6" s="3270"/>
      <c r="R6" s="3255" t="s">
        <v>524</v>
      </c>
      <c r="S6" s="3256"/>
      <c r="T6" s="3255" t="s">
        <v>525</v>
      </c>
      <c r="U6" s="3256"/>
      <c r="V6" s="3254" t="s">
        <v>526</v>
      </c>
      <c r="W6" s="3254"/>
      <c r="X6" s="1567"/>
      <c r="Y6" s="3255" t="s">
        <v>528</v>
      </c>
      <c r="Z6" s="3256"/>
      <c r="AA6" s="3261" t="s">
        <v>524</v>
      </c>
      <c r="AB6" s="3262" t="s">
        <v>525</v>
      </c>
      <c r="AC6" s="3261" t="s">
        <v>526</v>
      </c>
    </row>
    <row r="7" spans="1:30" ht="48.75" customHeight="1">
      <c r="A7" s="517"/>
      <c r="B7" s="518"/>
      <c r="C7" s="3275" t="s">
        <v>2937</v>
      </c>
      <c r="D7" s="3276"/>
      <c r="E7" s="3431" t="str">
        <f>Sheet1!A8</f>
        <v>昆明市官渡区金马街道办事处</v>
      </c>
      <c r="F7" s="3276"/>
      <c r="G7" s="3431" t="str">
        <f>Sheet1!A7</f>
        <v>官渡区吴井街道办事处</v>
      </c>
      <c r="H7" s="3276"/>
      <c r="I7" s="3431" t="str">
        <f>Sheet1!A10</f>
        <v>昆明市官渡区关上街道办事处</v>
      </c>
      <c r="J7" s="3276"/>
      <c r="K7" s="516"/>
      <c r="L7" s="2134"/>
      <c r="M7" s="2133"/>
      <c r="N7" s="2133"/>
      <c r="O7" s="2135"/>
      <c r="P7" s="3271"/>
      <c r="Q7" s="3272"/>
      <c r="R7" s="3257"/>
      <c r="S7" s="3258"/>
      <c r="T7" s="3257"/>
      <c r="U7" s="3258"/>
      <c r="V7" s="3254"/>
      <c r="W7" s="3254"/>
      <c r="X7" s="1567"/>
      <c r="Y7" s="3257"/>
      <c r="Z7" s="3258"/>
      <c r="AA7" s="3262"/>
      <c r="AB7" s="3262"/>
      <c r="AC7" s="3262"/>
    </row>
    <row r="8" spans="1:30" ht="21" thickBot="1">
      <c r="A8" s="517"/>
      <c r="B8" s="518"/>
      <c r="C8" s="3432" t="s">
        <v>2941</v>
      </c>
      <c r="D8" s="3433"/>
      <c r="E8" s="3432" t="s">
        <v>2941</v>
      </c>
      <c r="F8" s="3433"/>
      <c r="G8" s="3432" t="s">
        <v>2941</v>
      </c>
      <c r="H8" s="3433"/>
      <c r="I8" s="3281" t="s">
        <v>2941</v>
      </c>
      <c r="J8" s="3282"/>
      <c r="K8" s="516" t="s">
        <v>529</v>
      </c>
      <c r="L8" s="2134"/>
      <c r="M8" s="2133"/>
      <c r="N8" s="2133"/>
      <c r="O8" s="2135"/>
      <c r="P8" s="3273"/>
      <c r="Q8" s="3274"/>
      <c r="R8" s="3257"/>
      <c r="S8" s="3258"/>
      <c r="T8" s="3259"/>
      <c r="U8" s="3260"/>
      <c r="V8" s="3254"/>
      <c r="W8" s="3254"/>
      <c r="X8" s="1567"/>
      <c r="Y8" s="3259"/>
      <c r="Z8" s="3260"/>
      <c r="AA8" s="3263"/>
      <c r="AB8" s="3263"/>
      <c r="AC8" s="3263"/>
    </row>
    <row r="9" spans="1:30" s="1219" customFormat="1" ht="21" thickBot="1">
      <c r="A9" s="2936"/>
      <c r="B9" s="2943" t="s">
        <v>530</v>
      </c>
      <c r="C9" s="2935">
        <f>'数据-取费表'!B2</f>
        <v>43187</v>
      </c>
      <c r="D9" s="522">
        <v>100</v>
      </c>
      <c r="E9" s="3179" t="str">
        <f>Sheet1!J8</f>
        <v>2016-02-26</v>
      </c>
      <c r="F9" s="524">
        <f>SUMIF(72:72,YEAR(E9)&amp;"-"&amp;INT((MONTH(E9)+2)/3),73:73)</f>
        <v>88</v>
      </c>
      <c r="G9" s="3179" t="str">
        <f>Sheet1!J7</f>
        <v>2016-08-29</v>
      </c>
      <c r="H9" s="522">
        <f>SUMIF(72:72,YEAR(G9)&amp;"-"&amp;INT((MONTH(G9)+2)/3),73:73)</f>
        <v>91</v>
      </c>
      <c r="I9" s="3179" t="str">
        <f>Sheet1!J10</f>
        <v>2016-06-30</v>
      </c>
      <c r="J9" s="522">
        <f>SUMIF(72:72,YEAR(I9)&amp;"-"&amp;INT((MONTH(I9)+2)/3),73:73)</f>
        <v>89.5</v>
      </c>
      <c r="K9" s="526"/>
      <c r="L9" s="2136"/>
      <c r="M9" s="2133"/>
      <c r="N9" s="2133"/>
      <c r="O9" s="2137"/>
      <c r="P9" s="3251" t="s">
        <v>531</v>
      </c>
      <c r="Q9" s="3264"/>
      <c r="R9" s="1568" t="s">
        <v>8</v>
      </c>
      <c r="S9" s="1569">
        <f t="shared" ref="S9:S17" si="0">F9</f>
        <v>88</v>
      </c>
      <c r="T9" s="1568" t="s">
        <v>8</v>
      </c>
      <c r="U9" s="1569">
        <f t="shared" ref="U9:U17" si="1">H9</f>
        <v>91</v>
      </c>
      <c r="V9" s="1568" t="s">
        <v>8</v>
      </c>
      <c r="W9" s="1569">
        <f t="shared" ref="W9:W17" si="2">J9</f>
        <v>89.5</v>
      </c>
      <c r="X9" s="1570"/>
      <c r="Y9" s="3251" t="s">
        <v>531</v>
      </c>
      <c r="Z9" s="3252"/>
      <c r="AA9" s="1571">
        <f>D9/F9</f>
        <v>1.1363636363636365</v>
      </c>
      <c r="AB9" s="1571">
        <f>D9/H9</f>
        <v>1.098901098901099</v>
      </c>
      <c r="AC9" s="1571">
        <f>D9/J9</f>
        <v>1.1173184357541899</v>
      </c>
    </row>
    <row r="10" spans="1:30" s="1219" customFormat="1" ht="21" thickBot="1">
      <c r="A10" s="2937"/>
      <c r="B10" s="2944" t="s">
        <v>532</v>
      </c>
      <c r="C10" s="857" t="s">
        <v>533</v>
      </c>
      <c r="D10" s="522">
        <v>100</v>
      </c>
      <c r="E10" s="527" t="s">
        <v>2984</v>
      </c>
      <c r="F10" s="524">
        <f>SUMIF(75:75,E10,76:76)-SUMIF(75:75,C10,76:76)+100</f>
        <v>100</v>
      </c>
      <c r="G10" s="527" t="s">
        <v>2984</v>
      </c>
      <c r="H10" s="522">
        <f>SUMIF(75:75,G10,76:76)-SUMIF(75:75,C10,76:76)+100</f>
        <v>100</v>
      </c>
      <c r="I10" s="527" t="s">
        <v>2984</v>
      </c>
      <c r="J10" s="522">
        <f>SUMIF(75:75,I10,76:76)-SUMIF(75:75,C10,76:76)+100</f>
        <v>100</v>
      </c>
      <c r="K10" s="526"/>
      <c r="L10" s="2136"/>
      <c r="M10" s="2133"/>
      <c r="N10" s="2133"/>
      <c r="O10" s="2137"/>
      <c r="P10" s="3251" t="s">
        <v>534</v>
      </c>
      <c r="Q10" s="3252"/>
      <c r="R10" s="1568" t="s">
        <v>8</v>
      </c>
      <c r="S10" s="1569">
        <f t="shared" si="0"/>
        <v>100</v>
      </c>
      <c r="T10" s="1568" t="s">
        <v>8</v>
      </c>
      <c r="U10" s="1569">
        <f t="shared" si="1"/>
        <v>100</v>
      </c>
      <c r="V10" s="1568" t="s">
        <v>8</v>
      </c>
      <c r="W10" s="1569">
        <f t="shared" si="2"/>
        <v>100</v>
      </c>
      <c r="X10" s="1570"/>
      <c r="Y10" s="3251" t="s">
        <v>534</v>
      </c>
      <c r="Z10" s="3252"/>
      <c r="AA10" s="1571">
        <f t="shared" ref="AA10:AA47" si="3">D10/F10</f>
        <v>1</v>
      </c>
      <c r="AB10" s="1571">
        <f t="shared" ref="AB10:AB47" si="4">D10/H10</f>
        <v>1</v>
      </c>
      <c r="AC10" s="1571">
        <f t="shared" ref="AC10:AC47" si="5">D10/J10</f>
        <v>1</v>
      </c>
    </row>
    <row r="11" spans="1:30" s="1219" customFormat="1" ht="20.25">
      <c r="A11" s="2938"/>
      <c r="B11" s="2945" t="s">
        <v>2764</v>
      </c>
      <c r="C11" s="2932" t="s">
        <v>924</v>
      </c>
      <c r="D11" s="253">
        <v>100</v>
      </c>
      <c r="E11" s="2932" t="s">
        <v>924</v>
      </c>
      <c r="F11" s="253">
        <f>SUMIF(77:77,E11,78:78)-SUMIF(77:77,C11,78:78)+100</f>
        <v>100</v>
      </c>
      <c r="G11" s="2932" t="s">
        <v>924</v>
      </c>
      <c r="H11" s="253">
        <f>SUMIF(77:77,G11,78:78)-SUMIF(77:77,C11,78:78)+100</f>
        <v>100</v>
      </c>
      <c r="I11" s="2932" t="s">
        <v>924</v>
      </c>
      <c r="J11" s="253">
        <f>SUMIF(77:77,I11,78:78)-SUMIF(77:77,C11,78:78)+100</f>
        <v>100</v>
      </c>
      <c r="K11" s="526"/>
      <c r="L11" s="2136"/>
      <c r="M11" s="2133"/>
      <c r="N11" s="2133"/>
      <c r="O11" s="2138"/>
      <c r="P11" s="3241" t="s">
        <v>536</v>
      </c>
      <c r="Q11" s="1150" t="str">
        <f t="shared" ref="Q11:Q17" si="6">B11</f>
        <v>用途</v>
      </c>
      <c r="R11" s="1568" t="s">
        <v>8</v>
      </c>
      <c r="S11" s="1569">
        <f t="shared" si="0"/>
        <v>100</v>
      </c>
      <c r="T11" s="1568" t="s">
        <v>8</v>
      </c>
      <c r="U11" s="1569">
        <f t="shared" si="1"/>
        <v>100</v>
      </c>
      <c r="V11" s="1568" t="s">
        <v>8</v>
      </c>
      <c r="W11" s="1569">
        <f t="shared" si="2"/>
        <v>100</v>
      </c>
      <c r="X11" s="1570"/>
      <c r="Y11" s="3253" t="s">
        <v>537</v>
      </c>
      <c r="Z11" s="1149" t="str">
        <f t="shared" ref="Z11:Z17" si="7">Q11</f>
        <v>用途</v>
      </c>
      <c r="AA11" s="1571">
        <f t="shared" si="3"/>
        <v>1</v>
      </c>
      <c r="AB11" s="1571">
        <f t="shared" si="4"/>
        <v>1</v>
      </c>
      <c r="AC11" s="1571">
        <f t="shared" si="5"/>
        <v>1</v>
      </c>
    </row>
    <row r="12" spans="1:30" s="1337" customFormat="1" ht="27">
      <c r="A12" s="2939"/>
      <c r="B12" s="2944" t="s">
        <v>2765</v>
      </c>
      <c r="C12" s="909">
        <f>项目基本情况!D19</f>
        <v>70</v>
      </c>
      <c r="D12" s="254">
        <v>100</v>
      </c>
      <c r="E12" s="531" t="s">
        <v>3061</v>
      </c>
      <c r="F12" s="254">
        <f>ROUND(100/'数据-取费表'!G16,0)</f>
        <v>100</v>
      </c>
      <c r="G12" s="531" t="s">
        <v>3061</v>
      </c>
      <c r="H12" s="254">
        <f>ROUND(100/'数据-取费表'!G16,0)</f>
        <v>100</v>
      </c>
      <c r="I12" s="531" t="s">
        <v>3061</v>
      </c>
      <c r="J12" s="254">
        <f>ROUND(100/'数据-取费表'!G16,0)</f>
        <v>100</v>
      </c>
      <c r="K12" s="532"/>
      <c r="L12" s="2139"/>
      <c r="M12" s="2133"/>
      <c r="N12" s="2133"/>
      <c r="O12" s="2140"/>
      <c r="P12" s="3241"/>
      <c r="Q12" s="1150" t="str">
        <f t="shared" si="6"/>
        <v>土地使用年限（年）</v>
      </c>
      <c r="R12" s="1568" t="s">
        <v>8</v>
      </c>
      <c r="S12" s="1569">
        <f t="shared" si="0"/>
        <v>100</v>
      </c>
      <c r="T12" s="1568" t="s">
        <v>8</v>
      </c>
      <c r="U12" s="1569">
        <f t="shared" si="1"/>
        <v>100</v>
      </c>
      <c r="V12" s="1568" t="s">
        <v>8</v>
      </c>
      <c r="W12" s="1569">
        <f t="shared" si="2"/>
        <v>100</v>
      </c>
      <c r="X12" s="1570"/>
      <c r="Y12" s="3253"/>
      <c r="Z12" s="1149" t="str">
        <f t="shared" si="7"/>
        <v>土地使用年限（年）</v>
      </c>
      <c r="AA12" s="1571">
        <f t="shared" si="3"/>
        <v>1</v>
      </c>
      <c r="AB12" s="1571">
        <f t="shared" si="4"/>
        <v>1</v>
      </c>
      <c r="AC12" s="1571">
        <f t="shared" si="5"/>
        <v>1</v>
      </c>
    </row>
    <row r="13" spans="1:30" ht="20.25">
      <c r="A13" s="2940"/>
      <c r="B13" s="2944" t="s">
        <v>2766</v>
      </c>
      <c r="C13" s="3177">
        <v>3.79</v>
      </c>
      <c r="D13" s="254">
        <v>100</v>
      </c>
      <c r="E13" s="534">
        <v>3.42</v>
      </c>
      <c r="F13" s="254">
        <f>LOOKUP(E13,82:82,83:83)-LOOKUP(C13,82:82,83:83)+100</f>
        <v>100</v>
      </c>
      <c r="G13" s="535">
        <v>5.4</v>
      </c>
      <c r="H13" s="254">
        <f>LOOKUP(G13,82:82,83:83)-LOOKUP(C13,82:82,83:83)+100</f>
        <v>94</v>
      </c>
      <c r="I13" s="534">
        <v>8</v>
      </c>
      <c r="J13" s="254">
        <f>LOOKUP(I13,82:82,83:83)-LOOKUP(C13,82:82,83:83)+100</f>
        <v>85</v>
      </c>
      <c r="K13" s="536">
        <v>3</v>
      </c>
      <c r="L13" s="2141"/>
      <c r="M13" s="2133"/>
      <c r="N13" s="2133"/>
      <c r="O13" s="2142"/>
      <c r="P13" s="3241"/>
      <c r="Q13" s="1150" t="str">
        <f t="shared" si="6"/>
        <v>容积率</v>
      </c>
      <c r="R13" s="1568" t="s">
        <v>8</v>
      </c>
      <c r="S13" s="1569">
        <f t="shared" si="0"/>
        <v>100</v>
      </c>
      <c r="T13" s="1568" t="s">
        <v>8</v>
      </c>
      <c r="U13" s="1569">
        <f t="shared" si="1"/>
        <v>94</v>
      </c>
      <c r="V13" s="1568" t="s">
        <v>8</v>
      </c>
      <c r="W13" s="1569">
        <f t="shared" si="2"/>
        <v>85</v>
      </c>
      <c r="X13" s="1570"/>
      <c r="Y13" s="3253"/>
      <c r="Z13" s="1149" t="str">
        <f t="shared" si="7"/>
        <v>容积率</v>
      </c>
      <c r="AA13" s="1571">
        <f t="shared" si="3"/>
        <v>1</v>
      </c>
      <c r="AB13" s="1571">
        <f t="shared" si="4"/>
        <v>1.0638297872340425</v>
      </c>
      <c r="AC13" s="1571">
        <f t="shared" si="5"/>
        <v>1.1764705882352942</v>
      </c>
    </row>
    <row r="14" spans="1:30" s="1219" customFormat="1" ht="21" thickBot="1">
      <c r="A14" s="2937"/>
      <c r="B14" s="2946" t="s">
        <v>2767</v>
      </c>
      <c r="C14" s="3210" t="s">
        <v>3261</v>
      </c>
      <c r="D14" s="539">
        <v>100</v>
      </c>
      <c r="E14" s="3210" t="s">
        <v>3261</v>
      </c>
      <c r="F14" s="254">
        <f>SUMIF(84:84,E14,85:85)-SUMIF(84:84,C14,85:85)+100</f>
        <v>100</v>
      </c>
      <c r="G14" s="3210" t="s">
        <v>3261</v>
      </c>
      <c r="H14" s="254">
        <f>SUMIF(84:84,G14,85:85)-SUMIF(84:84,C14,85:85)+100</f>
        <v>100</v>
      </c>
      <c r="I14" s="3210" t="s">
        <v>3261</v>
      </c>
      <c r="J14" s="254">
        <f>SUMIF(84:84,I14,85:85)-SUMIF(84:84,C14,85:85)+100</f>
        <v>100</v>
      </c>
      <c r="K14" s="532"/>
      <c r="L14" s="2136"/>
      <c r="M14" s="2133"/>
      <c r="N14" s="2133"/>
      <c r="O14" s="2138"/>
      <c r="P14" s="3241"/>
      <c r="Q14" s="1150" t="str">
        <f t="shared" si="6"/>
        <v>配建</v>
      </c>
      <c r="R14" s="1568" t="s">
        <v>8</v>
      </c>
      <c r="S14" s="1569">
        <f t="shared" si="0"/>
        <v>100</v>
      </c>
      <c r="T14" s="1568" t="s">
        <v>8</v>
      </c>
      <c r="U14" s="1569">
        <f t="shared" si="1"/>
        <v>100</v>
      </c>
      <c r="V14" s="1568" t="s">
        <v>8</v>
      </c>
      <c r="W14" s="1569">
        <f t="shared" si="2"/>
        <v>100</v>
      </c>
      <c r="X14" s="1570"/>
      <c r="Y14" s="3253"/>
      <c r="Z14" s="1149" t="str">
        <f t="shared" si="7"/>
        <v>配建</v>
      </c>
      <c r="AA14" s="1571">
        <f>D14/F14</f>
        <v>1</v>
      </c>
      <c r="AB14" s="1571">
        <f>D14/H14</f>
        <v>1</v>
      </c>
      <c r="AC14" s="1571">
        <f>D14/J14</f>
        <v>1</v>
      </c>
    </row>
    <row r="15" spans="1:30" ht="20.25" hidden="1" customHeight="1">
      <c r="A15" s="2941"/>
      <c r="B15" s="2947"/>
      <c r="C15" s="911"/>
      <c r="D15" s="541">
        <v>100</v>
      </c>
      <c r="E15" s="542"/>
      <c r="F15" s="254">
        <f>SUMIF(86:86,E15,87:87)-SUMIF(86:86,C15,87:87)+100</f>
        <v>100</v>
      </c>
      <c r="G15" s="543"/>
      <c r="H15" s="541">
        <f>SUMIF(86:86,G15,87:87)-SUMIF(86:86,C15,87:87)+100</f>
        <v>100</v>
      </c>
      <c r="I15" s="543"/>
      <c r="J15" s="541">
        <f>SUMIF(86:86,I15,87:87)-SUMIF(86:86,C15,87:87)+100</f>
        <v>100</v>
      </c>
      <c r="K15" s="532"/>
      <c r="L15" s="2143"/>
      <c r="M15" s="2133"/>
      <c r="N15" s="2133"/>
      <c r="O15" s="2142"/>
      <c r="P15" s="3241"/>
      <c r="Q15" s="1150">
        <f t="shared" si="6"/>
        <v>0</v>
      </c>
      <c r="R15" s="1568" t="s">
        <v>8</v>
      </c>
      <c r="S15" s="1569">
        <f t="shared" si="0"/>
        <v>100</v>
      </c>
      <c r="T15" s="1568" t="s">
        <v>8</v>
      </c>
      <c r="U15" s="1569">
        <f t="shared" si="1"/>
        <v>100</v>
      </c>
      <c r="V15" s="1568" t="s">
        <v>8</v>
      </c>
      <c r="W15" s="1569">
        <f t="shared" si="2"/>
        <v>100</v>
      </c>
      <c r="X15" s="1570"/>
      <c r="Y15" s="3253"/>
      <c r="Z15" s="1149">
        <f t="shared" si="7"/>
        <v>0</v>
      </c>
      <c r="AA15" s="1571">
        <f>D15/F15</f>
        <v>1</v>
      </c>
      <c r="AB15" s="1571">
        <f>D15/H15</f>
        <v>1</v>
      </c>
      <c r="AC15" s="1571">
        <f>D15/J15</f>
        <v>1</v>
      </c>
    </row>
    <row r="16" spans="1:30" ht="21" hidden="1" customHeight="1" thickBot="1">
      <c r="A16" s="2942"/>
      <c r="B16" s="2948"/>
      <c r="C16" s="914"/>
      <c r="D16" s="547">
        <v>100</v>
      </c>
      <c r="E16" s="542"/>
      <c r="F16" s="547">
        <f>SUMIF(88:88,E16,89:89)-SUMIF(88:88,C16,89:89)+100</f>
        <v>100</v>
      </c>
      <c r="G16" s="543"/>
      <c r="H16" s="547">
        <f>SUMIF(88:88,G16,89:89)-SUMIF(88:88,C16,89:89)+100</f>
        <v>100</v>
      </c>
      <c r="I16" s="543"/>
      <c r="J16" s="547">
        <f>SUMIF(88:88,I16,89:89)-SUMIF(88:88,C16,89:89)+100</f>
        <v>100</v>
      </c>
      <c r="K16" s="532"/>
      <c r="L16" s="2143"/>
      <c r="M16" s="2133"/>
      <c r="N16" s="2133"/>
      <c r="O16" s="2142"/>
      <c r="P16" s="3241"/>
      <c r="Q16" s="1150">
        <f t="shared" si="6"/>
        <v>0</v>
      </c>
      <c r="R16" s="1568" t="s">
        <v>8</v>
      </c>
      <c r="S16" s="1569">
        <f t="shared" si="0"/>
        <v>100</v>
      </c>
      <c r="T16" s="1568" t="s">
        <v>8</v>
      </c>
      <c r="U16" s="1569">
        <f t="shared" si="1"/>
        <v>100</v>
      </c>
      <c r="V16" s="1568" t="s">
        <v>8</v>
      </c>
      <c r="W16" s="1569">
        <f t="shared" si="2"/>
        <v>100</v>
      </c>
      <c r="X16" s="1570"/>
      <c r="Y16" s="3253"/>
      <c r="Z16" s="1149">
        <f t="shared" si="7"/>
        <v>0</v>
      </c>
      <c r="AA16" s="1571">
        <f>D16/F16</f>
        <v>1</v>
      </c>
      <c r="AB16" s="1571">
        <f>D16/H16</f>
        <v>1</v>
      </c>
      <c r="AC16" s="1571">
        <f>D16/J16</f>
        <v>1</v>
      </c>
    </row>
    <row r="17" spans="1:29" ht="99.75">
      <c r="A17" s="2934" t="s">
        <v>2762</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3"/>
      <c r="H17" s="550">
        <f>SUMIF(90:90,G18,91:91)-SUMIF(90:90,C18,91:91)+100</f>
        <v>100</v>
      </c>
      <c r="I17" s="553"/>
      <c r="J17" s="550">
        <f>SUMIF(90:90,I18,91:91)-SUMIF(90:90,C18,91:91)+100</f>
        <v>100</v>
      </c>
      <c r="K17" s="536">
        <v>2</v>
      </c>
      <c r="L17" s="2143"/>
      <c r="M17" s="2133"/>
      <c r="N17" s="2133"/>
      <c r="O17" s="2142"/>
      <c r="P17" s="3246" t="s">
        <v>541</v>
      </c>
      <c r="Q17" s="1572" t="str">
        <f t="shared" si="6"/>
        <v>居住社区成熟度</v>
      </c>
      <c r="R17" s="1573" t="s">
        <v>8</v>
      </c>
      <c r="S17" s="1574">
        <f t="shared" si="0"/>
        <v>100</v>
      </c>
      <c r="T17" s="1573" t="s">
        <v>8</v>
      </c>
      <c r="U17" s="1574">
        <f t="shared" si="1"/>
        <v>100</v>
      </c>
      <c r="V17" s="1573" t="s">
        <v>8</v>
      </c>
      <c r="W17" s="1574">
        <f t="shared" si="2"/>
        <v>100</v>
      </c>
      <c r="X17" s="1567"/>
      <c r="Y17" s="3246" t="s">
        <v>541</v>
      </c>
      <c r="Z17" s="1575" t="str">
        <f t="shared" si="7"/>
        <v>居住社区成熟度</v>
      </c>
      <c r="AA17" s="1576">
        <f t="shared" si="3"/>
        <v>1</v>
      </c>
      <c r="AB17" s="1576">
        <f t="shared" si="4"/>
        <v>1</v>
      </c>
      <c r="AC17" s="1576">
        <f t="shared" si="5"/>
        <v>1</v>
      </c>
    </row>
    <row r="18" spans="1:29" ht="20.25">
      <c r="A18" s="533"/>
      <c r="B18" s="554"/>
      <c r="C18" s="555" t="s">
        <v>3052</v>
      </c>
      <c r="D18" s="558"/>
      <c r="E18" s="555" t="s">
        <v>3052</v>
      </c>
      <c r="F18" s="556"/>
      <c r="G18" s="555" t="s">
        <v>3052</v>
      </c>
      <c r="H18" s="560"/>
      <c r="I18" s="555" t="s">
        <v>3052</v>
      </c>
      <c r="J18" s="556"/>
      <c r="K18" s="532"/>
      <c r="L18" s="2143"/>
      <c r="M18" s="2133"/>
      <c r="N18" s="2133"/>
      <c r="O18" s="2142"/>
      <c r="P18" s="3247"/>
      <c r="Q18" s="1572"/>
      <c r="R18" s="1573"/>
      <c r="S18" s="1574"/>
      <c r="T18" s="1573"/>
      <c r="U18" s="1574"/>
      <c r="V18" s="1573"/>
      <c r="W18" s="1574"/>
      <c r="X18" s="1567"/>
      <c r="Y18" s="3247"/>
      <c r="Z18" s="1575"/>
      <c r="AA18" s="1576">
        <v>1</v>
      </c>
      <c r="AB18" s="1576">
        <v>1</v>
      </c>
      <c r="AC18" s="1576">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100</v>
      </c>
      <c r="G19" s="565"/>
      <c r="H19" s="566">
        <f>SUMIF(92:92,G20,93:93)-SUMIF(92:92,C20,93:93)+100</f>
        <v>102</v>
      </c>
      <c r="I19" s="565"/>
      <c r="J19" s="566">
        <f>SUMIF(92:92,I20,93:93)-SUMIF(92:92,C20,93:93)+100</f>
        <v>102</v>
      </c>
      <c r="K19" s="536">
        <v>2</v>
      </c>
      <c r="L19" s="2143"/>
      <c r="M19" s="2133"/>
      <c r="N19" s="2133"/>
      <c r="O19" s="2142"/>
      <c r="P19" s="3247"/>
      <c r="Q19" s="1572" t="str">
        <f>B19</f>
        <v>商业繁华度</v>
      </c>
      <c r="R19" s="1573" t="s">
        <v>8</v>
      </c>
      <c r="S19" s="1574">
        <f>F19</f>
        <v>100</v>
      </c>
      <c r="T19" s="1573" t="s">
        <v>8</v>
      </c>
      <c r="U19" s="1574">
        <f>H19</f>
        <v>102</v>
      </c>
      <c r="V19" s="1573" t="s">
        <v>8</v>
      </c>
      <c r="W19" s="1574">
        <f>J19</f>
        <v>102</v>
      </c>
      <c r="X19" s="1567"/>
      <c r="Y19" s="3247"/>
      <c r="Z19" s="1575" t="str">
        <f>Q19</f>
        <v>商业繁华度</v>
      </c>
      <c r="AA19" s="1576">
        <f t="shared" si="3"/>
        <v>1</v>
      </c>
      <c r="AB19" s="1576">
        <f t="shared" si="4"/>
        <v>0.98039215686274506</v>
      </c>
      <c r="AC19" s="1576">
        <f t="shared" si="5"/>
        <v>0.98039215686274506</v>
      </c>
    </row>
    <row r="20" spans="1:29" ht="20.25">
      <c r="A20" s="533"/>
      <c r="B20" s="567"/>
      <c r="C20" s="555" t="s">
        <v>3063</v>
      </c>
      <c r="D20" s="564"/>
      <c r="E20" s="555" t="s">
        <v>3063</v>
      </c>
      <c r="F20" s="560"/>
      <c r="G20" s="555" t="s">
        <v>3052</v>
      </c>
      <c r="H20" s="556"/>
      <c r="I20" s="555" t="s">
        <v>3052</v>
      </c>
      <c r="J20" s="556"/>
      <c r="K20" s="532"/>
      <c r="L20" s="2143"/>
      <c r="M20" s="2133"/>
      <c r="N20" s="2133"/>
      <c r="O20" s="2142"/>
      <c r="P20" s="3247"/>
      <c r="Q20" s="1572"/>
      <c r="R20" s="1573"/>
      <c r="S20" s="1574"/>
      <c r="T20" s="1573"/>
      <c r="U20" s="1574"/>
      <c r="V20" s="1573"/>
      <c r="W20" s="1574"/>
      <c r="X20" s="1567"/>
      <c r="Y20" s="3247"/>
      <c r="Z20" s="1575"/>
      <c r="AA20" s="1576">
        <v>1</v>
      </c>
      <c r="AB20" s="1576">
        <v>1</v>
      </c>
      <c r="AC20" s="1576">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3"/>
      <c r="H21" s="560">
        <f>SUMIF(94:94,G22,95:95)-SUMIF(94:94,C22,95:95)+100</f>
        <v>100</v>
      </c>
      <c r="I21" s="573"/>
      <c r="J21" s="560">
        <f>SUMIF(94:94,I22,95:95)-SUMIF(94:94,C22,95:95)+100</f>
        <v>100</v>
      </c>
      <c r="K21" s="536">
        <v>3</v>
      </c>
      <c r="L21" s="2143"/>
      <c r="M21" s="2133"/>
      <c r="N21" s="2133"/>
      <c r="O21" s="2142"/>
      <c r="P21" s="3247"/>
      <c r="Q21" s="1572" t="str">
        <f>B21</f>
        <v>办公集聚程度</v>
      </c>
      <c r="R21" s="1573" t="s">
        <v>8</v>
      </c>
      <c r="S21" s="1574">
        <f>F21</f>
        <v>100</v>
      </c>
      <c r="T21" s="1573" t="s">
        <v>8</v>
      </c>
      <c r="U21" s="1574">
        <f>H21</f>
        <v>100</v>
      </c>
      <c r="V21" s="1573" t="s">
        <v>8</v>
      </c>
      <c r="W21" s="1574">
        <f>J21</f>
        <v>100</v>
      </c>
      <c r="X21" s="1567"/>
      <c r="Y21" s="3247"/>
      <c r="Z21" s="1575" t="str">
        <f>Q21</f>
        <v>办公集聚程度</v>
      </c>
      <c r="AA21" s="1576">
        <f t="shared" si="3"/>
        <v>1</v>
      </c>
      <c r="AB21" s="1576">
        <f t="shared" si="4"/>
        <v>1</v>
      </c>
      <c r="AC21" s="1576">
        <f t="shared" si="5"/>
        <v>1</v>
      </c>
    </row>
    <row r="22" spans="1:29" ht="20.25" hidden="1">
      <c r="A22" s="533"/>
      <c r="B22" s="567"/>
      <c r="C22" s="555"/>
      <c r="D22" s="558"/>
      <c r="E22" s="555"/>
      <c r="F22" s="556"/>
      <c r="G22" s="555"/>
      <c r="H22" s="556"/>
      <c r="I22" s="555"/>
      <c r="J22" s="556"/>
      <c r="K22" s="532"/>
      <c r="L22" s="2143"/>
      <c r="M22" s="2133"/>
      <c r="N22" s="2133"/>
      <c r="O22" s="2142"/>
      <c r="P22" s="3247"/>
      <c r="Q22" s="1572"/>
      <c r="R22" s="1573"/>
      <c r="S22" s="1574"/>
      <c r="T22" s="1573"/>
      <c r="U22" s="1574"/>
      <c r="V22" s="1573"/>
      <c r="W22" s="1574"/>
      <c r="X22" s="1567"/>
      <c r="Y22" s="3247"/>
      <c r="Z22" s="1575"/>
      <c r="AA22" s="1576">
        <v>1</v>
      </c>
      <c r="AB22" s="1576">
        <v>1</v>
      </c>
      <c r="AC22" s="1576">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100</v>
      </c>
      <c r="G23" s="565"/>
      <c r="H23" s="560">
        <f>SUMIF(96:96,G24,97:97)-SUMIF(96:96,C24,97:97)+100</f>
        <v>100</v>
      </c>
      <c r="I23" s="565"/>
      <c r="J23" s="560">
        <f>SUMIF(96:96,I24,97:97)-SUMIF(96:96,C24,97:97)+100</f>
        <v>100</v>
      </c>
      <c r="K23" s="536">
        <v>2</v>
      </c>
      <c r="L23" s="2143"/>
      <c r="M23" s="2133"/>
      <c r="N23" s="2133"/>
      <c r="O23" s="2142"/>
      <c r="P23" s="3247"/>
      <c r="Q23" s="1572" t="str">
        <f>B23</f>
        <v>交通便捷度</v>
      </c>
      <c r="R23" s="1573" t="s">
        <v>8</v>
      </c>
      <c r="S23" s="1574">
        <f>F23</f>
        <v>100</v>
      </c>
      <c r="T23" s="1573" t="s">
        <v>8</v>
      </c>
      <c r="U23" s="1574">
        <f>H23</f>
        <v>100</v>
      </c>
      <c r="V23" s="1573" t="s">
        <v>8</v>
      </c>
      <c r="W23" s="1574">
        <f>J23</f>
        <v>100</v>
      </c>
      <c r="X23" s="1567"/>
      <c r="Y23" s="3247"/>
      <c r="Z23" s="1575" t="str">
        <f>Q23</f>
        <v>交通便捷度</v>
      </c>
      <c r="AA23" s="1576">
        <f t="shared" si="3"/>
        <v>1</v>
      </c>
      <c r="AB23" s="1576">
        <f t="shared" si="4"/>
        <v>1</v>
      </c>
      <c r="AC23" s="1576">
        <f t="shared" si="5"/>
        <v>1</v>
      </c>
    </row>
    <row r="24" spans="1:29" ht="20.25">
      <c r="A24" s="533"/>
      <c r="B24" s="579"/>
      <c r="C24" s="555" t="s">
        <v>3052</v>
      </c>
      <c r="D24" s="558"/>
      <c r="E24" s="555" t="s">
        <v>3052</v>
      </c>
      <c r="F24" s="556"/>
      <c r="G24" s="555" t="s">
        <v>3052</v>
      </c>
      <c r="H24" s="556"/>
      <c r="I24" s="555" t="s">
        <v>3052</v>
      </c>
      <c r="J24" s="556"/>
      <c r="K24" s="532"/>
      <c r="L24" s="2143"/>
      <c r="M24" s="2133"/>
      <c r="N24" s="2133"/>
      <c r="O24" s="2142"/>
      <c r="P24" s="3247"/>
      <c r="Q24" s="1572"/>
      <c r="R24" s="1573"/>
      <c r="S24" s="1574"/>
      <c r="T24" s="1573"/>
      <c r="U24" s="1574"/>
      <c r="V24" s="1573"/>
      <c r="W24" s="1574"/>
      <c r="X24" s="1567"/>
      <c r="Y24" s="3247"/>
      <c r="Z24" s="1575"/>
      <c r="AA24" s="1576">
        <v>1</v>
      </c>
      <c r="AB24" s="1576">
        <v>1</v>
      </c>
      <c r="AC24" s="1576">
        <v>1</v>
      </c>
    </row>
    <row r="25" spans="1:29" ht="27">
      <c r="A25" s="517"/>
      <c r="B25" s="258" t="s">
        <v>545</v>
      </c>
      <c r="C25" s="574">
        <f>估价对象房地状况!C19</f>
        <v>0</v>
      </c>
      <c r="D25" s="564">
        <v>100</v>
      </c>
      <c r="E25" s="565"/>
      <c r="F25" s="566">
        <f>SUMIF(98:98,E26,99:99)-SUMIF(98:98,C26,99:99)+100</f>
        <v>100</v>
      </c>
      <c r="G25" s="565"/>
      <c r="H25" s="560">
        <f>SUMIF(98:98,G26,99:99)-SUMIF(98:98,C26,99:99)+100</f>
        <v>100</v>
      </c>
      <c r="I25" s="565"/>
      <c r="J25" s="560">
        <f>SUMIF(98:98,I26,99:99)-SUMIF(98:98,C26,99:99)+100</f>
        <v>100</v>
      </c>
      <c r="K25" s="536">
        <v>5</v>
      </c>
      <c r="L25" s="2143"/>
      <c r="M25" s="2133"/>
      <c r="N25" s="2133"/>
      <c r="O25" s="2142"/>
      <c r="P25" s="3247"/>
      <c r="Q25" s="1572" t="str">
        <f t="shared" ref="Q25:Q39" si="8">B25</f>
        <v>区域土地利用方向</v>
      </c>
      <c r="R25" s="1573" t="s">
        <v>8</v>
      </c>
      <c r="S25" s="1574">
        <f>F25</f>
        <v>100</v>
      </c>
      <c r="T25" s="1573" t="s">
        <v>8</v>
      </c>
      <c r="U25" s="1574">
        <f>H25</f>
        <v>100</v>
      </c>
      <c r="V25" s="1573" t="s">
        <v>8</v>
      </c>
      <c r="W25" s="1574">
        <f>J25</f>
        <v>100</v>
      </c>
      <c r="X25" s="1567"/>
      <c r="Y25" s="3247"/>
      <c r="Z25" s="1575" t="str">
        <f>Q25</f>
        <v>区域土地利用方向</v>
      </c>
      <c r="AA25" s="1576">
        <f t="shared" si="3"/>
        <v>1</v>
      </c>
      <c r="AB25" s="1576">
        <f t="shared" si="4"/>
        <v>1</v>
      </c>
      <c r="AC25" s="1576">
        <f t="shared" si="5"/>
        <v>1</v>
      </c>
    </row>
    <row r="26" spans="1:29" ht="20.25">
      <c r="A26" s="517"/>
      <c r="B26" s="1006"/>
      <c r="C26" s="555" t="s">
        <v>3013</v>
      </c>
      <c r="D26" s="558"/>
      <c r="E26" s="555" t="s">
        <v>3013</v>
      </c>
      <c r="F26" s="556"/>
      <c r="G26" s="555" t="s">
        <v>3013</v>
      </c>
      <c r="H26" s="556"/>
      <c r="I26" s="555" t="s">
        <v>3013</v>
      </c>
      <c r="J26" s="556"/>
      <c r="K26" s="532"/>
      <c r="L26" s="2143"/>
      <c r="M26" s="2133"/>
      <c r="N26" s="2133"/>
      <c r="O26" s="2142"/>
      <c r="P26" s="3247"/>
      <c r="Q26" s="1572"/>
      <c r="R26" s="1573"/>
      <c r="S26" s="1574"/>
      <c r="T26" s="1573"/>
      <c r="U26" s="1574"/>
      <c r="V26" s="1573"/>
      <c r="W26" s="1574"/>
      <c r="X26" s="1567"/>
      <c r="Y26" s="3247"/>
      <c r="Z26" s="1575"/>
      <c r="AA26" s="1576"/>
      <c r="AB26" s="1576"/>
      <c r="AC26" s="1576"/>
    </row>
    <row r="27" spans="1:29" ht="57">
      <c r="A27" s="517"/>
      <c r="B27" s="579" t="s">
        <v>546</v>
      </c>
      <c r="C27" s="562" t="str">
        <f>估价对象房地状况!C20</f>
        <v>区域自然环境：；人文环境；综合评价环境状况一般</v>
      </c>
      <c r="D27" s="564">
        <v>100</v>
      </c>
      <c r="E27" s="565"/>
      <c r="F27" s="560">
        <f>SUMIF(100:100,E28,101:101)-SUMIF(100:100,C28,101:101)+100</f>
        <v>100</v>
      </c>
      <c r="G27" s="565"/>
      <c r="H27" s="560">
        <f>SUMIF(100:100,G28,101:101)-SUMIF(100:100,C28,101:101)+100</f>
        <v>102</v>
      </c>
      <c r="I27" s="565"/>
      <c r="J27" s="560">
        <f>SUMIF(100:100,I28,101:101)-SUMIF(100:100,C28,101:101)+100</f>
        <v>104</v>
      </c>
      <c r="K27" s="536">
        <v>2</v>
      </c>
      <c r="L27" s="2143"/>
      <c r="M27" s="2133"/>
      <c r="N27" s="2133"/>
      <c r="O27" s="2142"/>
      <c r="P27" s="3247"/>
      <c r="Q27" s="1572" t="str">
        <f t="shared" si="8"/>
        <v>自然及人文环境状况</v>
      </c>
      <c r="R27" s="1573" t="s">
        <v>8</v>
      </c>
      <c r="S27" s="1574">
        <f>F27</f>
        <v>100</v>
      </c>
      <c r="T27" s="1573" t="s">
        <v>8</v>
      </c>
      <c r="U27" s="1574">
        <f>H27</f>
        <v>102</v>
      </c>
      <c r="V27" s="1573" t="s">
        <v>8</v>
      </c>
      <c r="W27" s="1574">
        <f>J27</f>
        <v>104</v>
      </c>
      <c r="X27" s="1567"/>
      <c r="Y27" s="3247"/>
      <c r="Z27" s="1575" t="str">
        <f>Q27</f>
        <v>自然及人文环境状况</v>
      </c>
      <c r="AA27" s="1576">
        <f t="shared" si="3"/>
        <v>1</v>
      </c>
      <c r="AB27" s="1576">
        <f t="shared" si="4"/>
        <v>0.98039215686274506</v>
      </c>
      <c r="AC27" s="1576">
        <f t="shared" si="5"/>
        <v>0.96153846153846156</v>
      </c>
    </row>
    <row r="28" spans="1:29" ht="20.25">
      <c r="A28" s="517"/>
      <c r="B28" s="567"/>
      <c r="C28" s="555" t="s">
        <v>3063</v>
      </c>
      <c r="D28" s="558"/>
      <c r="E28" s="555" t="s">
        <v>3063</v>
      </c>
      <c r="F28" s="556"/>
      <c r="G28" s="555" t="s">
        <v>3052</v>
      </c>
      <c r="H28" s="556"/>
      <c r="I28" s="555" t="s">
        <v>3013</v>
      </c>
      <c r="J28" s="556"/>
      <c r="K28" s="532"/>
      <c r="L28" s="2143"/>
      <c r="M28" s="2133"/>
      <c r="N28" s="2133"/>
      <c r="O28" s="2142"/>
      <c r="P28" s="3247"/>
      <c r="Q28" s="1572"/>
      <c r="R28" s="1573"/>
      <c r="S28" s="1574"/>
      <c r="T28" s="1573"/>
      <c r="U28" s="1574"/>
      <c r="V28" s="1573"/>
      <c r="W28" s="1574"/>
      <c r="X28" s="1567"/>
      <c r="Y28" s="3247"/>
      <c r="Z28" s="1575"/>
      <c r="AA28" s="1576">
        <v>1</v>
      </c>
      <c r="AB28" s="1576">
        <v>1</v>
      </c>
      <c r="AC28" s="1576">
        <v>1</v>
      </c>
    </row>
    <row r="29" spans="1:29" s="1219" customFormat="1" ht="42.75">
      <c r="A29" s="578"/>
      <c r="B29" s="2613" t="s">
        <v>2554</v>
      </c>
      <c r="C29" s="574" t="str">
        <f>估价对象房地状况!C21</f>
        <v>估价对象所在区域公共配套设施齐备情况</v>
      </c>
      <c r="D29" s="564">
        <v>100</v>
      </c>
      <c r="E29" s="565"/>
      <c r="F29" s="560">
        <f>SUMIF(102:102,E30,103:103)-SUMIF(102:102,C30,103:103)+100</f>
        <v>100</v>
      </c>
      <c r="G29" s="565"/>
      <c r="H29" s="560">
        <f>SUMIF(102:102,G30,103:103)-SUMIF(102:102,C30,103:103)+100</f>
        <v>100</v>
      </c>
      <c r="I29" s="565"/>
      <c r="J29" s="560">
        <f>SUMIF(102:102,I30,103:103)-SUMIF(102:102,C30,103:103)+100</f>
        <v>100</v>
      </c>
      <c r="K29" s="536">
        <v>2</v>
      </c>
      <c r="L29" s="2136"/>
      <c r="M29" s="2133"/>
      <c r="N29" s="2133"/>
      <c r="O29" s="2138"/>
      <c r="P29" s="3247"/>
      <c r="Q29" s="1150" t="str">
        <f t="shared" si="8"/>
        <v>公共配套设施</v>
      </c>
      <c r="R29" s="1568" t="s">
        <v>8</v>
      </c>
      <c r="S29" s="1569">
        <f>F29</f>
        <v>100</v>
      </c>
      <c r="T29" s="1568" t="s">
        <v>8</v>
      </c>
      <c r="U29" s="1569">
        <f>H29</f>
        <v>100</v>
      </c>
      <c r="V29" s="1568" t="s">
        <v>8</v>
      </c>
      <c r="W29" s="1569">
        <f>J29</f>
        <v>100</v>
      </c>
      <c r="X29" s="1570"/>
      <c r="Y29" s="3247"/>
      <c r="Z29" s="1149" t="str">
        <f>Q29</f>
        <v>公共配套设施</v>
      </c>
      <c r="AA29" s="1576">
        <f>D29/F29</f>
        <v>1</v>
      </c>
      <c r="AB29" s="1576">
        <f>D29/H29</f>
        <v>1</v>
      </c>
      <c r="AC29" s="1576">
        <f>D29/J29</f>
        <v>1</v>
      </c>
    </row>
    <row r="30" spans="1:29" s="1219" customFormat="1" ht="20.25">
      <c r="A30" s="578"/>
      <c r="B30" s="567"/>
      <c r="C30" s="555" t="s">
        <v>3052</v>
      </c>
      <c r="D30" s="558"/>
      <c r="E30" s="555" t="s">
        <v>3052</v>
      </c>
      <c r="F30" s="556"/>
      <c r="G30" s="555" t="s">
        <v>3052</v>
      </c>
      <c r="H30" s="556"/>
      <c r="I30" s="555" t="s">
        <v>3052</v>
      </c>
      <c r="J30" s="556"/>
      <c r="K30" s="532"/>
      <c r="L30" s="2136"/>
      <c r="M30" s="2133"/>
      <c r="N30" s="2133"/>
      <c r="O30" s="2138"/>
      <c r="P30" s="3247"/>
      <c r="Q30" s="1150"/>
      <c r="R30" s="1568"/>
      <c r="S30" s="1569"/>
      <c r="T30" s="1568"/>
      <c r="U30" s="1569"/>
      <c r="V30" s="1568"/>
      <c r="W30" s="1569"/>
      <c r="X30" s="1570"/>
      <c r="Y30" s="3247"/>
      <c r="Z30" s="1149"/>
      <c r="AA30" s="1576">
        <v>1</v>
      </c>
      <c r="AB30" s="1576">
        <v>1</v>
      </c>
      <c r="AC30" s="1576">
        <v>1</v>
      </c>
    </row>
    <row r="31" spans="1:29" s="1219" customFormat="1" ht="28.5">
      <c r="A31" s="578"/>
      <c r="B31" s="2613" t="s">
        <v>2555</v>
      </c>
      <c r="C31" s="574" t="str">
        <f>估价对象房地状况!C22</f>
        <v>估价对象所在区域基础设施水平</v>
      </c>
      <c r="D31" s="564">
        <v>100</v>
      </c>
      <c r="E31" s="565"/>
      <c r="F31" s="560">
        <f>SUMIF(104:104,E32,105:105)-SUMIF(104:104,C32,105:105)+100</f>
        <v>100</v>
      </c>
      <c r="G31" s="565"/>
      <c r="H31" s="560">
        <f>SUMIF(104:104,G32,105:105)-SUMIF(104:104,C32,105:105)+100</f>
        <v>100</v>
      </c>
      <c r="I31" s="565"/>
      <c r="J31" s="560">
        <f>SUMIF(104:104,I32,105:105)-SUMIF(104:104,C32,105:105)+100</f>
        <v>100</v>
      </c>
      <c r="K31" s="536">
        <v>1</v>
      </c>
      <c r="L31" s="2136"/>
      <c r="M31" s="2133"/>
      <c r="N31" s="2133"/>
      <c r="O31" s="2138"/>
      <c r="P31" s="3247"/>
      <c r="Q31" s="2600" t="str">
        <f>B31</f>
        <v>基础设施水平</v>
      </c>
      <c r="R31" s="1568" t="s">
        <v>8</v>
      </c>
      <c r="S31" s="1569">
        <f>F31</f>
        <v>100</v>
      </c>
      <c r="T31" s="1568" t="s">
        <v>8</v>
      </c>
      <c r="U31" s="1569">
        <f>H31</f>
        <v>100</v>
      </c>
      <c r="V31" s="1568" t="s">
        <v>8</v>
      </c>
      <c r="W31" s="1569">
        <f>J31</f>
        <v>100</v>
      </c>
      <c r="X31" s="1570"/>
      <c r="Y31" s="3247"/>
      <c r="Z31" s="2597" t="str">
        <f>Q31</f>
        <v>基础设施水平</v>
      </c>
      <c r="AA31" s="1576">
        <f>D31/F31</f>
        <v>1</v>
      </c>
      <c r="AB31" s="1576">
        <f>D31/H31</f>
        <v>1</v>
      </c>
      <c r="AC31" s="1576">
        <f>D31/J31</f>
        <v>1</v>
      </c>
    </row>
    <row r="32" spans="1:29" s="1219" customFormat="1" ht="20.25">
      <c r="A32" s="578"/>
      <c r="B32" s="567"/>
      <c r="C32" s="580" t="s">
        <v>3050</v>
      </c>
      <c r="D32" s="558"/>
      <c r="E32" s="580" t="s">
        <v>3050</v>
      </c>
      <c r="F32" s="556"/>
      <c r="G32" s="580" t="s">
        <v>3050</v>
      </c>
      <c r="H32" s="556"/>
      <c r="I32" s="580" t="s">
        <v>3050</v>
      </c>
      <c r="J32" s="556"/>
      <c r="K32" s="532"/>
      <c r="L32" s="2136"/>
      <c r="M32" s="2133"/>
      <c r="N32" s="2133"/>
      <c r="O32" s="2138"/>
      <c r="P32" s="3247"/>
      <c r="Q32" s="2600"/>
      <c r="R32" s="1568"/>
      <c r="S32" s="1569"/>
      <c r="T32" s="1568"/>
      <c r="U32" s="1569"/>
      <c r="V32" s="1568"/>
      <c r="W32" s="1569"/>
      <c r="X32" s="1570"/>
      <c r="Y32" s="3247"/>
      <c r="Z32" s="2597"/>
      <c r="AA32" s="1576">
        <v>1</v>
      </c>
      <c r="AB32" s="1576">
        <v>1</v>
      </c>
      <c r="AC32" s="1576">
        <v>1</v>
      </c>
    </row>
    <row r="33" spans="1:29" ht="20.25">
      <c r="A33" s="533"/>
      <c r="B33" s="567" t="s">
        <v>548</v>
      </c>
      <c r="C33" s="581" t="s">
        <v>3062</v>
      </c>
      <c r="D33" s="576">
        <v>100</v>
      </c>
      <c r="E33" s="581" t="s">
        <v>3014</v>
      </c>
      <c r="F33" s="541">
        <f>SUMIF(106:106,E33,107:107)-SUMIF(106:106,C33,107:107)+100</f>
        <v>98</v>
      </c>
      <c r="G33" s="581" t="s">
        <v>3014</v>
      </c>
      <c r="H33" s="541">
        <f>SUMIF(106:106,G33,107:107)-SUMIF(106:106,C33,107:107)+100</f>
        <v>98</v>
      </c>
      <c r="I33" s="581" t="s">
        <v>3014</v>
      </c>
      <c r="J33" s="541">
        <f>SUMIF(106:106,I33,107:107)-SUMIF(106:106,C33,107:107)+100</f>
        <v>98</v>
      </c>
      <c r="K33" s="536">
        <v>2</v>
      </c>
      <c r="L33" s="2143"/>
      <c r="M33" s="2133"/>
      <c r="N33" s="2133"/>
      <c r="O33" s="2142"/>
      <c r="P33" s="3247"/>
      <c r="Q33" s="1572" t="str">
        <f t="shared" si="8"/>
        <v>临街状况</v>
      </c>
      <c r="R33" s="1573" t="s">
        <v>8</v>
      </c>
      <c r="S33" s="1574">
        <f t="shared" ref="S33:S47" si="9">F33</f>
        <v>98</v>
      </c>
      <c r="T33" s="1573" t="s">
        <v>8</v>
      </c>
      <c r="U33" s="1574">
        <f t="shared" ref="U33:U47" si="10">H33</f>
        <v>98</v>
      </c>
      <c r="V33" s="1573" t="s">
        <v>8</v>
      </c>
      <c r="W33" s="1574">
        <f t="shared" ref="W33:W47" si="11">J33</f>
        <v>98</v>
      </c>
      <c r="X33" s="1567"/>
      <c r="Y33" s="3247"/>
      <c r="Z33" s="1575" t="str">
        <f t="shared" ref="Z33:Z47" si="12">Q33</f>
        <v>临街状况</v>
      </c>
      <c r="AA33" s="1576">
        <f t="shared" si="3"/>
        <v>1.0204081632653061</v>
      </c>
      <c r="AB33" s="1576">
        <f t="shared" si="4"/>
        <v>1.0204081632653061</v>
      </c>
      <c r="AC33" s="1576">
        <f t="shared" si="5"/>
        <v>1.0204081632653061</v>
      </c>
    </row>
    <row r="34" spans="1:29" ht="27">
      <c r="A34" s="533"/>
      <c r="B34" s="579" t="s">
        <v>549</v>
      </c>
      <c r="C34" s="563"/>
      <c r="D34" s="564">
        <v>100</v>
      </c>
      <c r="E34" s="565"/>
      <c r="F34" s="560">
        <f>SUMIF(108:108,E35,109:109)-SUMIF(108:108,C35,109:109)+100</f>
        <v>96</v>
      </c>
      <c r="G34" s="565"/>
      <c r="H34" s="560">
        <f>SUMIF(108:108,G35,109:109)-SUMIF(108:108,C35,109:109)+100</f>
        <v>100</v>
      </c>
      <c r="I34" s="565"/>
      <c r="J34" s="560">
        <f>SUMIF(108:108,I35,109:109)-SUMIF(108:108,C35,109:109)+100</f>
        <v>98</v>
      </c>
      <c r="K34" s="536">
        <v>2</v>
      </c>
      <c r="L34" s="2143"/>
      <c r="M34" s="2133"/>
      <c r="N34" s="2133"/>
      <c r="O34" s="2142"/>
      <c r="P34" s="3247"/>
      <c r="Q34" s="1572" t="str">
        <f t="shared" si="8"/>
        <v>毗邻道路的类型与等级</v>
      </c>
      <c r="R34" s="1573" t="s">
        <v>8</v>
      </c>
      <c r="S34" s="1574">
        <f t="shared" si="9"/>
        <v>96</v>
      </c>
      <c r="T34" s="1573" t="s">
        <v>8</v>
      </c>
      <c r="U34" s="1574">
        <f t="shared" si="10"/>
        <v>100</v>
      </c>
      <c r="V34" s="1573" t="s">
        <v>8</v>
      </c>
      <c r="W34" s="1574">
        <f t="shared" si="11"/>
        <v>98</v>
      </c>
      <c r="X34" s="1567"/>
      <c r="Y34" s="3247"/>
      <c r="Z34" s="1575" t="str">
        <f t="shared" si="12"/>
        <v>毗邻道路的类型与等级</v>
      </c>
      <c r="AA34" s="1576">
        <f t="shared" si="3"/>
        <v>1.0416666666666667</v>
      </c>
      <c r="AB34" s="1576">
        <f t="shared" si="4"/>
        <v>1</v>
      </c>
      <c r="AC34" s="1576">
        <f t="shared" si="5"/>
        <v>1.0204081632653061</v>
      </c>
    </row>
    <row r="35" spans="1:29" ht="21" thickBot="1">
      <c r="A35" s="533"/>
      <c r="B35" s="567"/>
      <c r="C35" s="555" t="s">
        <v>3239</v>
      </c>
      <c r="D35" s="558"/>
      <c r="E35" s="555" t="s">
        <v>3064</v>
      </c>
      <c r="F35" s="556"/>
      <c r="G35" s="555" t="s">
        <v>3239</v>
      </c>
      <c r="H35" s="556"/>
      <c r="I35" s="555" t="s">
        <v>3252</v>
      </c>
      <c r="J35" s="556"/>
      <c r="K35" s="582"/>
      <c r="L35" s="2143"/>
      <c r="M35" s="2133"/>
      <c r="N35" s="2133"/>
      <c r="O35" s="2142"/>
      <c r="P35" s="3247"/>
      <c r="Q35" s="1572"/>
      <c r="R35" s="1573"/>
      <c r="S35" s="1574"/>
      <c r="T35" s="1573"/>
      <c r="U35" s="1574"/>
      <c r="V35" s="1573"/>
      <c r="W35" s="1574"/>
      <c r="X35" s="1567"/>
      <c r="Y35" s="3247"/>
      <c r="Z35" s="1575"/>
      <c r="AA35" s="1576">
        <v>1</v>
      </c>
      <c r="AB35" s="1576">
        <v>1</v>
      </c>
      <c r="AC35" s="1576">
        <v>1</v>
      </c>
    </row>
    <row r="36" spans="1:29" ht="20.25" hidden="1">
      <c r="A36" s="533"/>
      <c r="B36" s="583" t="s">
        <v>550</v>
      </c>
      <c r="C36" s="581"/>
      <c r="D36" s="576">
        <v>100</v>
      </c>
      <c r="E36" s="584"/>
      <c r="F36" s="541">
        <f>SUMIF(110:110,E36,111:111)-SUMIF(110:110,C36,111:111)+100</f>
        <v>100</v>
      </c>
      <c r="G36" s="584"/>
      <c r="H36" s="541">
        <f>SUMIF(110:110,G36,111:111)-SUMIF(110:110,C36,111:111)+100</f>
        <v>100</v>
      </c>
      <c r="I36" s="584"/>
      <c r="J36" s="541">
        <f>SUMIF(110:110,I36,111:111)-SUMIF(110:110,C36,111:111)+100</f>
        <v>100</v>
      </c>
      <c r="K36" s="585"/>
      <c r="L36" s="2143"/>
      <c r="M36" s="2133"/>
      <c r="N36" s="2133"/>
      <c r="O36" s="2142"/>
      <c r="P36" s="3247"/>
      <c r="Q36" s="1572" t="str">
        <f t="shared" si="8"/>
        <v>土地级别</v>
      </c>
      <c r="R36" s="1573" t="s">
        <v>8</v>
      </c>
      <c r="S36" s="1574">
        <f t="shared" si="9"/>
        <v>100</v>
      </c>
      <c r="T36" s="1573" t="s">
        <v>8</v>
      </c>
      <c r="U36" s="1574">
        <f t="shared" si="10"/>
        <v>100</v>
      </c>
      <c r="V36" s="1573" t="s">
        <v>8</v>
      </c>
      <c r="W36" s="1574">
        <f t="shared" si="11"/>
        <v>100</v>
      </c>
      <c r="X36" s="1567"/>
      <c r="Y36" s="3247"/>
      <c r="Z36" s="1575" t="str">
        <f t="shared" si="12"/>
        <v>土地级别</v>
      </c>
      <c r="AA36" s="1576">
        <f t="shared" si="3"/>
        <v>1</v>
      </c>
      <c r="AB36" s="1576">
        <f t="shared" si="4"/>
        <v>1</v>
      </c>
      <c r="AC36" s="1576">
        <f t="shared" si="5"/>
        <v>1</v>
      </c>
    </row>
    <row r="37" spans="1:29" ht="20.25" hidden="1">
      <c r="A37" s="517"/>
      <c r="B37" s="586"/>
      <c r="C37" s="587"/>
      <c r="D37" s="576">
        <v>100</v>
      </c>
      <c r="E37" s="3184"/>
      <c r="F37" s="541">
        <f>SUMIF(112:112,E37,113:113)-SUMIF(112:112,C37,113:113)+100</f>
        <v>100</v>
      </c>
      <c r="G37" s="3184"/>
      <c r="H37" s="541">
        <f>SUMIF(112:112,G37,113:113)-SUMIF(112:112,C37,113:113)+100</f>
        <v>100</v>
      </c>
      <c r="I37" s="3184"/>
      <c r="J37" s="541">
        <f>SUMIF(112:112,I37,113:113)-SUMIF(112:112,C37,113:113)+100</f>
        <v>100</v>
      </c>
      <c r="K37" s="582"/>
      <c r="L37" s="2143"/>
      <c r="M37" s="2133"/>
      <c r="N37" s="2133"/>
      <c r="O37" s="2142"/>
      <c r="P37" s="3247"/>
      <c r="Q37" s="1572">
        <f t="shared" si="8"/>
        <v>0</v>
      </c>
      <c r="R37" s="1573" t="s">
        <v>8</v>
      </c>
      <c r="S37" s="1574">
        <f t="shared" si="9"/>
        <v>100</v>
      </c>
      <c r="T37" s="1573" t="s">
        <v>8</v>
      </c>
      <c r="U37" s="1574">
        <f t="shared" si="10"/>
        <v>100</v>
      </c>
      <c r="V37" s="1573" t="s">
        <v>8</v>
      </c>
      <c r="W37" s="1574">
        <f t="shared" si="11"/>
        <v>100</v>
      </c>
      <c r="X37" s="1567"/>
      <c r="Y37" s="3247"/>
      <c r="Z37" s="1575">
        <f t="shared" si="12"/>
        <v>0</v>
      </c>
      <c r="AA37" s="1576">
        <f t="shared" si="3"/>
        <v>1</v>
      </c>
      <c r="AB37" s="1576">
        <f t="shared" si="4"/>
        <v>1</v>
      </c>
      <c r="AC37" s="1576">
        <f t="shared" si="5"/>
        <v>1</v>
      </c>
    </row>
    <row r="38" spans="1:29" ht="20.25" hidden="1">
      <c r="A38" s="588"/>
      <c r="B38" s="589"/>
      <c r="C38" s="587"/>
      <c r="D38" s="576">
        <v>100</v>
      </c>
      <c r="E38" s="543"/>
      <c r="F38" s="541">
        <f>SUMIF(114:114,E39,115:115)-SUMIF(114:114,C39,115:115)+100</f>
        <v>100</v>
      </c>
      <c r="G38" s="543"/>
      <c r="H38" s="541">
        <f>SUMIF(114:114,G38,115:115)-SUMIF(114:114,C38,115:115)+100</f>
        <v>100</v>
      </c>
      <c r="I38" s="543"/>
      <c r="J38" s="541">
        <f>SUMIF(114:114,I38,115:115)-SUMIF(114:114,C38,115:115)+100</f>
        <v>100</v>
      </c>
      <c r="K38" s="582"/>
      <c r="L38" s="2143"/>
      <c r="M38" s="2133"/>
      <c r="N38" s="2133"/>
      <c r="O38" s="2142"/>
      <c r="P38" s="3248" t="s">
        <v>551</v>
      </c>
      <c r="Q38" s="1572">
        <f t="shared" si="8"/>
        <v>0</v>
      </c>
      <c r="R38" s="1573" t="s">
        <v>8</v>
      </c>
      <c r="S38" s="1574">
        <f t="shared" si="9"/>
        <v>100</v>
      </c>
      <c r="T38" s="1573" t="s">
        <v>8</v>
      </c>
      <c r="U38" s="1574">
        <f t="shared" si="10"/>
        <v>100</v>
      </c>
      <c r="V38" s="1573" t="s">
        <v>8</v>
      </c>
      <c r="W38" s="1574">
        <f t="shared" si="11"/>
        <v>100</v>
      </c>
      <c r="X38" s="1567"/>
      <c r="Y38" s="3249" t="s">
        <v>551</v>
      </c>
      <c r="Z38" s="1575">
        <f t="shared" si="12"/>
        <v>0</v>
      </c>
      <c r="AA38" s="1576">
        <f t="shared" si="3"/>
        <v>1</v>
      </c>
      <c r="AB38" s="1576">
        <f t="shared" si="4"/>
        <v>1</v>
      </c>
      <c r="AC38" s="1576">
        <f t="shared" si="5"/>
        <v>1</v>
      </c>
    </row>
    <row r="39" spans="1:29" s="1338" customFormat="1" ht="21" hidden="1" thickBot="1">
      <c r="A39" s="590"/>
      <c r="B39" s="591"/>
      <c r="C39" s="592"/>
      <c r="D39" s="741">
        <v>100</v>
      </c>
      <c r="E39" s="594"/>
      <c r="F39" s="547">
        <f>SUMIF(116:116,E39,117:117)-SUMIF(116:116,C39,117:117)+100</f>
        <v>100</v>
      </c>
      <c r="G39" s="594"/>
      <c r="H39" s="547">
        <f>SUMIF(116:116,G39,117:117)-SUMIF(116:116,C39,117:117)+100</f>
        <v>100</v>
      </c>
      <c r="I39" s="594"/>
      <c r="J39" s="547">
        <f>SUMIF(116:116,I39,117:117)-SUMIF(116:116,C39,117:117)+100</f>
        <v>100</v>
      </c>
      <c r="K39" s="582"/>
      <c r="L39" s="2141"/>
      <c r="M39" s="2133"/>
      <c r="N39" s="2133"/>
      <c r="O39" s="2144"/>
      <c r="P39" s="3249"/>
      <c r="Q39" s="1572">
        <f t="shared" si="8"/>
        <v>0</v>
      </c>
      <c r="R39" s="1577" t="s">
        <v>8</v>
      </c>
      <c r="S39" s="1578">
        <f t="shared" si="9"/>
        <v>100</v>
      </c>
      <c r="T39" s="1577" t="s">
        <v>8</v>
      </c>
      <c r="U39" s="1578">
        <f t="shared" si="10"/>
        <v>100</v>
      </c>
      <c r="V39" s="1577" t="s">
        <v>8</v>
      </c>
      <c r="W39" s="1578">
        <f t="shared" si="11"/>
        <v>100</v>
      </c>
      <c r="X39" s="1579"/>
      <c r="Y39" s="3249"/>
      <c r="Z39" s="1580">
        <f t="shared" si="12"/>
        <v>0</v>
      </c>
      <c r="AA39" s="1576">
        <f t="shared" si="3"/>
        <v>1</v>
      </c>
      <c r="AB39" s="1576">
        <f t="shared" si="4"/>
        <v>1</v>
      </c>
      <c r="AC39" s="1576">
        <f t="shared" si="5"/>
        <v>1</v>
      </c>
    </row>
    <row r="40" spans="1:29" ht="20.25">
      <c r="A40" s="2931" t="s">
        <v>2763</v>
      </c>
      <c r="B40" s="596" t="s">
        <v>553</v>
      </c>
      <c r="C40" s="597">
        <f>'数据-基础表'!A3</f>
        <v>42563.17</v>
      </c>
      <c r="D40" s="598">
        <v>100</v>
      </c>
      <c r="E40" s="597">
        <f>Sheet1!G8</f>
        <v>5347.01</v>
      </c>
      <c r="F40" s="598">
        <f>LOOKUP(E40,119:119,120:120)-LOOKUP(C40,119:119,120:120)+100</f>
        <v>96</v>
      </c>
      <c r="G40" s="597">
        <f>Sheet1!G7</f>
        <v>25182.67</v>
      </c>
      <c r="H40" s="598">
        <f>LOOKUP(G40,119:119,120:120)-LOOKUP(C40,119:119,120:120)+100</f>
        <v>98</v>
      </c>
      <c r="I40" s="597">
        <f>Sheet1!G10</f>
        <v>21079.69</v>
      </c>
      <c r="J40" s="598">
        <f>LOOKUP(I40,119:119,120:120)-LOOKUP(C40,119:119,120:120)+100</f>
        <v>98</v>
      </c>
      <c r="K40" s="582"/>
      <c r="L40" s="2143"/>
      <c r="M40" s="2133"/>
      <c r="N40" s="2133"/>
      <c r="O40" s="2142"/>
      <c r="P40" s="3249"/>
      <c r="Q40" s="1572" t="str">
        <f>B40</f>
        <v>宗地面积</v>
      </c>
      <c r="R40" s="1573" t="s">
        <v>8</v>
      </c>
      <c r="S40" s="1574">
        <f t="shared" si="9"/>
        <v>96</v>
      </c>
      <c r="T40" s="1573" t="s">
        <v>8</v>
      </c>
      <c r="U40" s="1574">
        <f t="shared" si="10"/>
        <v>98</v>
      </c>
      <c r="V40" s="1573" t="s">
        <v>8</v>
      </c>
      <c r="W40" s="1574">
        <f t="shared" si="11"/>
        <v>98</v>
      </c>
      <c r="X40" s="1567"/>
      <c r="Y40" s="3249"/>
      <c r="Z40" s="1575" t="str">
        <f t="shared" si="12"/>
        <v>宗地面积</v>
      </c>
      <c r="AA40" s="1576">
        <f t="shared" si="3"/>
        <v>1.0416666666666667</v>
      </c>
      <c r="AB40" s="1576">
        <f t="shared" si="4"/>
        <v>1.0204081632653061</v>
      </c>
      <c r="AC40" s="1576">
        <f t="shared" si="5"/>
        <v>1.0204081632653061</v>
      </c>
    </row>
    <row r="41" spans="1:29" ht="20.25">
      <c r="A41" s="595"/>
      <c r="B41" s="529" t="s">
        <v>554</v>
      </c>
      <c r="C41" s="600" t="s">
        <v>3015</v>
      </c>
      <c r="D41" s="541">
        <v>100</v>
      </c>
      <c r="E41" s="600" t="s">
        <v>3015</v>
      </c>
      <c r="F41" s="541">
        <f>SUMIF(121:121,E41,122:122)-SUMIF(121:121,C41,122:122)+100</f>
        <v>100</v>
      </c>
      <c r="G41" s="600" t="s">
        <v>3015</v>
      </c>
      <c r="H41" s="541">
        <f>SUMIF(121:121,G41,122:122)-SUMIF(121:121,C41,122:122)+100</f>
        <v>100</v>
      </c>
      <c r="I41" s="600" t="s">
        <v>3015</v>
      </c>
      <c r="J41" s="541">
        <f>SUMIF(121:121,I41,122:122)-SUMIF(121:121,C41,122:122)+100</f>
        <v>100</v>
      </c>
      <c r="K41" s="585">
        <v>3</v>
      </c>
      <c r="L41" s="2143"/>
      <c r="M41" s="2133"/>
      <c r="N41" s="2133"/>
      <c r="O41" s="2142"/>
      <c r="P41" s="3249"/>
      <c r="Q41" s="1572" t="str">
        <f t="shared" ref="Q41:Q47" si="13">B41</f>
        <v>宗地形状</v>
      </c>
      <c r="R41" s="1573" t="s">
        <v>8</v>
      </c>
      <c r="S41" s="1574">
        <f t="shared" si="9"/>
        <v>100</v>
      </c>
      <c r="T41" s="1573" t="s">
        <v>8</v>
      </c>
      <c r="U41" s="1574">
        <f t="shared" si="10"/>
        <v>100</v>
      </c>
      <c r="V41" s="1573" t="s">
        <v>8</v>
      </c>
      <c r="W41" s="1574">
        <f t="shared" si="11"/>
        <v>100</v>
      </c>
      <c r="X41" s="1567"/>
      <c r="Y41" s="3249"/>
      <c r="Z41" s="1575" t="str">
        <f t="shared" si="12"/>
        <v>宗地形状</v>
      </c>
      <c r="AA41" s="1576">
        <f t="shared" si="3"/>
        <v>1</v>
      </c>
      <c r="AB41" s="1576">
        <f t="shared" si="4"/>
        <v>1</v>
      </c>
      <c r="AC41" s="1576">
        <f t="shared" si="5"/>
        <v>1</v>
      </c>
    </row>
    <row r="42" spans="1:29" ht="20.25">
      <c r="A42" s="595"/>
      <c r="B42" s="529" t="s">
        <v>555</v>
      </c>
      <c r="C42" s="600" t="s">
        <v>3016</v>
      </c>
      <c r="D42" s="541">
        <v>100</v>
      </c>
      <c r="E42" s="600" t="s">
        <v>3016</v>
      </c>
      <c r="F42" s="541">
        <f>SUMIF(123:123,E42,124:124)-SUMIF(123:123,C42,124:124)+100</f>
        <v>100</v>
      </c>
      <c r="G42" s="600" t="s">
        <v>3016</v>
      </c>
      <c r="H42" s="541">
        <f>SUMIF(123:123,G42,124:124)-SUMIF(123:123,C42,124:124)+100</f>
        <v>100</v>
      </c>
      <c r="I42" s="600" t="s">
        <v>3016</v>
      </c>
      <c r="J42" s="541">
        <f>SUMIF(123:123,I42,124:124)-SUMIF(123:123,C42,124:124)+100</f>
        <v>100</v>
      </c>
      <c r="K42" s="585">
        <v>1</v>
      </c>
      <c r="L42" s="2143"/>
      <c r="M42" s="2133"/>
      <c r="N42" s="2133"/>
      <c r="O42" s="2142"/>
      <c r="P42" s="3249"/>
      <c r="Q42" s="1572" t="str">
        <f t="shared" si="13"/>
        <v>临街宽度及深度</v>
      </c>
      <c r="R42" s="1573" t="s">
        <v>8</v>
      </c>
      <c r="S42" s="1574">
        <f t="shared" si="9"/>
        <v>100</v>
      </c>
      <c r="T42" s="1573" t="s">
        <v>8</v>
      </c>
      <c r="U42" s="1574">
        <f t="shared" si="10"/>
        <v>100</v>
      </c>
      <c r="V42" s="1573" t="s">
        <v>8</v>
      </c>
      <c r="W42" s="1574">
        <f t="shared" si="11"/>
        <v>100</v>
      </c>
      <c r="X42" s="1567"/>
      <c r="Y42" s="3249"/>
      <c r="Z42" s="1575" t="str">
        <f t="shared" si="12"/>
        <v>临街宽度及深度</v>
      </c>
      <c r="AA42" s="1576">
        <f t="shared" si="3"/>
        <v>1</v>
      </c>
      <c r="AB42" s="1576">
        <f t="shared" si="4"/>
        <v>1</v>
      </c>
      <c r="AC42" s="1576">
        <f t="shared" si="5"/>
        <v>1</v>
      </c>
    </row>
    <row r="43" spans="1:29" s="1219" customFormat="1" ht="20.25">
      <c r="A43" s="601"/>
      <c r="B43" s="1896" t="s">
        <v>2428</v>
      </c>
      <c r="C43" s="602" t="s">
        <v>3049</v>
      </c>
      <c r="D43" s="254">
        <v>100</v>
      </c>
      <c r="E43" s="602" t="s">
        <v>3049</v>
      </c>
      <c r="F43" s="541">
        <f>SUMIF(125:125,E43,126:126)-SUMIF(125:125,C43,126:126)+100</f>
        <v>100</v>
      </c>
      <c r="G43" s="602" t="s">
        <v>3049</v>
      </c>
      <c r="H43" s="541">
        <f>SUMIF(125:125,G43,126:126)-SUMIF(125:125,C43,126:126)+100</f>
        <v>100</v>
      </c>
      <c r="I43" s="602" t="s">
        <v>3049</v>
      </c>
      <c r="J43" s="541">
        <f>SUMIF(125:125,I43,126:126)-SUMIF(125:125,C43,126:126)+100</f>
        <v>100</v>
      </c>
      <c r="K43" s="585">
        <v>1</v>
      </c>
      <c r="L43" s="2136"/>
      <c r="M43" s="2133"/>
      <c r="N43" s="2133"/>
      <c r="O43" s="2138"/>
      <c r="P43" s="3249"/>
      <c r="Q43" s="1572" t="str">
        <f t="shared" si="13"/>
        <v>宗地开发程度</v>
      </c>
      <c r="R43" s="1568" t="s">
        <v>8</v>
      </c>
      <c r="S43" s="1569">
        <f t="shared" si="9"/>
        <v>100</v>
      </c>
      <c r="T43" s="1568" t="s">
        <v>8</v>
      </c>
      <c r="U43" s="1569">
        <f t="shared" si="10"/>
        <v>100</v>
      </c>
      <c r="V43" s="1568" t="s">
        <v>8</v>
      </c>
      <c r="W43" s="1569">
        <f t="shared" si="11"/>
        <v>100</v>
      </c>
      <c r="X43" s="1570"/>
      <c r="Y43" s="3249"/>
      <c r="Z43" s="1149" t="str">
        <f t="shared" si="12"/>
        <v>宗地开发程度</v>
      </c>
      <c r="AA43" s="1571">
        <f t="shared" si="3"/>
        <v>1</v>
      </c>
      <c r="AB43" s="1571">
        <f t="shared" si="4"/>
        <v>1</v>
      </c>
      <c r="AC43" s="1571">
        <f t="shared" si="5"/>
        <v>1</v>
      </c>
    </row>
    <row r="44" spans="1:29" ht="21" thickBot="1">
      <c r="A44" s="595"/>
      <c r="B44" s="529" t="s">
        <v>556</v>
      </c>
      <c r="C44" s="600" t="s">
        <v>3052</v>
      </c>
      <c r="D44" s="541">
        <v>100</v>
      </c>
      <c r="E44" s="600" t="s">
        <v>3052</v>
      </c>
      <c r="F44" s="541">
        <f>SUMIF(127:127,E44,128:128)-SUMIF(127:127,C44,128:128)+100</f>
        <v>100</v>
      </c>
      <c r="G44" s="600" t="s">
        <v>3052</v>
      </c>
      <c r="H44" s="541">
        <f>SUMIF(127:127,G44,128:128)-SUMIF(127:127,C44,128:128)+100</f>
        <v>100</v>
      </c>
      <c r="I44" s="600" t="s">
        <v>3013</v>
      </c>
      <c r="J44" s="541">
        <f>SUMIF(127:127,I44,128:128)-SUMIF(127:127,C44,128:128)+100</f>
        <v>102</v>
      </c>
      <c r="K44" s="585">
        <v>2</v>
      </c>
      <c r="L44" s="2143"/>
      <c r="M44" s="2133"/>
      <c r="N44" s="2133"/>
      <c r="O44" s="2142"/>
      <c r="P44" s="3249" t="s">
        <v>551</v>
      </c>
      <c r="Q44" s="1572" t="str">
        <f t="shared" si="13"/>
        <v>工程地质条件</v>
      </c>
      <c r="R44" s="1573" t="s">
        <v>8</v>
      </c>
      <c r="S44" s="1574">
        <f t="shared" si="9"/>
        <v>100</v>
      </c>
      <c r="T44" s="1573" t="s">
        <v>8</v>
      </c>
      <c r="U44" s="1574">
        <f t="shared" si="10"/>
        <v>100</v>
      </c>
      <c r="V44" s="1573" t="s">
        <v>8</v>
      </c>
      <c r="W44" s="1574">
        <f t="shared" si="11"/>
        <v>102</v>
      </c>
      <c r="X44" s="1567"/>
      <c r="Y44" s="3249" t="s">
        <v>551</v>
      </c>
      <c r="Z44" s="1575" t="str">
        <f t="shared" si="12"/>
        <v>工程地质条件</v>
      </c>
      <c r="AA44" s="1576">
        <f t="shared" si="3"/>
        <v>1</v>
      </c>
      <c r="AB44" s="1576">
        <f t="shared" si="4"/>
        <v>1</v>
      </c>
      <c r="AC44" s="1576">
        <f t="shared" si="5"/>
        <v>0.98039215686274506</v>
      </c>
    </row>
    <row r="45" spans="1:29" ht="20.25" hidden="1" customHeight="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3"/>
      <c r="M45" s="2133"/>
      <c r="N45" s="2133"/>
      <c r="O45" s="2142"/>
      <c r="P45" s="3249"/>
      <c r="Q45" s="1572">
        <f t="shared" si="13"/>
        <v>0</v>
      </c>
      <c r="R45" s="1573" t="s">
        <v>8</v>
      </c>
      <c r="S45" s="1574">
        <f t="shared" si="9"/>
        <v>100</v>
      </c>
      <c r="T45" s="1573" t="s">
        <v>8</v>
      </c>
      <c r="U45" s="1574">
        <f t="shared" si="10"/>
        <v>100</v>
      </c>
      <c r="V45" s="1573" t="s">
        <v>8</v>
      </c>
      <c r="W45" s="1574">
        <f t="shared" si="11"/>
        <v>100</v>
      </c>
      <c r="X45" s="1567"/>
      <c r="Y45" s="3249"/>
      <c r="Z45" s="1575">
        <f t="shared" si="12"/>
        <v>0</v>
      </c>
      <c r="AA45" s="1576">
        <f t="shared" si="3"/>
        <v>1</v>
      </c>
      <c r="AB45" s="1576">
        <f t="shared" si="4"/>
        <v>1</v>
      </c>
      <c r="AC45" s="1576">
        <f t="shared" si="5"/>
        <v>1</v>
      </c>
    </row>
    <row r="46" spans="1:29" ht="20.25" hidden="1" customHeight="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3"/>
      <c r="M46" s="2133"/>
      <c r="N46" s="2133"/>
      <c r="O46" s="2142"/>
      <c r="P46" s="3249"/>
      <c r="Q46" s="1572">
        <f t="shared" si="13"/>
        <v>0</v>
      </c>
      <c r="R46" s="1573" t="s">
        <v>8</v>
      </c>
      <c r="S46" s="1574">
        <f t="shared" si="9"/>
        <v>100</v>
      </c>
      <c r="T46" s="1573" t="s">
        <v>8</v>
      </c>
      <c r="U46" s="1574">
        <f t="shared" si="10"/>
        <v>100</v>
      </c>
      <c r="V46" s="1573" t="s">
        <v>8</v>
      </c>
      <c r="W46" s="1574">
        <f t="shared" si="11"/>
        <v>100</v>
      </c>
      <c r="X46" s="1567"/>
      <c r="Y46" s="3249"/>
      <c r="Z46" s="1575">
        <f t="shared" si="12"/>
        <v>0</v>
      </c>
      <c r="AA46" s="1576">
        <f t="shared" si="3"/>
        <v>1</v>
      </c>
      <c r="AB46" s="1576">
        <f t="shared" si="4"/>
        <v>1</v>
      </c>
      <c r="AC46" s="1576">
        <f t="shared" si="5"/>
        <v>1</v>
      </c>
    </row>
    <row r="47" spans="1:29" s="1338" customFormat="1" ht="21" hidden="1" customHeight="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1"/>
      <c r="M47" s="2133"/>
      <c r="N47" s="2133"/>
      <c r="O47" s="2144"/>
      <c r="P47" s="3249"/>
      <c r="Q47" s="1572">
        <f t="shared" si="13"/>
        <v>0</v>
      </c>
      <c r="R47" s="1577" t="s">
        <v>8</v>
      </c>
      <c r="S47" s="1578">
        <f t="shared" si="9"/>
        <v>100</v>
      </c>
      <c r="T47" s="1577" t="s">
        <v>8</v>
      </c>
      <c r="U47" s="1578">
        <f t="shared" si="10"/>
        <v>100</v>
      </c>
      <c r="V47" s="1577" t="s">
        <v>8</v>
      </c>
      <c r="W47" s="1578">
        <f t="shared" si="11"/>
        <v>100</v>
      </c>
      <c r="X47" s="1579"/>
      <c r="Y47" s="3249"/>
      <c r="Z47" s="1580">
        <f t="shared" si="12"/>
        <v>0</v>
      </c>
      <c r="AA47" s="1576">
        <f t="shared" si="3"/>
        <v>1</v>
      </c>
      <c r="AB47" s="1576">
        <f t="shared" si="4"/>
        <v>1</v>
      </c>
      <c r="AC47" s="1576">
        <f t="shared" si="5"/>
        <v>1</v>
      </c>
    </row>
    <row r="48" spans="1:29" ht="20.25">
      <c r="A48" s="608" t="s">
        <v>557</v>
      </c>
      <c r="B48" s="609" t="s">
        <v>3227</v>
      </c>
      <c r="C48" s="610" t="s">
        <v>1</v>
      </c>
      <c r="D48" s="611"/>
      <c r="E48" s="612">
        <v>2250</v>
      </c>
      <c r="F48" s="613"/>
      <c r="G48" s="612">
        <v>2666</v>
      </c>
      <c r="H48" s="615"/>
      <c r="I48" s="612">
        <v>2501</v>
      </c>
      <c r="J48" s="615"/>
      <c r="K48" s="1339"/>
      <c r="L48" s="2145"/>
      <c r="M48" s="2133"/>
      <c r="N48" s="2133"/>
      <c r="O48" s="2146"/>
      <c r="P48" s="3241" t="str">
        <f>A48</f>
        <v>成交单价</v>
      </c>
      <c r="Q48" s="3241"/>
      <c r="R48" s="3254">
        <f>E48</f>
        <v>2250</v>
      </c>
      <c r="S48" s="3254"/>
      <c r="T48" s="3254">
        <f>G48</f>
        <v>2666</v>
      </c>
      <c r="U48" s="3254"/>
      <c r="V48" s="3254">
        <f>I48</f>
        <v>2501</v>
      </c>
      <c r="W48" s="3254"/>
      <c r="X48" s="1559"/>
      <c r="Y48" s="1581"/>
      <c r="Z48" s="1559"/>
      <c r="AA48" s="1559"/>
      <c r="AB48" s="1559"/>
      <c r="AC48" s="1559"/>
    </row>
    <row r="49" spans="1:29" ht="21" thickBot="1">
      <c r="A49" s="616" t="s">
        <v>2701</v>
      </c>
      <c r="B49" s="617"/>
      <c r="C49" s="618">
        <f>R50</f>
        <v>3059</v>
      </c>
      <c r="D49" s="619"/>
      <c r="E49" s="618">
        <f>R49</f>
        <v>2831</v>
      </c>
      <c r="F49" s="620"/>
      <c r="G49" s="621">
        <f>T49</f>
        <v>3119</v>
      </c>
      <c r="H49" s="619"/>
      <c r="I49" s="618">
        <f>V49</f>
        <v>3228</v>
      </c>
      <c r="J49" s="619"/>
      <c r="K49" s="1340"/>
      <c r="L49" s="2145"/>
      <c r="M49" s="2133"/>
      <c r="N49" s="2133"/>
      <c r="O49" s="2146"/>
      <c r="P49" s="3241" t="str">
        <f>A49</f>
        <v>比较价格（元/平方米）</v>
      </c>
      <c r="Q49" s="3241"/>
      <c r="R49" s="3429">
        <f>ROUND(PRODUCT(R48,AA9:AA47),0)</f>
        <v>2831</v>
      </c>
      <c r="S49" s="3429"/>
      <c r="T49" s="3429">
        <f>ROUND(PRODUCT(T48,AB9:AB47),0)</f>
        <v>3119</v>
      </c>
      <c r="U49" s="3429"/>
      <c r="V49" s="3429">
        <f>ROUND(PRODUCT(V48,AC9:AC47),0)</f>
        <v>3228</v>
      </c>
      <c r="W49" s="3429"/>
      <c r="X49" s="1559"/>
      <c r="Y49" s="1559"/>
      <c r="Z49" s="1559"/>
      <c r="AA49" s="1559"/>
      <c r="AB49" s="1559"/>
      <c r="AC49" s="1559"/>
    </row>
    <row r="50" spans="1:29" ht="21" thickBot="1">
      <c r="A50" s="622" t="s">
        <v>2943</v>
      </c>
      <c r="B50" s="623"/>
      <c r="C50" s="624">
        <f>R50</f>
        <v>3059</v>
      </c>
      <c r="D50" s="624"/>
      <c r="E50" s="624"/>
      <c r="F50" s="624"/>
      <c r="G50" s="624"/>
      <c r="H50" s="624"/>
      <c r="I50" s="624"/>
      <c r="J50" s="624"/>
      <c r="K50" s="1341"/>
      <c r="L50" s="2145"/>
      <c r="M50" s="2133"/>
      <c r="N50" s="2133"/>
      <c r="O50" s="2146"/>
      <c r="P50" s="3243" t="str">
        <f>A50</f>
        <v>估价对象XX用房的比较价格（楼面单价，元/平方米）</v>
      </c>
      <c r="Q50" s="3244"/>
      <c r="R50" s="3430">
        <f>ROUND(AVERAGE(R49:V49),0)</f>
        <v>3059</v>
      </c>
      <c r="S50" s="3430"/>
      <c r="T50" s="3430"/>
      <c r="U50" s="3430"/>
      <c r="V50" s="3430"/>
      <c r="W50" s="343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f>IF(E48&lt;E49,E49/E48-1,E48/E49-1)</f>
        <v>0.25822222222222213</v>
      </c>
      <c r="F53" s="628" t="str">
        <f>IF(OR(E53&gt;=0.3,E53&lt;=-0.3),"超过30%","")</f>
        <v/>
      </c>
      <c r="G53" s="627">
        <f>IF(G48&lt;G49,G49/G48-1,G48/G49-1)</f>
        <v>0.16991747936984236</v>
      </c>
      <c r="H53" s="628" t="str">
        <f>IF(OR(G53&gt;=0.3,G53&lt;=-0.3),"超过30%","")</f>
        <v/>
      </c>
      <c r="I53" s="627">
        <f>IF(I48&lt;I49,I49/I48-1,I48/I49-1)</f>
        <v>0.29068372650939622</v>
      </c>
      <c r="J53" s="628"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f>IF(E49&lt;G49,G49/E49-1,E49/G49-1)</f>
        <v>0.10173083716001408</v>
      </c>
      <c r="F54" s="628" t="str">
        <f>IF(OR(E54&gt;=0.2,E54&lt;=-0.2),"超过20%","")</f>
        <v/>
      </c>
      <c r="G54" s="627">
        <f>IF(G49&lt;I49,I49/G49-1,G49/I49-1)</f>
        <v>3.4947098428983692E-2</v>
      </c>
      <c r="H54" s="628" t="str">
        <f>IF(OR(G54&gt;=0.2,G54&lt;=-0.2),"超过20%","")</f>
        <v/>
      </c>
      <c r="I54" s="627">
        <f>IF(I49&lt;E49,E49/I49-1,I49/E49-1)</f>
        <v>0.14023313316849162</v>
      </c>
      <c r="J54" s="628"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5" t="s">
        <v>560</v>
      </c>
      <c r="D55" s="629"/>
      <c r="E55" s="627">
        <f>IF(E48&lt;G48,G48/E48-1,E48/G48-1)</f>
        <v>0.18488888888888888</v>
      </c>
      <c r="F55" s="628" t="str">
        <f>IF(OR(E55&gt;=0.3,E55&lt;=-0.3),"超过30%","")</f>
        <v/>
      </c>
      <c r="G55" s="627">
        <f>IF(G48&lt;I48,I48/G48-1,G48/I48-1)</f>
        <v>6.5973610555777773E-2</v>
      </c>
      <c r="H55" s="628" t="str">
        <f>IF(OR(G55&gt;=0.3,G55&lt;=-0.3),"超过30%","")</f>
        <v/>
      </c>
      <c r="I55" s="627">
        <f>IF(I48&lt;E48,E48/I48-1,I48/E48-1)</f>
        <v>0.11155555555555563</v>
      </c>
      <c r="J55" s="628"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30" t="s">
        <v>561</v>
      </c>
      <c r="B57" s="631" t="s">
        <v>562</v>
      </c>
      <c r="C57" s="1560" t="s">
        <v>3069</v>
      </c>
      <c r="D57" s="2228" t="s">
        <v>2296</v>
      </c>
      <c r="E57" s="632" t="s">
        <v>563</v>
      </c>
      <c r="F57" s="633" t="s">
        <v>564</v>
      </c>
      <c r="G57" s="3424" t="s">
        <v>2284</v>
      </c>
      <c r="H57" s="3425"/>
      <c r="I57" s="1555" t="s">
        <v>1724</v>
      </c>
      <c r="J57" s="1555" t="str">
        <f>项目基本情况!F41</f>
        <v>云南省昆明市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4" t="s">
        <v>565</v>
      </c>
      <c r="B58" s="635">
        <f>C50</f>
        <v>3059</v>
      </c>
      <c r="C58" s="636">
        <v>1</v>
      </c>
      <c r="D58" s="2229">
        <v>1</v>
      </c>
      <c r="E58" s="636">
        <f>'数据-汇总表'!E8+'数据-汇总表'!E9-'数据-汇总表'!F22</f>
        <v>156953</v>
      </c>
      <c r="F58" s="637">
        <f t="shared" ref="F58:F67" si="14">ROUND(B58*E58/10000,0)</f>
        <v>48012</v>
      </c>
      <c r="G58" s="3426"/>
      <c r="H58" s="3427"/>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8" t="s">
        <v>566</v>
      </c>
      <c r="B59" s="639">
        <f>ROUND($C$50*C59*D59,0)</f>
        <v>0</v>
      </c>
      <c r="C59" s="380">
        <f t="shared" ref="C59:C67" si="15">IF($C$57="北京市系数",I59,J59)</f>
        <v>0</v>
      </c>
      <c r="D59" s="2230">
        <v>0.25</v>
      </c>
      <c r="E59" s="640">
        <v>0</v>
      </c>
      <c r="F59" s="637">
        <f t="shared" si="14"/>
        <v>0</v>
      </c>
      <c r="G59" s="3428"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8" t="s">
        <v>567</v>
      </c>
      <c r="B60" s="639">
        <f t="shared" ref="B60:B67" si="16">ROUND($C$50*C60*D60,0)</f>
        <v>0</v>
      </c>
      <c r="C60" s="380">
        <f t="shared" si="15"/>
        <v>0</v>
      </c>
      <c r="D60" s="2230">
        <v>0.25</v>
      </c>
      <c r="E60" s="640">
        <v>0</v>
      </c>
      <c r="F60" s="637">
        <f t="shared" si="14"/>
        <v>0</v>
      </c>
      <c r="G60" s="3428"/>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8" t="s">
        <v>568</v>
      </c>
      <c r="B61" s="639">
        <f t="shared" si="16"/>
        <v>0</v>
      </c>
      <c r="C61" s="380">
        <f t="shared" si="15"/>
        <v>0</v>
      </c>
      <c r="D61" s="2230">
        <v>0.25</v>
      </c>
      <c r="E61" s="640">
        <v>0</v>
      </c>
      <c r="F61" s="637">
        <f t="shared" si="14"/>
        <v>0</v>
      </c>
      <c r="G61" s="3428"/>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8" t="s">
        <v>569</v>
      </c>
      <c r="B62" s="639">
        <f t="shared" si="16"/>
        <v>0</v>
      </c>
      <c r="C62" s="380">
        <f t="shared" si="15"/>
        <v>0</v>
      </c>
      <c r="D62" s="2230">
        <v>0.25</v>
      </c>
      <c r="E62" s="640">
        <v>0</v>
      </c>
      <c r="F62" s="637">
        <f t="shared" si="14"/>
        <v>0</v>
      </c>
      <c r="G62" s="3428"/>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2331</v>
      </c>
      <c r="B63" s="639">
        <f t="shared" si="16"/>
        <v>0</v>
      </c>
      <c r="C63" s="380">
        <f t="shared" si="15"/>
        <v>0</v>
      </c>
      <c r="D63" s="2230">
        <v>0.25</v>
      </c>
      <c r="E63" s="642">
        <f>'数据-汇总表'!E11</f>
        <v>0</v>
      </c>
      <c r="F63" s="637">
        <f t="shared" si="14"/>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8" t="s">
        <v>570</v>
      </c>
      <c r="B64" s="639">
        <f t="shared" si="16"/>
        <v>0</v>
      </c>
      <c r="C64" s="380">
        <f t="shared" si="15"/>
        <v>0</v>
      </c>
      <c r="D64" s="2230">
        <v>0.25</v>
      </c>
      <c r="E64" s="642">
        <f>'数据-汇总表'!E12</f>
        <v>0</v>
      </c>
      <c r="F64" s="637">
        <f t="shared" si="14"/>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8" t="s">
        <v>571</v>
      </c>
      <c r="B65" s="639">
        <f t="shared" si="16"/>
        <v>0</v>
      </c>
      <c r="C65" s="380">
        <f t="shared" si="15"/>
        <v>0</v>
      </c>
      <c r="D65" s="2230">
        <v>0.25</v>
      </c>
      <c r="E65" s="642">
        <f>'数据-汇总表'!E13</f>
        <v>54885</v>
      </c>
      <c r="F65" s="637">
        <f t="shared" si="14"/>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8" t="s">
        <v>572</v>
      </c>
      <c r="B66" s="639">
        <f t="shared" si="16"/>
        <v>0</v>
      </c>
      <c r="C66" s="380">
        <f t="shared" si="15"/>
        <v>0</v>
      </c>
      <c r="D66" s="2230">
        <v>0.25</v>
      </c>
      <c r="E66" s="642">
        <f>'数据-汇总表'!E14</f>
        <v>0</v>
      </c>
      <c r="F66" s="637">
        <f t="shared" si="14"/>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8" t="s">
        <v>573</v>
      </c>
      <c r="B67" s="639">
        <f t="shared" si="16"/>
        <v>0</v>
      </c>
      <c r="C67" s="380">
        <f t="shared" si="15"/>
        <v>0</v>
      </c>
      <c r="D67" s="2230">
        <v>0.25</v>
      </c>
      <c r="E67" s="642">
        <f>'数据-汇总表'!E15</f>
        <v>0</v>
      </c>
      <c r="F67" s="637">
        <f t="shared" si="14"/>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3" t="s">
        <v>574</v>
      </c>
      <c r="B68" s="644" t="s">
        <v>17</v>
      </c>
      <c r="C68" s="644" t="s">
        <v>18</v>
      </c>
      <c r="D68" s="644" t="s">
        <v>2297</v>
      </c>
      <c r="E68" s="644">
        <f>IF(B48="楼面地价",SUM(E58:E67),'数据-汇总表'!D3)</f>
        <v>211838</v>
      </c>
      <c r="F68" s="645">
        <f>IF(B48="楼面地价",SUM(F58:F67),ROUND(C50*E68/10000,0))</f>
        <v>48012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3" t="str">
        <f>YEAR(C9)&amp;"-"&amp;MONTH(C9)&amp;"-1"</f>
        <v>2018-3-1</v>
      </c>
      <c r="D70" s="2823">
        <f>EDATE(C70,-3)</f>
        <v>43070</v>
      </c>
      <c r="E70" s="2823">
        <f t="shared" ref="E70:N70" si="17">EDATE(D70,-3)</f>
        <v>42979</v>
      </c>
      <c r="F70" s="2823">
        <f t="shared" si="17"/>
        <v>42887</v>
      </c>
      <c r="G70" s="2823">
        <f t="shared" si="17"/>
        <v>42795</v>
      </c>
      <c r="H70" s="2823">
        <f t="shared" si="17"/>
        <v>42705</v>
      </c>
      <c r="I70" s="2823">
        <f t="shared" si="17"/>
        <v>42614</v>
      </c>
      <c r="J70" s="2823">
        <f t="shared" si="17"/>
        <v>42522</v>
      </c>
      <c r="K70" s="2823">
        <f t="shared" si="17"/>
        <v>42430</v>
      </c>
      <c r="L70" s="2823">
        <f t="shared" si="17"/>
        <v>42339</v>
      </c>
      <c r="M70" s="2823">
        <f t="shared" si="17"/>
        <v>42248</v>
      </c>
      <c r="N70" s="2823">
        <f t="shared" si="17"/>
        <v>42156</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0" t="s">
        <v>2538</v>
      </c>
      <c r="B72" s="2591"/>
      <c r="C72" s="2818" t="str">
        <f>YEAR(C70)&amp;"-"&amp;ROUNDUP(MONTH(C70)/3,0)</f>
        <v>2018-1</v>
      </c>
      <c r="D72" s="2825" t="str">
        <f>YEAR(D70)&amp;"-"&amp;ROUNDUP(MONTH(D70)/3,0)</f>
        <v>2017-4</v>
      </c>
      <c r="E72" s="2825" t="str">
        <f t="shared" ref="E72:N72" si="18">YEAR(E70)&amp;"-"&amp;ROUNDUP(MONTH(E70)/3,0)</f>
        <v>2017-3</v>
      </c>
      <c r="F72" s="2825" t="str">
        <f t="shared" si="18"/>
        <v>2017-2</v>
      </c>
      <c r="G72" s="2825" t="str">
        <f t="shared" si="18"/>
        <v>2017-1</v>
      </c>
      <c r="H72" s="2825" t="str">
        <f t="shared" si="18"/>
        <v>2016-4</v>
      </c>
      <c r="I72" s="2825" t="str">
        <f t="shared" si="18"/>
        <v>2016-3</v>
      </c>
      <c r="J72" s="2825" t="str">
        <f t="shared" si="18"/>
        <v>2016-2</v>
      </c>
      <c r="K72" s="2825" t="str">
        <f t="shared" si="18"/>
        <v>2016-1</v>
      </c>
      <c r="L72" s="2825" t="str">
        <f t="shared" si="18"/>
        <v>2015-4</v>
      </c>
      <c r="M72" s="2825" t="str">
        <f t="shared" si="18"/>
        <v>2015-3</v>
      </c>
      <c r="N72" s="2825" t="str">
        <f t="shared" si="18"/>
        <v>2015-2</v>
      </c>
      <c r="O72" s="3173">
        <v>42005</v>
      </c>
      <c r="P72" s="3172"/>
      <c r="Q72" s="2162" t="s">
        <v>3065</v>
      </c>
      <c r="R72" s="2162"/>
      <c r="S72" s="2162"/>
      <c r="T72" s="2162"/>
      <c r="U72" s="2162"/>
      <c r="V72" s="2162"/>
      <c r="W72" s="2162"/>
      <c r="X72" s="2162"/>
      <c r="Y72" s="2162"/>
      <c r="Z72" s="2162"/>
      <c r="AA72" s="2162"/>
      <c r="AB72" s="2162"/>
      <c r="AC72" s="2162"/>
    </row>
    <row r="73" spans="1:29" s="1219" customFormat="1" ht="27" customHeight="1">
      <c r="A73" s="2830" t="s">
        <v>2655</v>
      </c>
      <c r="B73" s="481" t="str">
        <f>"北京市平均增长率"&amp;TEXT(SUMIF(基准地价!N21:N25,A73,基准地价!P21:P25),"0.00%")</f>
        <v>北京市平均增长率0.00%</v>
      </c>
      <c r="C73" s="893">
        <v>100</v>
      </c>
      <c r="D73" s="731">
        <v>98.5</v>
      </c>
      <c r="E73" s="3171">
        <v>97</v>
      </c>
      <c r="F73" s="731">
        <v>95.5</v>
      </c>
      <c r="G73" s="3171">
        <v>94</v>
      </c>
      <c r="H73" s="731">
        <v>92.5</v>
      </c>
      <c r="I73" s="3171">
        <v>91</v>
      </c>
      <c r="J73" s="731">
        <v>89.5</v>
      </c>
      <c r="K73" s="3171">
        <v>88</v>
      </c>
      <c r="L73" s="731">
        <v>86.5</v>
      </c>
      <c r="M73" s="3171">
        <v>85</v>
      </c>
      <c r="N73" s="731">
        <v>83.5</v>
      </c>
      <c r="O73" s="3171">
        <v>82</v>
      </c>
      <c r="P73" s="731">
        <v>80.5</v>
      </c>
      <c r="Q73" s="3171">
        <v>79</v>
      </c>
      <c r="R73" s="1994"/>
      <c r="S73" s="1994"/>
      <c r="T73" s="1994"/>
      <c r="U73" s="1994"/>
      <c r="V73" s="1994"/>
      <c r="W73" s="1994"/>
      <c r="X73" s="1994"/>
      <c r="Y73" s="1994"/>
      <c r="Z73" s="1994"/>
      <c r="AA73" s="1994"/>
      <c r="AB73" s="1994"/>
      <c r="AC73" s="1994"/>
    </row>
    <row r="74" spans="1:29" s="1219" customFormat="1" ht="15" customHeight="1" thickBot="1">
      <c r="A74" s="2820" t="s">
        <v>2654</v>
      </c>
      <c r="B74" s="2829"/>
      <c r="C74" s="2814"/>
      <c r="D74" s="2815"/>
      <c r="E74" s="2815"/>
      <c r="F74" s="2815"/>
      <c r="G74" s="2815"/>
      <c r="H74" s="2815"/>
      <c r="I74" s="2815"/>
      <c r="J74" s="2815"/>
      <c r="K74" s="2815"/>
      <c r="L74" s="2815"/>
      <c r="M74" s="2815"/>
      <c r="N74" s="2815"/>
      <c r="O74" s="2163"/>
      <c r="P74" s="2159"/>
      <c r="Q74" s="2159"/>
      <c r="R74" s="1994"/>
      <c r="S74" s="1994"/>
      <c r="T74" s="1994"/>
      <c r="U74" s="1994"/>
      <c r="V74" s="1994"/>
      <c r="W74" s="1994"/>
      <c r="X74" s="1994"/>
      <c r="Y74" s="1994"/>
      <c r="Z74" s="1994"/>
      <c r="AA74" s="1994"/>
      <c r="AB74" s="1994"/>
      <c r="AC74" s="1994"/>
    </row>
    <row r="75" spans="1:29" s="1219" customFormat="1" ht="15">
      <c r="A75" s="660" t="s">
        <v>532</v>
      </c>
      <c r="B75" s="649"/>
      <c r="C75" s="661" t="s">
        <v>577</v>
      </c>
      <c r="D75" s="662"/>
      <c r="E75" s="662"/>
      <c r="F75" s="662"/>
      <c r="G75" s="662"/>
      <c r="H75" s="662"/>
      <c r="I75" s="662"/>
      <c r="J75" s="662"/>
      <c r="K75" s="662"/>
      <c r="L75" s="663"/>
      <c r="M75" s="664"/>
      <c r="N75" s="2163"/>
      <c r="O75" s="2163"/>
      <c r="P75" s="2164"/>
      <c r="Q75" s="2159"/>
      <c r="R75" s="1994"/>
      <c r="S75" s="1994"/>
      <c r="T75" s="1994"/>
      <c r="U75" s="1994"/>
      <c r="V75" s="1994"/>
      <c r="W75" s="1994"/>
      <c r="X75" s="1994"/>
      <c r="Y75" s="1994"/>
      <c r="Z75" s="1994"/>
      <c r="AA75" s="1994"/>
      <c r="AB75" s="1994"/>
      <c r="AC75" s="1994"/>
    </row>
    <row r="76" spans="1:29" s="1219" customFormat="1" ht="15.75" thickBot="1">
      <c r="A76" s="660"/>
      <c r="B76" s="649"/>
      <c r="C76" s="650">
        <v>100</v>
      </c>
      <c r="D76" s="651"/>
      <c r="E76" s="651"/>
      <c r="F76" s="651"/>
      <c r="G76" s="651"/>
      <c r="H76" s="651"/>
      <c r="I76" s="651"/>
      <c r="J76" s="651"/>
      <c r="K76" s="651"/>
      <c r="L76" s="651"/>
      <c r="M76" s="653"/>
      <c r="N76" s="2163"/>
      <c r="O76" s="2163"/>
      <c r="P76" s="2159"/>
      <c r="Q76" s="2159"/>
      <c r="R76" s="1994"/>
      <c r="S76" s="1994"/>
      <c r="T76" s="1994"/>
      <c r="U76" s="1994"/>
      <c r="V76" s="1994"/>
      <c r="W76" s="1994"/>
      <c r="X76" s="1994"/>
      <c r="Y76" s="1994"/>
      <c r="Z76" s="1994"/>
      <c r="AA76" s="1994"/>
      <c r="AB76" s="1994"/>
      <c r="AC76" s="1994"/>
    </row>
    <row r="77" spans="1:29">
      <c r="A77" s="665" t="s">
        <v>578</v>
      </c>
      <c r="B77" s="666" t="s">
        <v>535</v>
      </c>
      <c r="C77" s="3163" t="s">
        <v>2985</v>
      </c>
      <c r="D77" s="59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72">
        <v>100</v>
      </c>
      <c r="D78" s="672"/>
      <c r="E78" s="672"/>
      <c r="F78" s="672"/>
      <c r="G78" s="672"/>
      <c r="H78" s="672"/>
      <c r="I78" s="672"/>
      <c r="J78" s="672"/>
      <c r="K78" s="672"/>
      <c r="L78" s="672"/>
      <c r="M78" s="673"/>
      <c r="N78" s="2167"/>
      <c r="O78" s="2167"/>
      <c r="P78" s="2166"/>
      <c r="Q78" s="2159"/>
      <c r="R78" s="2146"/>
      <c r="S78" s="2146"/>
      <c r="T78" s="2146"/>
      <c r="U78" s="2146"/>
      <c r="V78" s="2146"/>
      <c r="W78" s="2146"/>
      <c r="X78" s="2146"/>
      <c r="Y78" s="2146"/>
      <c r="Z78" s="2146"/>
      <c r="AA78" s="2146"/>
      <c r="AB78" s="2146"/>
      <c r="AC78" s="2146"/>
    </row>
    <row r="79" spans="1:29" ht="27.75" thickTop="1">
      <c r="A79" s="670"/>
      <c r="B79" s="674" t="s">
        <v>538</v>
      </c>
      <c r="C79" s="675"/>
      <c r="D79" s="675"/>
      <c r="E79" s="675"/>
      <c r="F79" s="675"/>
      <c r="G79" s="675"/>
      <c r="H79" s="675"/>
      <c r="I79" s="675"/>
      <c r="J79" s="675"/>
      <c r="K79" s="676"/>
      <c r="L79" s="677"/>
      <c r="M79" s="678"/>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c r="D80" s="680"/>
      <c r="E80" s="680"/>
      <c r="F80" s="680"/>
      <c r="G80" s="680"/>
      <c r="H80" s="680"/>
      <c r="I80" s="680"/>
      <c r="J80" s="680"/>
      <c r="K80" s="680"/>
      <c r="L80" s="680"/>
      <c r="M80" s="681"/>
      <c r="N80" s="2167"/>
      <c r="O80" s="2167"/>
      <c r="P80" s="2166"/>
      <c r="Q80" s="2159"/>
      <c r="R80" s="2146"/>
      <c r="S80" s="2146"/>
      <c r="T80" s="2146"/>
      <c r="U80" s="2146"/>
      <c r="V80" s="2146"/>
      <c r="W80" s="2146"/>
      <c r="X80" s="2146"/>
      <c r="Y80" s="2146"/>
      <c r="Z80" s="2146"/>
      <c r="AA80" s="2146"/>
      <c r="AB80" s="2146"/>
      <c r="AC80" s="2146"/>
    </row>
    <row r="81" spans="1:29" ht="15.75" thickTop="1">
      <c r="A81" s="670"/>
      <c r="B81" s="682" t="s">
        <v>539</v>
      </c>
      <c r="C81" s="683" t="str">
        <f>C82&amp;"（含）"&amp;"-"&amp;D82</f>
        <v>3（含）-4</v>
      </c>
      <c r="D81" s="683" t="str">
        <f t="shared" ref="D81:L81" si="19">D82&amp;"（含）"&amp;"-"&amp;E82</f>
        <v>4（含）-5</v>
      </c>
      <c r="E81" s="683" t="str">
        <f t="shared" si="19"/>
        <v>5（含）-6</v>
      </c>
      <c r="F81" s="683" t="str">
        <f t="shared" si="19"/>
        <v>6（含）-7</v>
      </c>
      <c r="G81" s="683" t="str">
        <f t="shared" si="19"/>
        <v>7（含）-8</v>
      </c>
      <c r="H81" s="683" t="str">
        <f t="shared" si="19"/>
        <v>8（含）-9</v>
      </c>
      <c r="I81" s="683" t="str">
        <f t="shared" si="19"/>
        <v>9（含）-10</v>
      </c>
      <c r="J81" s="683" t="str">
        <f t="shared" si="19"/>
        <v>10（含）-11</v>
      </c>
      <c r="K81" s="683" t="str">
        <f t="shared" si="19"/>
        <v>11（含）-12</v>
      </c>
      <c r="L81" s="683" t="str">
        <f t="shared" si="19"/>
        <v>12（含）-13</v>
      </c>
      <c r="M81" s="556" t="str">
        <f>M82&amp;"（含）"&amp;"-"&amp;P82</f>
        <v>13（含）-</v>
      </c>
      <c r="N81" s="2167"/>
      <c r="O81" s="2167"/>
      <c r="P81" s="2166"/>
      <c r="Q81" s="2159"/>
      <c r="R81" s="2146"/>
      <c r="S81" s="2146"/>
      <c r="T81" s="2146"/>
      <c r="U81" s="2146"/>
      <c r="V81" s="2146"/>
      <c r="W81" s="2146"/>
      <c r="X81" s="2146"/>
      <c r="Y81" s="2146"/>
      <c r="Z81" s="2146"/>
      <c r="AA81" s="2146"/>
      <c r="AB81" s="2146"/>
      <c r="AC81" s="2146"/>
    </row>
    <row r="82" spans="1:29" ht="15">
      <c r="A82" s="670"/>
      <c r="B82" s="684"/>
      <c r="C82" s="542">
        <v>3</v>
      </c>
      <c r="D82" s="542">
        <v>4</v>
      </c>
      <c r="E82" s="542">
        <v>5</v>
      </c>
      <c r="F82" s="542">
        <v>6</v>
      </c>
      <c r="G82" s="542">
        <v>7</v>
      </c>
      <c r="H82" s="542">
        <v>8</v>
      </c>
      <c r="I82" s="542">
        <v>9</v>
      </c>
      <c r="J82" s="542">
        <v>10</v>
      </c>
      <c r="K82" s="542">
        <v>11</v>
      </c>
      <c r="L82" s="542">
        <v>12</v>
      </c>
      <c r="M82" s="542">
        <v>13</v>
      </c>
      <c r="N82" s="2165"/>
      <c r="O82" s="2165"/>
      <c r="P82" s="2166"/>
      <c r="Q82" s="2159"/>
      <c r="R82" s="2146"/>
      <c r="S82" s="2146"/>
      <c r="T82" s="2146"/>
      <c r="U82" s="2146"/>
      <c r="V82" s="2146"/>
      <c r="W82" s="2146"/>
      <c r="X82" s="2146"/>
      <c r="Y82" s="2146"/>
      <c r="Z82" s="2146"/>
      <c r="AA82" s="2146"/>
      <c r="AB82" s="2146"/>
      <c r="AC82" s="2146"/>
    </row>
    <row r="83" spans="1:29" ht="15.75" thickBot="1">
      <c r="A83" s="670"/>
      <c r="B83" s="671"/>
      <c r="C83" s="680">
        <v>100</v>
      </c>
      <c r="D83" s="680">
        <f>IF($B$48="单位面积地价",C83+$K13,C83-$K13)</f>
        <v>97</v>
      </c>
      <c r="E83" s="680">
        <f t="shared" ref="E83:M83" si="20">IF($B$48="单位面积地价",D83+$K13,D83-$K13)</f>
        <v>94</v>
      </c>
      <c r="F83" s="680">
        <f t="shared" si="20"/>
        <v>91</v>
      </c>
      <c r="G83" s="680">
        <f t="shared" si="20"/>
        <v>88</v>
      </c>
      <c r="H83" s="680">
        <f t="shared" si="20"/>
        <v>85</v>
      </c>
      <c r="I83" s="680">
        <f t="shared" si="20"/>
        <v>82</v>
      </c>
      <c r="J83" s="680">
        <f t="shared" si="20"/>
        <v>79</v>
      </c>
      <c r="K83" s="680">
        <f t="shared" si="20"/>
        <v>76</v>
      </c>
      <c r="L83" s="680">
        <f t="shared" si="20"/>
        <v>73</v>
      </c>
      <c r="M83" s="680">
        <f t="shared" si="20"/>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8"/>
      <c r="B84" s="674" t="str">
        <f>B14</f>
        <v>配建</v>
      </c>
      <c r="C84" s="3175" t="s">
        <v>3067</v>
      </c>
      <c r="D84" s="1375" t="s">
        <v>3068</v>
      </c>
      <c r="E84" s="1376"/>
      <c r="F84" s="689"/>
      <c r="G84" s="689"/>
      <c r="H84" s="690"/>
      <c r="I84" s="690"/>
      <c r="J84" s="690"/>
      <c r="K84" s="690"/>
      <c r="L84" s="691"/>
      <c r="M84" s="692"/>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8"/>
      <c r="B85" s="679"/>
      <c r="C85" s="693">
        <v>100</v>
      </c>
      <c r="D85" s="672">
        <v>98</v>
      </c>
      <c r="E85" s="672"/>
      <c r="F85" s="672"/>
      <c r="G85" s="672"/>
      <c r="H85" s="672"/>
      <c r="I85" s="672"/>
      <c r="J85" s="672"/>
      <c r="K85" s="672"/>
      <c r="L85" s="672"/>
      <c r="M85" s="673"/>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8"/>
      <c r="B86" s="674">
        <f>B15</f>
        <v>0</v>
      </c>
      <c r="C86" s="689"/>
      <c r="D86" s="689"/>
      <c r="E86" s="689"/>
      <c r="F86" s="689"/>
      <c r="G86" s="689"/>
      <c r="H86" s="690"/>
      <c r="I86" s="690"/>
      <c r="J86" s="690"/>
      <c r="K86" s="690"/>
      <c r="L86" s="691"/>
      <c r="M86" s="692"/>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8"/>
      <c r="B87" s="679"/>
      <c r="C87" s="693"/>
      <c r="D87" s="693"/>
      <c r="E87" s="693"/>
      <c r="F87" s="693"/>
      <c r="G87" s="693"/>
      <c r="H87" s="694"/>
      <c r="I87" s="694"/>
      <c r="J87" s="694"/>
      <c r="K87" s="694"/>
      <c r="L87" s="694"/>
      <c r="M87" s="695"/>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8"/>
      <c r="B88" s="682">
        <f>B16</f>
        <v>0</v>
      </c>
      <c r="C88" s="662"/>
      <c r="D88" s="662"/>
      <c r="E88" s="662"/>
      <c r="F88" s="662"/>
      <c r="G88" s="662"/>
      <c r="H88" s="696"/>
      <c r="I88" s="696"/>
      <c r="J88" s="696"/>
      <c r="K88" s="696"/>
      <c r="L88" s="697"/>
      <c r="M88" s="698"/>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9"/>
      <c r="B89" s="700"/>
      <c r="C89" s="701"/>
      <c r="D89" s="701"/>
      <c r="E89" s="701"/>
      <c r="F89" s="701"/>
      <c r="G89" s="701"/>
      <c r="H89" s="702"/>
      <c r="I89" s="702"/>
      <c r="J89" s="702"/>
      <c r="K89" s="702"/>
      <c r="L89" s="702"/>
      <c r="M89" s="703"/>
      <c r="N89" s="2168"/>
      <c r="O89" s="2168"/>
      <c r="P89" s="2169"/>
      <c r="Q89" s="2170"/>
      <c r="R89" s="2171"/>
      <c r="S89" s="2171"/>
      <c r="T89" s="2171"/>
      <c r="U89" s="2171"/>
      <c r="V89" s="2171"/>
      <c r="W89" s="2171"/>
      <c r="X89" s="2171"/>
      <c r="Y89" s="2171"/>
      <c r="Z89" s="2171"/>
      <c r="AA89" s="2171"/>
      <c r="AB89" s="2171"/>
      <c r="AC89" s="2171"/>
    </row>
    <row r="90" spans="1:29">
      <c r="A90" s="665" t="s">
        <v>540</v>
      </c>
      <c r="B90" s="666" t="s">
        <v>579</v>
      </c>
      <c r="C90" s="704" t="s">
        <v>580</v>
      </c>
      <c r="D90" s="704" t="s">
        <v>581</v>
      </c>
      <c r="E90" s="704" t="s">
        <v>582</v>
      </c>
      <c r="F90" s="704" t="s">
        <v>583</v>
      </c>
      <c r="G90" s="704" t="s">
        <v>584</v>
      </c>
      <c r="H90" s="705"/>
      <c r="I90" s="705"/>
      <c r="J90" s="705"/>
      <c r="K90" s="706"/>
      <c r="L90" s="707"/>
      <c r="M90" s="708"/>
      <c r="N90" s="2165"/>
      <c r="O90" s="2165"/>
      <c r="P90" s="2175"/>
      <c r="Q90" s="2159"/>
      <c r="R90" s="2146"/>
      <c r="S90" s="2146"/>
      <c r="T90" s="2146"/>
      <c r="U90" s="2146"/>
      <c r="V90" s="2146"/>
      <c r="W90" s="2146"/>
      <c r="X90" s="2146"/>
      <c r="Y90" s="2146"/>
      <c r="Z90" s="2146"/>
      <c r="AA90" s="2146"/>
      <c r="AB90" s="2146"/>
      <c r="AC90" s="2146"/>
    </row>
    <row r="91" spans="1:29" ht="15.75" thickBot="1">
      <c r="A91" s="670"/>
      <c r="B91" s="679"/>
      <c r="C91" s="680">
        <v>100</v>
      </c>
      <c r="D91" s="680">
        <f>C91-$K17</f>
        <v>98</v>
      </c>
      <c r="E91" s="680">
        <f>D91-$K17</f>
        <v>96</v>
      </c>
      <c r="F91" s="680">
        <f>E91-$K17</f>
        <v>94</v>
      </c>
      <c r="G91" s="680">
        <f>F91-$K17</f>
        <v>92</v>
      </c>
      <c r="H91" s="680"/>
      <c r="I91" s="680"/>
      <c r="J91" s="680"/>
      <c r="K91" s="680"/>
      <c r="L91" s="680"/>
      <c r="M91" s="681"/>
      <c r="N91" s="2167"/>
      <c r="O91" s="2167"/>
      <c r="P91" s="2166"/>
      <c r="Q91" s="2159"/>
      <c r="R91" s="2146"/>
      <c r="S91" s="2146"/>
      <c r="T91" s="2146"/>
      <c r="U91" s="2146"/>
      <c r="V91" s="2146"/>
      <c r="W91" s="2146"/>
      <c r="X91" s="2146"/>
      <c r="Y91" s="2146"/>
      <c r="Z91" s="2146"/>
      <c r="AA91" s="2146"/>
      <c r="AB91" s="2146"/>
      <c r="AC91" s="2146"/>
    </row>
    <row r="92" spans="1:29" ht="15.75" thickTop="1">
      <c r="A92" s="670"/>
      <c r="B92" s="674" t="s">
        <v>585</v>
      </c>
      <c r="C92" s="709" t="s">
        <v>580</v>
      </c>
      <c r="D92" s="709" t="s">
        <v>581</v>
      </c>
      <c r="E92" s="709" t="s">
        <v>582</v>
      </c>
      <c r="F92" s="709" t="s">
        <v>583</v>
      </c>
      <c r="G92" s="709" t="s">
        <v>584</v>
      </c>
      <c r="H92" s="675"/>
      <c r="I92" s="675"/>
      <c r="J92" s="675"/>
      <c r="K92" s="676"/>
      <c r="L92" s="677"/>
      <c r="M92" s="678"/>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80">
        <v>100</v>
      </c>
      <c r="D93" s="680">
        <f>C93-$K19</f>
        <v>98</v>
      </c>
      <c r="E93" s="680">
        <f>D93-$K19</f>
        <v>96</v>
      </c>
      <c r="F93" s="680">
        <f>E93-$K19</f>
        <v>94</v>
      </c>
      <c r="G93" s="680">
        <f>F93-$K19</f>
        <v>92</v>
      </c>
      <c r="H93" s="680"/>
      <c r="I93" s="680"/>
      <c r="J93" s="680"/>
      <c r="K93" s="680"/>
      <c r="L93" s="680"/>
      <c r="M93" s="681"/>
      <c r="N93" s="2167"/>
      <c r="O93" s="2167"/>
      <c r="P93" s="2166"/>
      <c r="Q93" s="2159"/>
      <c r="R93" s="2146"/>
      <c r="S93" s="2146"/>
      <c r="T93" s="2146"/>
      <c r="U93" s="2146"/>
      <c r="V93" s="2146"/>
      <c r="W93" s="2146"/>
      <c r="X93" s="2146"/>
      <c r="Y93" s="2146"/>
      <c r="Z93" s="2146"/>
      <c r="AA93" s="2146"/>
      <c r="AB93" s="2146"/>
      <c r="AC93" s="2146"/>
    </row>
    <row r="94" spans="1:29" ht="15.75" thickTop="1">
      <c r="A94" s="670"/>
      <c r="B94" s="674" t="s">
        <v>586</v>
      </c>
      <c r="C94" s="709" t="s">
        <v>580</v>
      </c>
      <c r="D94" s="709" t="s">
        <v>581</v>
      </c>
      <c r="E94" s="709" t="s">
        <v>582</v>
      </c>
      <c r="F94" s="709" t="s">
        <v>583</v>
      </c>
      <c r="G94" s="709" t="s">
        <v>584</v>
      </c>
      <c r="H94" s="675"/>
      <c r="I94" s="675"/>
      <c r="J94" s="675"/>
      <c r="K94" s="676"/>
      <c r="L94" s="677"/>
      <c r="M94" s="678"/>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80">
        <v>100</v>
      </c>
      <c r="D95" s="680">
        <f>C95-$K21</f>
        <v>97</v>
      </c>
      <c r="E95" s="680">
        <f>D95-$K21</f>
        <v>94</v>
      </c>
      <c r="F95" s="680">
        <f>E95-$K21</f>
        <v>91</v>
      </c>
      <c r="G95" s="680">
        <f>F95-$K21</f>
        <v>88</v>
      </c>
      <c r="H95" s="680"/>
      <c r="I95" s="680"/>
      <c r="J95" s="680"/>
      <c r="K95" s="680"/>
      <c r="L95" s="680"/>
      <c r="M95" s="681"/>
      <c r="N95" s="2167"/>
      <c r="O95" s="2167"/>
      <c r="P95" s="2166"/>
      <c r="Q95" s="2159"/>
      <c r="R95" s="2146"/>
      <c r="S95" s="2146"/>
      <c r="T95" s="2146"/>
      <c r="U95" s="2146"/>
      <c r="V95" s="2146"/>
      <c r="W95" s="2146"/>
      <c r="X95" s="2146"/>
      <c r="Y95" s="2146"/>
      <c r="Z95" s="2146"/>
      <c r="AA95" s="2146"/>
      <c r="AB95" s="2146"/>
      <c r="AC95" s="2146"/>
    </row>
    <row r="96" spans="1:29" ht="15.75" thickTop="1">
      <c r="A96" s="670"/>
      <c r="B96" s="674" t="s">
        <v>587</v>
      </c>
      <c r="C96" s="709" t="s">
        <v>580</v>
      </c>
      <c r="D96" s="709" t="s">
        <v>581</v>
      </c>
      <c r="E96" s="709" t="s">
        <v>582</v>
      </c>
      <c r="F96" s="709" t="s">
        <v>583</v>
      </c>
      <c r="G96" s="709" t="s">
        <v>584</v>
      </c>
      <c r="H96" s="675"/>
      <c r="I96" s="675"/>
      <c r="J96" s="675"/>
      <c r="K96" s="676"/>
      <c r="L96" s="677"/>
      <c r="M96" s="678"/>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80">
        <v>100</v>
      </c>
      <c r="D97" s="680">
        <f>C97-$K23</f>
        <v>98</v>
      </c>
      <c r="E97" s="680">
        <f>D97-$K23</f>
        <v>96</v>
      </c>
      <c r="F97" s="680">
        <f>E97-$K23</f>
        <v>94</v>
      </c>
      <c r="G97" s="680">
        <f>F97-$K23</f>
        <v>92</v>
      </c>
      <c r="H97" s="680"/>
      <c r="I97" s="680"/>
      <c r="J97" s="680"/>
      <c r="K97" s="680"/>
      <c r="L97" s="680"/>
      <c r="M97" s="681"/>
      <c r="N97" s="2167"/>
      <c r="O97" s="2167"/>
      <c r="P97" s="2166"/>
      <c r="Q97" s="2159"/>
      <c r="R97" s="2146"/>
      <c r="S97" s="2146"/>
      <c r="T97" s="2146"/>
      <c r="U97" s="2146"/>
      <c r="V97" s="2146"/>
      <c r="W97" s="2146"/>
      <c r="X97" s="2146"/>
      <c r="Y97" s="2146"/>
      <c r="Z97" s="2146"/>
      <c r="AA97" s="2146"/>
      <c r="AB97" s="2146"/>
      <c r="AC97" s="2146"/>
    </row>
    <row r="98" spans="1:29" s="1219" customFormat="1" ht="27.75" thickTop="1">
      <c r="A98" s="710"/>
      <c r="B98" s="674" t="s">
        <v>588</v>
      </c>
      <c r="C98" s="709" t="s">
        <v>580</v>
      </c>
      <c r="D98" s="709" t="s">
        <v>581</v>
      </c>
      <c r="E98" s="709" t="s">
        <v>582</v>
      </c>
      <c r="F98" s="709" t="s">
        <v>583</v>
      </c>
      <c r="G98" s="709" t="s">
        <v>584</v>
      </c>
      <c r="H98" s="709"/>
      <c r="I98" s="709"/>
      <c r="J98" s="709"/>
      <c r="K98" s="709"/>
      <c r="L98" s="711"/>
      <c r="M98" s="712"/>
      <c r="N98" s="2163"/>
      <c r="O98" s="2163"/>
      <c r="P98" s="2166"/>
      <c r="Q98" s="2159"/>
      <c r="R98" s="1994"/>
      <c r="S98" s="1994"/>
      <c r="T98" s="1994"/>
      <c r="U98" s="1994"/>
      <c r="V98" s="1994"/>
      <c r="W98" s="1994"/>
      <c r="X98" s="1994"/>
      <c r="Y98" s="1994"/>
      <c r="Z98" s="1994"/>
      <c r="AA98" s="1994"/>
      <c r="AB98" s="1994"/>
      <c r="AC98" s="1994"/>
    </row>
    <row r="99" spans="1:29" s="1219" customFormat="1" ht="15.75" thickBot="1">
      <c r="A99" s="710"/>
      <c r="B99" s="679"/>
      <c r="C99" s="713">
        <v>100</v>
      </c>
      <c r="D99" s="680">
        <f>C99-$K25</f>
        <v>95</v>
      </c>
      <c r="E99" s="680">
        <f>D99-$K25</f>
        <v>90</v>
      </c>
      <c r="F99" s="680">
        <f>E99-$K25</f>
        <v>85</v>
      </c>
      <c r="G99" s="680">
        <f>F99-$K25</f>
        <v>80</v>
      </c>
      <c r="H99" s="680"/>
      <c r="I99" s="680"/>
      <c r="J99" s="680"/>
      <c r="K99" s="680"/>
      <c r="L99" s="680"/>
      <c r="M99" s="681"/>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10"/>
      <c r="B100" s="674" t="s">
        <v>589</v>
      </c>
      <c r="C100" s="704" t="s">
        <v>580</v>
      </c>
      <c r="D100" s="704" t="s">
        <v>581</v>
      </c>
      <c r="E100" s="704" t="s">
        <v>582</v>
      </c>
      <c r="F100" s="704" t="s">
        <v>583</v>
      </c>
      <c r="G100" s="704" t="s">
        <v>584</v>
      </c>
      <c r="H100" s="709"/>
      <c r="I100" s="709"/>
      <c r="J100" s="709"/>
      <c r="K100" s="709"/>
      <c r="L100" s="709"/>
      <c r="M100" s="712"/>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8"/>
      <c r="B102" s="1897" t="s">
        <v>2554</v>
      </c>
      <c r="C102" s="704" t="s">
        <v>580</v>
      </c>
      <c r="D102" s="704" t="s">
        <v>581</v>
      </c>
      <c r="E102" s="704" t="s">
        <v>582</v>
      </c>
      <c r="F102" s="704" t="s">
        <v>583</v>
      </c>
      <c r="G102" s="704" t="s">
        <v>584</v>
      </c>
      <c r="H102" s="714"/>
      <c r="I102" s="714"/>
      <c r="J102" s="714"/>
      <c r="K102" s="714"/>
      <c r="L102" s="715"/>
      <c r="M102" s="716"/>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8"/>
      <c r="B103" s="679"/>
      <c r="C103" s="680">
        <v>100</v>
      </c>
      <c r="D103" s="680">
        <f>C103-$K29</f>
        <v>98</v>
      </c>
      <c r="E103" s="680">
        <f>D103-$K29</f>
        <v>96</v>
      </c>
      <c r="F103" s="680">
        <f>E103-$K29</f>
        <v>94</v>
      </c>
      <c r="G103" s="680">
        <f>F103-$K29</f>
        <v>92</v>
      </c>
      <c r="H103" s="717"/>
      <c r="I103" s="717"/>
      <c r="J103" s="717"/>
      <c r="K103" s="717"/>
      <c r="L103" s="717"/>
      <c r="M103" s="718"/>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8"/>
      <c r="B104" s="2619" t="s">
        <v>2556</v>
      </c>
      <c r="C104" s="2620" t="s">
        <v>2557</v>
      </c>
      <c r="D104" s="2620" t="s">
        <v>2558</v>
      </c>
      <c r="E104" s="2620" t="s">
        <v>2559</v>
      </c>
      <c r="F104" s="2620" t="s">
        <v>2560</v>
      </c>
      <c r="G104" s="2620" t="s">
        <v>2561</v>
      </c>
      <c r="H104" s="714"/>
      <c r="I104" s="714"/>
      <c r="J104" s="714"/>
      <c r="K104" s="714"/>
      <c r="L104" s="714"/>
      <c r="M104" s="716"/>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8"/>
      <c r="B105" s="682"/>
      <c r="C105" s="680">
        <v>100</v>
      </c>
      <c r="D105" s="680">
        <f>C105-$K31</f>
        <v>99</v>
      </c>
      <c r="E105" s="680">
        <f>D105-$K31</f>
        <v>98</v>
      </c>
      <c r="F105" s="680">
        <f>E105-$K31</f>
        <v>97</v>
      </c>
      <c r="G105" s="680">
        <f>F105-$K31</f>
        <v>96</v>
      </c>
      <c r="H105" s="684"/>
      <c r="I105" s="684"/>
      <c r="J105" s="684"/>
      <c r="K105" s="684"/>
      <c r="L105" s="684"/>
      <c r="M105" s="2612"/>
      <c r="N105" s="2168"/>
      <c r="O105" s="2168"/>
      <c r="P105" s="2169"/>
      <c r="Q105" s="2170"/>
      <c r="R105" s="2171"/>
      <c r="S105" s="2171"/>
      <c r="T105" s="2171"/>
      <c r="U105" s="2171"/>
      <c r="V105" s="2171"/>
      <c r="W105" s="2171"/>
      <c r="X105" s="2171"/>
      <c r="Y105" s="2171"/>
      <c r="Z105" s="2171"/>
      <c r="AA105" s="2171"/>
      <c r="AB105" s="2171"/>
      <c r="AC105" s="2171"/>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5"/>
      <c r="O106" s="2165"/>
      <c r="P106" s="2166"/>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C107-$K33</f>
        <v>98</v>
      </c>
      <c r="E107" s="680">
        <f t="shared" ref="E107:M107" si="21">D107-$K33</f>
        <v>96</v>
      </c>
      <c r="F107" s="680">
        <f t="shared" si="21"/>
        <v>94</v>
      </c>
      <c r="G107" s="680">
        <f t="shared" si="21"/>
        <v>92</v>
      </c>
      <c r="H107" s="680">
        <f t="shared" si="21"/>
        <v>90</v>
      </c>
      <c r="I107" s="680">
        <f t="shared" si="21"/>
        <v>88</v>
      </c>
      <c r="J107" s="680">
        <f t="shared" si="21"/>
        <v>86</v>
      </c>
      <c r="K107" s="680">
        <f t="shared" si="21"/>
        <v>84</v>
      </c>
      <c r="L107" s="680">
        <f t="shared" si="21"/>
        <v>82</v>
      </c>
      <c r="M107" s="680">
        <f t="shared" si="21"/>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0"/>
      <c r="B108" s="674" t="s">
        <v>549</v>
      </c>
      <c r="C108" s="689" t="s">
        <v>2986</v>
      </c>
      <c r="D108" s="689" t="s">
        <v>2987</v>
      </c>
      <c r="E108" s="689" t="s">
        <v>2988</v>
      </c>
      <c r="F108" s="689" t="s">
        <v>2989</v>
      </c>
      <c r="G108" s="689" t="s">
        <v>2990</v>
      </c>
      <c r="H108" s="719"/>
      <c r="I108" s="719"/>
      <c r="J108" s="719"/>
      <c r="K108" s="720"/>
      <c r="L108" s="721"/>
      <c r="M108" s="722"/>
      <c r="N108" s="2165"/>
      <c r="O108" s="2165"/>
      <c r="P108" s="2166"/>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C109-$K34</f>
        <v>98</v>
      </c>
      <c r="E109" s="680">
        <f t="shared" ref="E109:M109" si="22">D109-$K34</f>
        <v>96</v>
      </c>
      <c r="F109" s="680">
        <f t="shared" si="22"/>
        <v>94</v>
      </c>
      <c r="G109" s="680">
        <f t="shared" si="22"/>
        <v>92</v>
      </c>
      <c r="H109" s="680">
        <f t="shared" si="22"/>
        <v>90</v>
      </c>
      <c r="I109" s="680">
        <f t="shared" si="22"/>
        <v>88</v>
      </c>
      <c r="J109" s="680">
        <f t="shared" si="22"/>
        <v>86</v>
      </c>
      <c r="K109" s="680">
        <f t="shared" si="22"/>
        <v>84</v>
      </c>
      <c r="L109" s="680">
        <f t="shared" si="22"/>
        <v>82</v>
      </c>
      <c r="M109" s="680">
        <f t="shared" si="22"/>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0"/>
      <c r="B110" s="674" t="s">
        <v>550</v>
      </c>
      <c r="C110" s="719" t="s">
        <v>2991</v>
      </c>
      <c r="D110" s="719" t="s">
        <v>2992</v>
      </c>
      <c r="E110" s="719" t="s">
        <v>2993</v>
      </c>
      <c r="F110" s="719"/>
      <c r="G110" s="719"/>
      <c r="H110" s="719"/>
      <c r="I110" s="719"/>
      <c r="J110" s="719"/>
      <c r="K110" s="720"/>
      <c r="L110" s="721"/>
      <c r="M110" s="72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80">
        <v>100</v>
      </c>
      <c r="D111" s="680">
        <f>C111-$K36</f>
        <v>100</v>
      </c>
      <c r="E111" s="680">
        <f t="shared" ref="E111:M111" si="23">D111-$K36</f>
        <v>100</v>
      </c>
      <c r="F111" s="680">
        <f t="shared" si="23"/>
        <v>100</v>
      </c>
      <c r="G111" s="680">
        <f t="shared" si="23"/>
        <v>100</v>
      </c>
      <c r="H111" s="680">
        <f t="shared" si="23"/>
        <v>100</v>
      </c>
      <c r="I111" s="680">
        <f t="shared" si="23"/>
        <v>100</v>
      </c>
      <c r="J111" s="680">
        <f t="shared" si="23"/>
        <v>100</v>
      </c>
      <c r="K111" s="680">
        <f t="shared" si="23"/>
        <v>100</v>
      </c>
      <c r="L111" s="680">
        <f t="shared" si="23"/>
        <v>100</v>
      </c>
      <c r="M111" s="680">
        <f t="shared" si="23"/>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70"/>
      <c r="B112" s="682">
        <f>B37</f>
        <v>0</v>
      </c>
      <c r="C112" s="689"/>
      <c r="D112" s="689"/>
      <c r="E112" s="689"/>
      <c r="F112" s="689"/>
      <c r="G112" s="723"/>
      <c r="H112" s="723"/>
      <c r="I112" s="723"/>
      <c r="J112" s="723"/>
      <c r="K112" s="724"/>
      <c r="L112" s="725"/>
      <c r="M112" s="726"/>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70"/>
      <c r="B113" s="700"/>
      <c r="C113" s="693"/>
      <c r="D113" s="693"/>
      <c r="E113" s="693"/>
      <c r="F113" s="693"/>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8"/>
      <c r="B114" s="674">
        <f>B38</f>
        <v>0</v>
      </c>
      <c r="C114" s="662"/>
      <c r="D114" s="662"/>
      <c r="E114" s="662"/>
      <c r="F114" s="662"/>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70"/>
      <c r="B115" s="679"/>
      <c r="C115" s="701"/>
      <c r="D115" s="701"/>
      <c r="E115" s="701"/>
      <c r="F115" s="701"/>
      <c r="G115" s="672"/>
      <c r="H115" s="672"/>
      <c r="I115" s="672"/>
      <c r="J115" s="672"/>
      <c r="K115" s="672"/>
      <c r="L115" s="672"/>
      <c r="M115" s="673"/>
      <c r="N115" s="2167"/>
      <c r="O115" s="2167"/>
      <c r="P115" s="2166"/>
      <c r="Q115" s="2159"/>
      <c r="R115" s="2146"/>
      <c r="S115" s="2146"/>
      <c r="T115" s="2146"/>
      <c r="U115" s="2146"/>
      <c r="V115" s="2146"/>
      <c r="W115" s="2146"/>
      <c r="X115" s="2146"/>
      <c r="Y115" s="2146"/>
      <c r="Z115" s="2146"/>
      <c r="AA115" s="2146"/>
      <c r="AB115" s="2146"/>
      <c r="AC115" s="2146"/>
    </row>
    <row r="116" spans="1:29" s="1338" customFormat="1" ht="15" hidden="1" thickTop="1">
      <c r="A116" s="729"/>
      <c r="B116" s="730">
        <f>B39</f>
        <v>0</v>
      </c>
      <c r="C116" s="731"/>
      <c r="D116" s="731"/>
      <c r="E116" s="731"/>
      <c r="F116" s="731"/>
      <c r="G116" s="731"/>
      <c r="H116" s="731"/>
      <c r="I116" s="731"/>
      <c r="J116" s="732"/>
      <c r="K116" s="732"/>
      <c r="L116" s="733"/>
      <c r="M116" s="734"/>
      <c r="N116" s="2168"/>
      <c r="O116" s="2168"/>
      <c r="P116" s="2169"/>
      <c r="Q116" s="2170"/>
      <c r="R116" s="2171"/>
      <c r="S116" s="2171"/>
      <c r="T116" s="2171"/>
      <c r="U116" s="2171"/>
      <c r="V116" s="2171"/>
      <c r="W116" s="2171"/>
      <c r="X116" s="2171"/>
      <c r="Y116" s="2171"/>
      <c r="Z116" s="2171"/>
      <c r="AA116" s="2171"/>
      <c r="AB116" s="2171"/>
      <c r="AC116" s="2171"/>
    </row>
    <row r="117" spans="1:29" s="1338" customFormat="1" ht="15.75" hidden="1" thickBot="1">
      <c r="A117" s="688"/>
      <c r="B117" s="682"/>
      <c r="C117" s="651"/>
      <c r="D117" s="593"/>
      <c r="E117" s="593"/>
      <c r="F117" s="593"/>
      <c r="G117" s="593"/>
      <c r="H117" s="593"/>
      <c r="I117" s="593"/>
      <c r="J117" s="593"/>
      <c r="K117" s="593"/>
      <c r="L117" s="593"/>
      <c r="M117" s="735"/>
      <c r="N117" s="2167"/>
      <c r="O117" s="2167"/>
      <c r="P117" s="2169"/>
      <c r="Q117" s="2170"/>
      <c r="R117" s="2171"/>
      <c r="S117" s="2171"/>
      <c r="T117" s="2171"/>
      <c r="U117" s="2171"/>
      <c r="V117" s="2171"/>
      <c r="W117" s="2171"/>
      <c r="X117" s="2171"/>
      <c r="Y117" s="2171"/>
      <c r="Z117" s="2171"/>
      <c r="AA117" s="2171"/>
      <c r="AB117" s="2171"/>
      <c r="AC117" s="2171"/>
    </row>
    <row r="118" spans="1:29" ht="29.25" thickTop="1">
      <c r="A118" s="665" t="s">
        <v>552</v>
      </c>
      <c r="B118" s="666" t="s">
        <v>594</v>
      </c>
      <c r="C118" s="705" t="str">
        <f t="shared" ref="C118:L118" si="24">C119&amp;"(含)"&amp;"-"&amp;D119</f>
        <v>0(含)-10000</v>
      </c>
      <c r="D118" s="705" t="str">
        <f t="shared" si="24"/>
        <v>10000(含)-20000</v>
      </c>
      <c r="E118" s="705" t="str">
        <f t="shared" si="24"/>
        <v>20000(含)-30000</v>
      </c>
      <c r="F118" s="705" t="str">
        <f t="shared" si="24"/>
        <v>30000(含)-40000</v>
      </c>
      <c r="G118" s="705" t="str">
        <f t="shared" si="24"/>
        <v>40000(含)-50000</v>
      </c>
      <c r="H118" s="705" t="str">
        <f t="shared" si="24"/>
        <v>50000(含)-60000</v>
      </c>
      <c r="I118" s="705" t="str">
        <f t="shared" si="24"/>
        <v>60000(含)-70000</v>
      </c>
      <c r="J118" s="3117" t="str">
        <f t="shared" si="24"/>
        <v>70000(含)-80000</v>
      </c>
      <c r="K118" s="3117" t="str">
        <f t="shared" si="24"/>
        <v>80000(含)-90000</v>
      </c>
      <c r="L118" s="3118" t="str">
        <f t="shared" si="24"/>
        <v>90000(含)-100000</v>
      </c>
      <c r="M118" s="3119" t="str">
        <f>M119&amp;"(含)"&amp;"-"&amp;P119</f>
        <v>100000(含)-</v>
      </c>
      <c r="N118" s="2165"/>
      <c r="O118" s="2165"/>
      <c r="P118" s="2166"/>
      <c r="Q118" s="2159"/>
      <c r="R118" s="2146"/>
      <c r="S118" s="2146"/>
      <c r="T118" s="2146"/>
      <c r="U118" s="2146"/>
      <c r="V118" s="2146"/>
      <c r="W118" s="2146"/>
      <c r="X118" s="2146"/>
      <c r="Y118" s="2146"/>
      <c r="Z118" s="2146"/>
      <c r="AA118" s="2146"/>
      <c r="AB118" s="2146"/>
      <c r="AC118" s="2146"/>
    </row>
    <row r="119" spans="1:29" ht="15">
      <c r="A119" s="670"/>
      <c r="B119" s="682"/>
      <c r="C119" s="731">
        <v>0</v>
      </c>
      <c r="D119" s="731">
        <v>10000</v>
      </c>
      <c r="E119" s="731">
        <v>20000</v>
      </c>
      <c r="F119" s="731">
        <v>30000</v>
      </c>
      <c r="G119" s="731">
        <v>40000</v>
      </c>
      <c r="H119" s="731">
        <v>50000</v>
      </c>
      <c r="I119" s="731">
        <v>60000</v>
      </c>
      <c r="J119" s="731">
        <v>70000</v>
      </c>
      <c r="K119" s="731">
        <v>80000</v>
      </c>
      <c r="L119" s="731">
        <v>90000</v>
      </c>
      <c r="M119" s="731">
        <v>100000</v>
      </c>
      <c r="N119" s="2165"/>
      <c r="O119" s="2165"/>
      <c r="P119" s="2166"/>
      <c r="Q119" s="2159"/>
      <c r="R119" s="2146"/>
      <c r="S119" s="2146"/>
      <c r="T119" s="2146"/>
      <c r="U119" s="2146"/>
      <c r="V119" s="2146"/>
      <c r="W119" s="2146"/>
      <c r="X119" s="2146"/>
      <c r="Y119" s="2146"/>
      <c r="Z119" s="2146"/>
      <c r="AA119" s="2146"/>
      <c r="AB119" s="2146"/>
      <c r="AC119" s="2146"/>
    </row>
    <row r="120" spans="1:29" ht="15.75" thickBot="1">
      <c r="A120" s="670"/>
      <c r="B120" s="679"/>
      <c r="C120" s="701">
        <v>100</v>
      </c>
      <c r="D120" s="727">
        <v>101</v>
      </c>
      <c r="E120" s="701">
        <v>102</v>
      </c>
      <c r="F120" s="701">
        <v>103</v>
      </c>
      <c r="G120" s="727">
        <v>104</v>
      </c>
      <c r="H120" s="701">
        <v>105</v>
      </c>
      <c r="I120" s="701">
        <v>106</v>
      </c>
      <c r="J120" s="727">
        <v>107</v>
      </c>
      <c r="K120" s="701">
        <v>108</v>
      </c>
      <c r="L120" s="701">
        <v>109</v>
      </c>
      <c r="M120" s="727">
        <v>110</v>
      </c>
      <c r="N120" s="2167"/>
      <c r="O120" s="2167"/>
      <c r="P120" s="2166"/>
      <c r="Q120" s="2159"/>
      <c r="R120" s="2146"/>
      <c r="S120" s="2146"/>
      <c r="T120" s="2146"/>
      <c r="U120" s="2146"/>
      <c r="V120" s="2146"/>
      <c r="W120" s="2146"/>
      <c r="X120" s="2146"/>
      <c r="Y120" s="2146"/>
      <c r="Z120" s="2146"/>
      <c r="AA120" s="2146"/>
      <c r="AB120" s="2146"/>
      <c r="AC120" s="2146"/>
    </row>
    <row r="121" spans="1:29" ht="15" thickTop="1">
      <c r="A121" s="736"/>
      <c r="B121" s="674" t="s">
        <v>595</v>
      </c>
      <c r="C121" s="719" t="s">
        <v>2994</v>
      </c>
      <c r="D121" s="719" t="s">
        <v>2995</v>
      </c>
      <c r="E121" s="719" t="s">
        <v>2996</v>
      </c>
      <c r="F121" s="719" t="s">
        <v>2997</v>
      </c>
      <c r="G121" s="719"/>
      <c r="H121" s="719"/>
      <c r="I121" s="719"/>
      <c r="J121" s="719"/>
      <c r="K121" s="720"/>
      <c r="L121" s="721"/>
      <c r="M121" s="722"/>
      <c r="N121" s="2165"/>
      <c r="O121" s="2165"/>
      <c r="P121" s="2166"/>
      <c r="Q121" s="2159"/>
      <c r="R121" s="2146"/>
      <c r="S121" s="2146"/>
      <c r="T121" s="2146"/>
      <c r="U121" s="2146"/>
      <c r="V121" s="2146"/>
      <c r="W121" s="2146"/>
      <c r="X121" s="2146"/>
      <c r="Y121" s="2146"/>
      <c r="Z121" s="2146"/>
      <c r="AA121" s="2146"/>
      <c r="AB121" s="2146"/>
      <c r="AC121" s="2146"/>
    </row>
    <row r="122" spans="1:29" ht="15.75" thickBot="1">
      <c r="A122" s="670"/>
      <c r="B122" s="679"/>
      <c r="C122" s="680">
        <v>100</v>
      </c>
      <c r="D122" s="680">
        <f t="shared" ref="D122:M122" si="25">C122-$K41</f>
        <v>97</v>
      </c>
      <c r="E122" s="680">
        <f t="shared" si="25"/>
        <v>94</v>
      </c>
      <c r="F122" s="680">
        <f t="shared" si="25"/>
        <v>91</v>
      </c>
      <c r="G122" s="680">
        <f t="shared" si="25"/>
        <v>88</v>
      </c>
      <c r="H122" s="680">
        <f t="shared" si="25"/>
        <v>85</v>
      </c>
      <c r="I122" s="680">
        <f t="shared" si="25"/>
        <v>82</v>
      </c>
      <c r="J122" s="680">
        <f t="shared" si="25"/>
        <v>79</v>
      </c>
      <c r="K122" s="680">
        <f t="shared" si="25"/>
        <v>76</v>
      </c>
      <c r="L122" s="680">
        <f t="shared" si="25"/>
        <v>73</v>
      </c>
      <c r="M122" s="681">
        <f t="shared" si="25"/>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6"/>
      <c r="B123" s="674" t="s">
        <v>596</v>
      </c>
      <c r="C123" s="689" t="s">
        <v>2998</v>
      </c>
      <c r="D123" s="689" t="s">
        <v>2999</v>
      </c>
      <c r="E123" s="689" t="s">
        <v>3000</v>
      </c>
      <c r="F123" s="719"/>
      <c r="G123" s="719"/>
      <c r="H123" s="719"/>
      <c r="I123" s="719"/>
      <c r="J123" s="719"/>
      <c r="K123" s="720"/>
      <c r="L123" s="721"/>
      <c r="M123" s="722"/>
      <c r="N123" s="2165"/>
      <c r="O123" s="2165"/>
      <c r="P123" s="2166"/>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26">C124-$K42</f>
        <v>99</v>
      </c>
      <c r="E124" s="680">
        <f t="shared" si="26"/>
        <v>98</v>
      </c>
      <c r="F124" s="680">
        <f t="shared" si="26"/>
        <v>97</v>
      </c>
      <c r="G124" s="680">
        <f t="shared" si="26"/>
        <v>96</v>
      </c>
      <c r="H124" s="680">
        <f t="shared" si="26"/>
        <v>95</v>
      </c>
      <c r="I124" s="680">
        <f t="shared" si="26"/>
        <v>94</v>
      </c>
      <c r="J124" s="680">
        <f t="shared" si="26"/>
        <v>93</v>
      </c>
      <c r="K124" s="680">
        <f t="shared" si="26"/>
        <v>92</v>
      </c>
      <c r="L124" s="680">
        <f t="shared" si="26"/>
        <v>91</v>
      </c>
      <c r="M124" s="681">
        <f t="shared" si="26"/>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9"/>
      <c r="B125" s="1897" t="s">
        <v>2429</v>
      </c>
      <c r="C125" s="1375" t="s">
        <v>3001</v>
      </c>
      <c r="D125" s="1375" t="s">
        <v>3002</v>
      </c>
      <c r="E125" s="1375" t="s">
        <v>3003</v>
      </c>
      <c r="F125" s="1375" t="s">
        <v>3004</v>
      </c>
      <c r="G125" s="1375" t="s">
        <v>3005</v>
      </c>
      <c r="H125" s="3164" t="s">
        <v>3006</v>
      </c>
      <c r="I125" s="3164" t="s">
        <v>3007</v>
      </c>
      <c r="J125" s="719"/>
      <c r="K125" s="720"/>
      <c r="L125" s="721"/>
      <c r="M125" s="722"/>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8"/>
      <c r="B126" s="679"/>
      <c r="C126" s="680">
        <v>100</v>
      </c>
      <c r="D126" s="680">
        <f>C126-$K43</f>
        <v>99</v>
      </c>
      <c r="E126" s="680">
        <f t="shared" ref="E126:M126" si="27">D126-$K43</f>
        <v>98</v>
      </c>
      <c r="F126" s="680">
        <f t="shared" si="27"/>
        <v>97</v>
      </c>
      <c r="G126" s="680">
        <f t="shared" si="27"/>
        <v>96</v>
      </c>
      <c r="H126" s="680">
        <f t="shared" si="27"/>
        <v>95</v>
      </c>
      <c r="I126" s="680">
        <f t="shared" si="27"/>
        <v>94</v>
      </c>
      <c r="J126" s="680">
        <f t="shared" si="27"/>
        <v>93</v>
      </c>
      <c r="K126" s="680">
        <f t="shared" si="27"/>
        <v>92</v>
      </c>
      <c r="L126" s="680">
        <f t="shared" si="27"/>
        <v>91</v>
      </c>
      <c r="M126" s="681">
        <f t="shared" si="27"/>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6"/>
      <c r="B127" s="674" t="s">
        <v>597</v>
      </c>
      <c r="C127" s="689" t="s">
        <v>3008</v>
      </c>
      <c r="D127" s="689" t="s">
        <v>3009</v>
      </c>
      <c r="E127" s="719" t="s">
        <v>3010</v>
      </c>
      <c r="F127" s="719" t="s">
        <v>3011</v>
      </c>
      <c r="G127" s="719" t="s">
        <v>3012</v>
      </c>
      <c r="H127" s="719"/>
      <c r="I127" s="719"/>
      <c r="J127" s="719"/>
      <c r="K127" s="720"/>
      <c r="L127" s="721"/>
      <c r="M127" s="722"/>
      <c r="N127" s="2165"/>
      <c r="O127" s="2165"/>
      <c r="P127" s="2166"/>
      <c r="Q127" s="2159"/>
      <c r="R127" s="2146"/>
      <c r="S127" s="2146"/>
      <c r="T127" s="2146"/>
      <c r="U127" s="2146"/>
      <c r="V127" s="2146"/>
      <c r="W127" s="2146"/>
      <c r="X127" s="2146"/>
      <c r="Y127" s="2146"/>
      <c r="Z127" s="2146"/>
      <c r="AA127" s="2146"/>
      <c r="AB127" s="2146"/>
      <c r="AC127" s="2146"/>
    </row>
    <row r="128" spans="1:29" ht="15.75" thickBot="1">
      <c r="A128" s="670"/>
      <c r="B128" s="679"/>
      <c r="C128" s="680">
        <v>100</v>
      </c>
      <c r="D128" s="680">
        <f t="shared" ref="D128:M128" si="28">C128-$K44</f>
        <v>98</v>
      </c>
      <c r="E128" s="680">
        <f t="shared" si="28"/>
        <v>96</v>
      </c>
      <c r="F128" s="680">
        <f t="shared" si="28"/>
        <v>94</v>
      </c>
      <c r="G128" s="680">
        <f t="shared" si="28"/>
        <v>92</v>
      </c>
      <c r="H128" s="680">
        <f t="shared" si="28"/>
        <v>90</v>
      </c>
      <c r="I128" s="680">
        <f t="shared" si="28"/>
        <v>88</v>
      </c>
      <c r="J128" s="680">
        <f t="shared" si="28"/>
        <v>86</v>
      </c>
      <c r="K128" s="680">
        <f t="shared" si="28"/>
        <v>84</v>
      </c>
      <c r="L128" s="680">
        <f t="shared" si="28"/>
        <v>82</v>
      </c>
      <c r="M128" s="681">
        <f t="shared" si="28"/>
        <v>80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6"/>
      <c r="B129" s="674">
        <f>B45</f>
        <v>0</v>
      </c>
      <c r="C129" s="689"/>
      <c r="D129" s="689"/>
      <c r="E129" s="689"/>
      <c r="F129" s="689"/>
      <c r="G129" s="689"/>
      <c r="H129" s="719"/>
      <c r="I129" s="719"/>
      <c r="J129" s="719"/>
      <c r="K129" s="720"/>
      <c r="L129" s="721"/>
      <c r="M129" s="722"/>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70"/>
      <c r="B130" s="679"/>
      <c r="C130" s="693"/>
      <c r="D130" s="693"/>
      <c r="E130" s="693"/>
      <c r="F130" s="693"/>
      <c r="G130" s="672"/>
      <c r="H130" s="672"/>
      <c r="I130" s="672"/>
      <c r="J130" s="672"/>
      <c r="K130" s="672"/>
      <c r="L130" s="672"/>
      <c r="M130" s="673"/>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6"/>
      <c r="B131" s="674">
        <f>B46</f>
        <v>0</v>
      </c>
      <c r="C131" s="662"/>
      <c r="D131" s="662"/>
      <c r="E131" s="662"/>
      <c r="F131" s="662"/>
      <c r="G131" s="719"/>
      <c r="H131" s="719"/>
      <c r="I131" s="719"/>
      <c r="J131" s="719"/>
      <c r="K131" s="720"/>
      <c r="L131" s="721"/>
      <c r="M131" s="722"/>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70"/>
      <c r="B132" s="679"/>
      <c r="C132" s="701"/>
      <c r="D132" s="701"/>
      <c r="E132" s="701"/>
      <c r="F132" s="701"/>
      <c r="G132" s="672"/>
      <c r="H132" s="672"/>
      <c r="I132" s="672"/>
      <c r="J132" s="672"/>
      <c r="K132" s="672"/>
      <c r="L132" s="672"/>
      <c r="M132" s="673"/>
      <c r="N132" s="2167"/>
      <c r="O132" s="2167"/>
      <c r="P132" s="2166"/>
      <c r="Q132" s="2159"/>
      <c r="R132" s="2146"/>
      <c r="S132" s="2146"/>
      <c r="T132" s="2146"/>
      <c r="U132" s="2146"/>
      <c r="V132" s="2146"/>
      <c r="W132" s="2146"/>
      <c r="X132" s="2146"/>
      <c r="Y132" s="2146"/>
      <c r="Z132" s="2146"/>
      <c r="AA132" s="2146"/>
      <c r="AB132" s="2146"/>
      <c r="AC132" s="2146"/>
    </row>
    <row r="133" spans="1:29" s="1338" customFormat="1" ht="15" hidden="1" thickTop="1">
      <c r="A133" s="729"/>
      <c r="B133" s="674">
        <f>B47</f>
        <v>0</v>
      </c>
      <c r="C133" s="662"/>
      <c r="D133" s="662"/>
      <c r="E133" s="662"/>
      <c r="F133" s="662"/>
      <c r="G133" s="690"/>
      <c r="H133" s="690"/>
      <c r="I133" s="690"/>
      <c r="J133" s="690"/>
      <c r="K133" s="690"/>
      <c r="L133" s="691"/>
      <c r="M133" s="692"/>
      <c r="N133" s="2168"/>
      <c r="O133" s="2168"/>
      <c r="P133" s="2169"/>
      <c r="Q133" s="2170"/>
      <c r="R133" s="2171"/>
      <c r="S133" s="2171"/>
      <c r="T133" s="2171"/>
      <c r="U133" s="2171"/>
      <c r="V133" s="2171"/>
      <c r="W133" s="2171"/>
      <c r="X133" s="2171"/>
      <c r="Y133" s="2171"/>
      <c r="Z133" s="2171"/>
      <c r="AA133" s="2171"/>
      <c r="AB133" s="2171"/>
      <c r="AC133" s="2171"/>
    </row>
    <row r="134" spans="1:29" s="1338" customFormat="1" ht="15.75" hidden="1" thickBot="1">
      <c r="A134" s="699"/>
      <c r="B134" s="737"/>
      <c r="C134" s="701"/>
      <c r="D134" s="701"/>
      <c r="E134" s="701"/>
      <c r="F134" s="701"/>
      <c r="G134" s="727"/>
      <c r="H134" s="727"/>
      <c r="I134" s="727"/>
      <c r="J134" s="727"/>
      <c r="K134" s="727"/>
      <c r="L134" s="727"/>
      <c r="M134" s="728"/>
      <c r="N134" s="2168"/>
      <c r="O134" s="2168"/>
      <c r="P134" s="2169"/>
      <c r="Q134" s="2170"/>
      <c r="R134" s="2171"/>
      <c r="S134" s="2171"/>
      <c r="T134" s="2171"/>
      <c r="U134" s="2171"/>
      <c r="V134" s="2171"/>
      <c r="W134" s="2171"/>
      <c r="X134" s="2171"/>
      <c r="Y134" s="2171"/>
      <c r="Z134" s="2171"/>
      <c r="AA134" s="2171"/>
      <c r="AB134" s="2171"/>
      <c r="AC134" s="2171"/>
    </row>
    <row r="135" spans="1:29" s="1587"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C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topLeftCell="I1" workbookViewId="0">
      <selection activeCell="L10" sqref="L10"/>
    </sheetView>
  </sheetViews>
  <sheetFormatPr defaultRowHeight="13.5"/>
  <cols>
    <col min="1" max="1" width="24.5" style="2963" customWidth="1"/>
    <col min="2" max="2" width="6.25" style="2963" customWidth="1"/>
    <col min="3" max="3" width="7.875" style="2963" customWidth="1"/>
    <col min="4" max="4" width="6.25" style="2963" customWidth="1"/>
    <col min="5" max="5" width="24.5" style="2963" customWidth="1"/>
    <col min="6" max="6" width="7.875" style="2963" customWidth="1"/>
    <col min="7" max="8" width="13.875" style="2963" customWidth="1"/>
    <col min="9" max="9" width="26.125" style="2963" customWidth="1"/>
    <col min="10" max="10" width="14" style="2963" customWidth="1"/>
    <col min="11" max="11" width="26.125" style="2963" customWidth="1"/>
    <col min="12" max="12" width="10.625" style="2963" customWidth="1"/>
    <col min="13" max="13" width="14.375" style="2963" customWidth="1"/>
    <col min="14" max="14" width="6.25" style="2963" customWidth="1"/>
    <col min="15" max="15" width="13.5" style="2963" customWidth="1"/>
    <col min="16" max="256" width="9" style="2963"/>
    <col min="257" max="257" width="24.5" style="2963" customWidth="1"/>
    <col min="258" max="258" width="6.25" style="2963" customWidth="1"/>
    <col min="259" max="259" width="7.875" style="2963" customWidth="1"/>
    <col min="260" max="260" width="6.25" style="2963" customWidth="1"/>
    <col min="261" max="261" width="24.5" style="2963" customWidth="1"/>
    <col min="262" max="262" width="7.875" style="2963" customWidth="1"/>
    <col min="263" max="264" width="13.875" style="2963" customWidth="1"/>
    <col min="265" max="265" width="19.875" style="2963" customWidth="1"/>
    <col min="266" max="266" width="9" style="2963" customWidth="1"/>
    <col min="267" max="267" width="26.125" style="2963" customWidth="1"/>
    <col min="268" max="268" width="10.625" style="2963" customWidth="1"/>
    <col min="269" max="269" width="14.375" style="2963" customWidth="1"/>
    <col min="270" max="270" width="6.25" style="2963" customWidth="1"/>
    <col min="271" max="271" width="7.875" style="2963" customWidth="1"/>
    <col min="272" max="512" width="9" style="2963"/>
    <col min="513" max="513" width="24.5" style="2963" customWidth="1"/>
    <col min="514" max="514" width="6.25" style="2963" customWidth="1"/>
    <col min="515" max="515" width="7.875" style="2963" customWidth="1"/>
    <col min="516" max="516" width="6.25" style="2963" customWidth="1"/>
    <col min="517" max="517" width="24.5" style="2963" customWidth="1"/>
    <col min="518" max="518" width="7.875" style="2963" customWidth="1"/>
    <col min="519" max="520" width="13.875" style="2963" customWidth="1"/>
    <col min="521" max="521" width="19.875" style="2963" customWidth="1"/>
    <col min="522" max="522" width="9" style="2963" customWidth="1"/>
    <col min="523" max="523" width="26.125" style="2963" customWidth="1"/>
    <col min="524" max="524" width="10.625" style="2963" customWidth="1"/>
    <col min="525" max="525" width="14.375" style="2963" customWidth="1"/>
    <col min="526" max="526" width="6.25" style="2963" customWidth="1"/>
    <col min="527" max="527" width="7.875" style="2963" customWidth="1"/>
    <col min="528" max="768" width="9" style="2963"/>
    <col min="769" max="769" width="24.5" style="2963" customWidth="1"/>
    <col min="770" max="770" width="6.25" style="2963" customWidth="1"/>
    <col min="771" max="771" width="7.875" style="2963" customWidth="1"/>
    <col min="772" max="772" width="6.25" style="2963" customWidth="1"/>
    <col min="773" max="773" width="24.5" style="2963" customWidth="1"/>
    <col min="774" max="774" width="7.875" style="2963" customWidth="1"/>
    <col min="775" max="776" width="13.875" style="2963" customWidth="1"/>
    <col min="777" max="777" width="19.875" style="2963" customWidth="1"/>
    <col min="778" max="778" width="9" style="2963" customWidth="1"/>
    <col min="779" max="779" width="26.125" style="2963" customWidth="1"/>
    <col min="780" max="780" width="10.625" style="2963" customWidth="1"/>
    <col min="781" max="781" width="14.375" style="2963" customWidth="1"/>
    <col min="782" max="782" width="6.25" style="2963" customWidth="1"/>
    <col min="783" max="783" width="7.875" style="2963" customWidth="1"/>
    <col min="784" max="1024" width="9" style="2963"/>
    <col min="1025" max="1025" width="24.5" style="2963" customWidth="1"/>
    <col min="1026" max="1026" width="6.25" style="2963" customWidth="1"/>
    <col min="1027" max="1027" width="7.875" style="2963" customWidth="1"/>
    <col min="1028" max="1028" width="6.25" style="2963" customWidth="1"/>
    <col min="1029" max="1029" width="24.5" style="2963" customWidth="1"/>
    <col min="1030" max="1030" width="7.875" style="2963" customWidth="1"/>
    <col min="1031" max="1032" width="13.875" style="2963" customWidth="1"/>
    <col min="1033" max="1033" width="19.875" style="2963" customWidth="1"/>
    <col min="1034" max="1034" width="9" style="2963" customWidth="1"/>
    <col min="1035" max="1035" width="26.125" style="2963" customWidth="1"/>
    <col min="1036" max="1036" width="10.625" style="2963" customWidth="1"/>
    <col min="1037" max="1037" width="14.375" style="2963" customWidth="1"/>
    <col min="1038" max="1038" width="6.25" style="2963" customWidth="1"/>
    <col min="1039" max="1039" width="7.875" style="2963" customWidth="1"/>
    <col min="1040" max="1280" width="9" style="2963"/>
    <col min="1281" max="1281" width="24.5" style="2963" customWidth="1"/>
    <col min="1282" max="1282" width="6.25" style="2963" customWidth="1"/>
    <col min="1283" max="1283" width="7.875" style="2963" customWidth="1"/>
    <col min="1284" max="1284" width="6.25" style="2963" customWidth="1"/>
    <col min="1285" max="1285" width="24.5" style="2963" customWidth="1"/>
    <col min="1286" max="1286" width="7.875" style="2963" customWidth="1"/>
    <col min="1287" max="1288" width="13.875" style="2963" customWidth="1"/>
    <col min="1289" max="1289" width="19.875" style="2963" customWidth="1"/>
    <col min="1290" max="1290" width="9" style="2963" customWidth="1"/>
    <col min="1291" max="1291" width="26.125" style="2963" customWidth="1"/>
    <col min="1292" max="1292" width="10.625" style="2963" customWidth="1"/>
    <col min="1293" max="1293" width="14.375" style="2963" customWidth="1"/>
    <col min="1294" max="1294" width="6.25" style="2963" customWidth="1"/>
    <col min="1295" max="1295" width="7.875" style="2963" customWidth="1"/>
    <col min="1296" max="1536" width="9" style="2963"/>
    <col min="1537" max="1537" width="24.5" style="2963" customWidth="1"/>
    <col min="1538" max="1538" width="6.25" style="2963" customWidth="1"/>
    <col min="1539" max="1539" width="7.875" style="2963" customWidth="1"/>
    <col min="1540" max="1540" width="6.25" style="2963" customWidth="1"/>
    <col min="1541" max="1541" width="24.5" style="2963" customWidth="1"/>
    <col min="1542" max="1542" width="7.875" style="2963" customWidth="1"/>
    <col min="1543" max="1544" width="13.875" style="2963" customWidth="1"/>
    <col min="1545" max="1545" width="19.875" style="2963" customWidth="1"/>
    <col min="1546" max="1546" width="9" style="2963" customWidth="1"/>
    <col min="1547" max="1547" width="26.125" style="2963" customWidth="1"/>
    <col min="1548" max="1548" width="10.625" style="2963" customWidth="1"/>
    <col min="1549" max="1549" width="14.375" style="2963" customWidth="1"/>
    <col min="1550" max="1550" width="6.25" style="2963" customWidth="1"/>
    <col min="1551" max="1551" width="7.875" style="2963" customWidth="1"/>
    <col min="1552" max="1792" width="9" style="2963"/>
    <col min="1793" max="1793" width="24.5" style="2963" customWidth="1"/>
    <col min="1794" max="1794" width="6.25" style="2963" customWidth="1"/>
    <col min="1795" max="1795" width="7.875" style="2963" customWidth="1"/>
    <col min="1796" max="1796" width="6.25" style="2963" customWidth="1"/>
    <col min="1797" max="1797" width="24.5" style="2963" customWidth="1"/>
    <col min="1798" max="1798" width="7.875" style="2963" customWidth="1"/>
    <col min="1799" max="1800" width="13.875" style="2963" customWidth="1"/>
    <col min="1801" max="1801" width="19.875" style="2963" customWidth="1"/>
    <col min="1802" max="1802" width="9" style="2963" customWidth="1"/>
    <col min="1803" max="1803" width="26.125" style="2963" customWidth="1"/>
    <col min="1804" max="1804" width="10.625" style="2963" customWidth="1"/>
    <col min="1805" max="1805" width="14.375" style="2963" customWidth="1"/>
    <col min="1806" max="1806" width="6.25" style="2963" customWidth="1"/>
    <col min="1807" max="1807" width="7.875" style="2963" customWidth="1"/>
    <col min="1808" max="2048" width="9" style="2963"/>
    <col min="2049" max="2049" width="24.5" style="2963" customWidth="1"/>
    <col min="2050" max="2050" width="6.25" style="2963" customWidth="1"/>
    <col min="2051" max="2051" width="7.875" style="2963" customWidth="1"/>
    <col min="2052" max="2052" width="6.25" style="2963" customWidth="1"/>
    <col min="2053" max="2053" width="24.5" style="2963" customWidth="1"/>
    <col min="2054" max="2054" width="7.875" style="2963" customWidth="1"/>
    <col min="2055" max="2056" width="13.875" style="2963" customWidth="1"/>
    <col min="2057" max="2057" width="19.875" style="2963" customWidth="1"/>
    <col min="2058" max="2058" width="9" style="2963" customWidth="1"/>
    <col min="2059" max="2059" width="26.125" style="2963" customWidth="1"/>
    <col min="2060" max="2060" width="10.625" style="2963" customWidth="1"/>
    <col min="2061" max="2061" width="14.375" style="2963" customWidth="1"/>
    <col min="2062" max="2062" width="6.25" style="2963" customWidth="1"/>
    <col min="2063" max="2063" width="7.875" style="2963" customWidth="1"/>
    <col min="2064" max="2304" width="9" style="2963"/>
    <col min="2305" max="2305" width="24.5" style="2963" customWidth="1"/>
    <col min="2306" max="2306" width="6.25" style="2963" customWidth="1"/>
    <col min="2307" max="2307" width="7.875" style="2963" customWidth="1"/>
    <col min="2308" max="2308" width="6.25" style="2963" customWidth="1"/>
    <col min="2309" max="2309" width="24.5" style="2963" customWidth="1"/>
    <col min="2310" max="2310" width="7.875" style="2963" customWidth="1"/>
    <col min="2311" max="2312" width="13.875" style="2963" customWidth="1"/>
    <col min="2313" max="2313" width="19.875" style="2963" customWidth="1"/>
    <col min="2314" max="2314" width="9" style="2963" customWidth="1"/>
    <col min="2315" max="2315" width="26.125" style="2963" customWidth="1"/>
    <col min="2316" max="2316" width="10.625" style="2963" customWidth="1"/>
    <col min="2317" max="2317" width="14.375" style="2963" customWidth="1"/>
    <col min="2318" max="2318" width="6.25" style="2963" customWidth="1"/>
    <col min="2319" max="2319" width="7.875" style="2963" customWidth="1"/>
    <col min="2320" max="2560" width="9" style="2963"/>
    <col min="2561" max="2561" width="24.5" style="2963" customWidth="1"/>
    <col min="2562" max="2562" width="6.25" style="2963" customWidth="1"/>
    <col min="2563" max="2563" width="7.875" style="2963" customWidth="1"/>
    <col min="2564" max="2564" width="6.25" style="2963" customWidth="1"/>
    <col min="2565" max="2565" width="24.5" style="2963" customWidth="1"/>
    <col min="2566" max="2566" width="7.875" style="2963" customWidth="1"/>
    <col min="2567" max="2568" width="13.875" style="2963" customWidth="1"/>
    <col min="2569" max="2569" width="19.875" style="2963" customWidth="1"/>
    <col min="2570" max="2570" width="9" style="2963" customWidth="1"/>
    <col min="2571" max="2571" width="26.125" style="2963" customWidth="1"/>
    <col min="2572" max="2572" width="10.625" style="2963" customWidth="1"/>
    <col min="2573" max="2573" width="14.375" style="2963" customWidth="1"/>
    <col min="2574" max="2574" width="6.25" style="2963" customWidth="1"/>
    <col min="2575" max="2575" width="7.875" style="2963" customWidth="1"/>
    <col min="2576" max="2816" width="9" style="2963"/>
    <col min="2817" max="2817" width="24.5" style="2963" customWidth="1"/>
    <col min="2818" max="2818" width="6.25" style="2963" customWidth="1"/>
    <col min="2819" max="2819" width="7.875" style="2963" customWidth="1"/>
    <col min="2820" max="2820" width="6.25" style="2963" customWidth="1"/>
    <col min="2821" max="2821" width="24.5" style="2963" customWidth="1"/>
    <col min="2822" max="2822" width="7.875" style="2963" customWidth="1"/>
    <col min="2823" max="2824" width="13.875" style="2963" customWidth="1"/>
    <col min="2825" max="2825" width="19.875" style="2963" customWidth="1"/>
    <col min="2826" max="2826" width="9" style="2963" customWidth="1"/>
    <col min="2827" max="2827" width="26.125" style="2963" customWidth="1"/>
    <col min="2828" max="2828" width="10.625" style="2963" customWidth="1"/>
    <col min="2829" max="2829" width="14.375" style="2963" customWidth="1"/>
    <col min="2830" max="2830" width="6.25" style="2963" customWidth="1"/>
    <col min="2831" max="2831" width="7.875" style="2963" customWidth="1"/>
    <col min="2832" max="3072" width="9" style="2963"/>
    <col min="3073" max="3073" width="24.5" style="2963" customWidth="1"/>
    <col min="3074" max="3074" width="6.25" style="2963" customWidth="1"/>
    <col min="3075" max="3075" width="7.875" style="2963" customWidth="1"/>
    <col min="3076" max="3076" width="6.25" style="2963" customWidth="1"/>
    <col min="3077" max="3077" width="24.5" style="2963" customWidth="1"/>
    <col min="3078" max="3078" width="7.875" style="2963" customWidth="1"/>
    <col min="3079" max="3080" width="13.875" style="2963" customWidth="1"/>
    <col min="3081" max="3081" width="19.875" style="2963" customWidth="1"/>
    <col min="3082" max="3082" width="9" style="2963" customWidth="1"/>
    <col min="3083" max="3083" width="26.125" style="2963" customWidth="1"/>
    <col min="3084" max="3084" width="10.625" style="2963" customWidth="1"/>
    <col min="3085" max="3085" width="14.375" style="2963" customWidth="1"/>
    <col min="3086" max="3086" width="6.25" style="2963" customWidth="1"/>
    <col min="3087" max="3087" width="7.875" style="2963" customWidth="1"/>
    <col min="3088" max="3328" width="9" style="2963"/>
    <col min="3329" max="3329" width="24.5" style="2963" customWidth="1"/>
    <col min="3330" max="3330" width="6.25" style="2963" customWidth="1"/>
    <col min="3331" max="3331" width="7.875" style="2963" customWidth="1"/>
    <col min="3332" max="3332" width="6.25" style="2963" customWidth="1"/>
    <col min="3333" max="3333" width="24.5" style="2963" customWidth="1"/>
    <col min="3334" max="3334" width="7.875" style="2963" customWidth="1"/>
    <col min="3335" max="3336" width="13.875" style="2963" customWidth="1"/>
    <col min="3337" max="3337" width="19.875" style="2963" customWidth="1"/>
    <col min="3338" max="3338" width="9" style="2963" customWidth="1"/>
    <col min="3339" max="3339" width="26.125" style="2963" customWidth="1"/>
    <col min="3340" max="3340" width="10.625" style="2963" customWidth="1"/>
    <col min="3341" max="3341" width="14.375" style="2963" customWidth="1"/>
    <col min="3342" max="3342" width="6.25" style="2963" customWidth="1"/>
    <col min="3343" max="3343" width="7.875" style="2963" customWidth="1"/>
    <col min="3344" max="3584" width="9" style="2963"/>
    <col min="3585" max="3585" width="24.5" style="2963" customWidth="1"/>
    <col min="3586" max="3586" width="6.25" style="2963" customWidth="1"/>
    <col min="3587" max="3587" width="7.875" style="2963" customWidth="1"/>
    <col min="3588" max="3588" width="6.25" style="2963" customWidth="1"/>
    <col min="3589" max="3589" width="24.5" style="2963" customWidth="1"/>
    <col min="3590" max="3590" width="7.875" style="2963" customWidth="1"/>
    <col min="3591" max="3592" width="13.875" style="2963" customWidth="1"/>
    <col min="3593" max="3593" width="19.875" style="2963" customWidth="1"/>
    <col min="3594" max="3594" width="9" style="2963" customWidth="1"/>
    <col min="3595" max="3595" width="26.125" style="2963" customWidth="1"/>
    <col min="3596" max="3596" width="10.625" style="2963" customWidth="1"/>
    <col min="3597" max="3597" width="14.375" style="2963" customWidth="1"/>
    <col min="3598" max="3598" width="6.25" style="2963" customWidth="1"/>
    <col min="3599" max="3599" width="7.875" style="2963" customWidth="1"/>
    <col min="3600" max="3840" width="9" style="2963"/>
    <col min="3841" max="3841" width="24.5" style="2963" customWidth="1"/>
    <col min="3842" max="3842" width="6.25" style="2963" customWidth="1"/>
    <col min="3843" max="3843" width="7.875" style="2963" customWidth="1"/>
    <col min="3844" max="3844" width="6.25" style="2963" customWidth="1"/>
    <col min="3845" max="3845" width="24.5" style="2963" customWidth="1"/>
    <col min="3846" max="3846" width="7.875" style="2963" customWidth="1"/>
    <col min="3847" max="3848" width="13.875" style="2963" customWidth="1"/>
    <col min="3849" max="3849" width="19.875" style="2963" customWidth="1"/>
    <col min="3850" max="3850" width="9" style="2963" customWidth="1"/>
    <col min="3851" max="3851" width="26.125" style="2963" customWidth="1"/>
    <col min="3852" max="3852" width="10.625" style="2963" customWidth="1"/>
    <col min="3853" max="3853" width="14.375" style="2963" customWidth="1"/>
    <col min="3854" max="3854" width="6.25" style="2963" customWidth="1"/>
    <col min="3855" max="3855" width="7.875" style="2963" customWidth="1"/>
    <col min="3856" max="4096" width="9" style="2963"/>
    <col min="4097" max="4097" width="24.5" style="2963" customWidth="1"/>
    <col min="4098" max="4098" width="6.25" style="2963" customWidth="1"/>
    <col min="4099" max="4099" width="7.875" style="2963" customWidth="1"/>
    <col min="4100" max="4100" width="6.25" style="2963" customWidth="1"/>
    <col min="4101" max="4101" width="24.5" style="2963" customWidth="1"/>
    <col min="4102" max="4102" width="7.875" style="2963" customWidth="1"/>
    <col min="4103" max="4104" width="13.875" style="2963" customWidth="1"/>
    <col min="4105" max="4105" width="19.875" style="2963" customWidth="1"/>
    <col min="4106" max="4106" width="9" style="2963" customWidth="1"/>
    <col min="4107" max="4107" width="26.125" style="2963" customWidth="1"/>
    <col min="4108" max="4108" width="10.625" style="2963" customWidth="1"/>
    <col min="4109" max="4109" width="14.375" style="2963" customWidth="1"/>
    <col min="4110" max="4110" width="6.25" style="2963" customWidth="1"/>
    <col min="4111" max="4111" width="7.875" style="2963" customWidth="1"/>
    <col min="4112" max="4352" width="9" style="2963"/>
    <col min="4353" max="4353" width="24.5" style="2963" customWidth="1"/>
    <col min="4354" max="4354" width="6.25" style="2963" customWidth="1"/>
    <col min="4355" max="4355" width="7.875" style="2963" customWidth="1"/>
    <col min="4356" max="4356" width="6.25" style="2963" customWidth="1"/>
    <col min="4357" max="4357" width="24.5" style="2963" customWidth="1"/>
    <col min="4358" max="4358" width="7.875" style="2963" customWidth="1"/>
    <col min="4359" max="4360" width="13.875" style="2963" customWidth="1"/>
    <col min="4361" max="4361" width="19.875" style="2963" customWidth="1"/>
    <col min="4362" max="4362" width="9" style="2963" customWidth="1"/>
    <col min="4363" max="4363" width="26.125" style="2963" customWidth="1"/>
    <col min="4364" max="4364" width="10.625" style="2963" customWidth="1"/>
    <col min="4365" max="4365" width="14.375" style="2963" customWidth="1"/>
    <col min="4366" max="4366" width="6.25" style="2963" customWidth="1"/>
    <col min="4367" max="4367" width="7.875" style="2963" customWidth="1"/>
    <col min="4368" max="4608" width="9" style="2963"/>
    <col min="4609" max="4609" width="24.5" style="2963" customWidth="1"/>
    <col min="4610" max="4610" width="6.25" style="2963" customWidth="1"/>
    <col min="4611" max="4611" width="7.875" style="2963" customWidth="1"/>
    <col min="4612" max="4612" width="6.25" style="2963" customWidth="1"/>
    <col min="4613" max="4613" width="24.5" style="2963" customWidth="1"/>
    <col min="4614" max="4614" width="7.875" style="2963" customWidth="1"/>
    <col min="4615" max="4616" width="13.875" style="2963" customWidth="1"/>
    <col min="4617" max="4617" width="19.875" style="2963" customWidth="1"/>
    <col min="4618" max="4618" width="9" style="2963" customWidth="1"/>
    <col min="4619" max="4619" width="26.125" style="2963" customWidth="1"/>
    <col min="4620" max="4620" width="10.625" style="2963" customWidth="1"/>
    <col min="4621" max="4621" width="14.375" style="2963" customWidth="1"/>
    <col min="4622" max="4622" width="6.25" style="2963" customWidth="1"/>
    <col min="4623" max="4623" width="7.875" style="2963" customWidth="1"/>
    <col min="4624" max="4864" width="9" style="2963"/>
    <col min="4865" max="4865" width="24.5" style="2963" customWidth="1"/>
    <col min="4866" max="4866" width="6.25" style="2963" customWidth="1"/>
    <col min="4867" max="4867" width="7.875" style="2963" customWidth="1"/>
    <col min="4868" max="4868" width="6.25" style="2963" customWidth="1"/>
    <col min="4869" max="4869" width="24.5" style="2963" customWidth="1"/>
    <col min="4870" max="4870" width="7.875" style="2963" customWidth="1"/>
    <col min="4871" max="4872" width="13.875" style="2963" customWidth="1"/>
    <col min="4873" max="4873" width="19.875" style="2963" customWidth="1"/>
    <col min="4874" max="4874" width="9" style="2963" customWidth="1"/>
    <col min="4875" max="4875" width="26.125" style="2963" customWidth="1"/>
    <col min="4876" max="4876" width="10.625" style="2963" customWidth="1"/>
    <col min="4877" max="4877" width="14.375" style="2963" customWidth="1"/>
    <col min="4878" max="4878" width="6.25" style="2963" customWidth="1"/>
    <col min="4879" max="4879" width="7.875" style="2963" customWidth="1"/>
    <col min="4880" max="5120" width="9" style="2963"/>
    <col min="5121" max="5121" width="24.5" style="2963" customWidth="1"/>
    <col min="5122" max="5122" width="6.25" style="2963" customWidth="1"/>
    <col min="5123" max="5123" width="7.875" style="2963" customWidth="1"/>
    <col min="5124" max="5124" width="6.25" style="2963" customWidth="1"/>
    <col min="5125" max="5125" width="24.5" style="2963" customWidth="1"/>
    <col min="5126" max="5126" width="7.875" style="2963" customWidth="1"/>
    <col min="5127" max="5128" width="13.875" style="2963" customWidth="1"/>
    <col min="5129" max="5129" width="19.875" style="2963" customWidth="1"/>
    <col min="5130" max="5130" width="9" style="2963" customWidth="1"/>
    <col min="5131" max="5131" width="26.125" style="2963" customWidth="1"/>
    <col min="5132" max="5132" width="10.625" style="2963" customWidth="1"/>
    <col min="5133" max="5133" width="14.375" style="2963" customWidth="1"/>
    <col min="5134" max="5134" width="6.25" style="2963" customWidth="1"/>
    <col min="5135" max="5135" width="7.875" style="2963" customWidth="1"/>
    <col min="5136" max="5376" width="9" style="2963"/>
    <col min="5377" max="5377" width="24.5" style="2963" customWidth="1"/>
    <col min="5378" max="5378" width="6.25" style="2963" customWidth="1"/>
    <col min="5379" max="5379" width="7.875" style="2963" customWidth="1"/>
    <col min="5380" max="5380" width="6.25" style="2963" customWidth="1"/>
    <col min="5381" max="5381" width="24.5" style="2963" customWidth="1"/>
    <col min="5382" max="5382" width="7.875" style="2963" customWidth="1"/>
    <col min="5383" max="5384" width="13.875" style="2963" customWidth="1"/>
    <col min="5385" max="5385" width="19.875" style="2963" customWidth="1"/>
    <col min="5386" max="5386" width="9" style="2963" customWidth="1"/>
    <col min="5387" max="5387" width="26.125" style="2963" customWidth="1"/>
    <col min="5388" max="5388" width="10.625" style="2963" customWidth="1"/>
    <col min="5389" max="5389" width="14.375" style="2963" customWidth="1"/>
    <col min="5390" max="5390" width="6.25" style="2963" customWidth="1"/>
    <col min="5391" max="5391" width="7.875" style="2963" customWidth="1"/>
    <col min="5392" max="5632" width="9" style="2963"/>
    <col min="5633" max="5633" width="24.5" style="2963" customWidth="1"/>
    <col min="5634" max="5634" width="6.25" style="2963" customWidth="1"/>
    <col min="5635" max="5635" width="7.875" style="2963" customWidth="1"/>
    <col min="5636" max="5636" width="6.25" style="2963" customWidth="1"/>
    <col min="5637" max="5637" width="24.5" style="2963" customWidth="1"/>
    <col min="5638" max="5638" width="7.875" style="2963" customWidth="1"/>
    <col min="5639" max="5640" width="13.875" style="2963" customWidth="1"/>
    <col min="5641" max="5641" width="19.875" style="2963" customWidth="1"/>
    <col min="5642" max="5642" width="9" style="2963" customWidth="1"/>
    <col min="5643" max="5643" width="26.125" style="2963" customWidth="1"/>
    <col min="5644" max="5644" width="10.625" style="2963" customWidth="1"/>
    <col min="5645" max="5645" width="14.375" style="2963" customWidth="1"/>
    <col min="5646" max="5646" width="6.25" style="2963" customWidth="1"/>
    <col min="5647" max="5647" width="7.875" style="2963" customWidth="1"/>
    <col min="5648" max="5888" width="9" style="2963"/>
    <col min="5889" max="5889" width="24.5" style="2963" customWidth="1"/>
    <col min="5890" max="5890" width="6.25" style="2963" customWidth="1"/>
    <col min="5891" max="5891" width="7.875" style="2963" customWidth="1"/>
    <col min="5892" max="5892" width="6.25" style="2963" customWidth="1"/>
    <col min="5893" max="5893" width="24.5" style="2963" customWidth="1"/>
    <col min="5894" max="5894" width="7.875" style="2963" customWidth="1"/>
    <col min="5895" max="5896" width="13.875" style="2963" customWidth="1"/>
    <col min="5897" max="5897" width="19.875" style="2963" customWidth="1"/>
    <col min="5898" max="5898" width="9" style="2963" customWidth="1"/>
    <col min="5899" max="5899" width="26.125" style="2963" customWidth="1"/>
    <col min="5900" max="5900" width="10.625" style="2963" customWidth="1"/>
    <col min="5901" max="5901" width="14.375" style="2963" customWidth="1"/>
    <col min="5902" max="5902" width="6.25" style="2963" customWidth="1"/>
    <col min="5903" max="5903" width="7.875" style="2963" customWidth="1"/>
    <col min="5904" max="6144" width="9" style="2963"/>
    <col min="6145" max="6145" width="24.5" style="2963" customWidth="1"/>
    <col min="6146" max="6146" width="6.25" style="2963" customWidth="1"/>
    <col min="6147" max="6147" width="7.875" style="2963" customWidth="1"/>
    <col min="6148" max="6148" width="6.25" style="2963" customWidth="1"/>
    <col min="6149" max="6149" width="24.5" style="2963" customWidth="1"/>
    <col min="6150" max="6150" width="7.875" style="2963" customWidth="1"/>
    <col min="6151" max="6152" width="13.875" style="2963" customWidth="1"/>
    <col min="6153" max="6153" width="19.875" style="2963" customWidth="1"/>
    <col min="6154" max="6154" width="9" style="2963" customWidth="1"/>
    <col min="6155" max="6155" width="26.125" style="2963" customWidth="1"/>
    <col min="6156" max="6156" width="10.625" style="2963" customWidth="1"/>
    <col min="6157" max="6157" width="14.375" style="2963" customWidth="1"/>
    <col min="6158" max="6158" width="6.25" style="2963" customWidth="1"/>
    <col min="6159" max="6159" width="7.875" style="2963" customWidth="1"/>
    <col min="6160" max="6400" width="9" style="2963"/>
    <col min="6401" max="6401" width="24.5" style="2963" customWidth="1"/>
    <col min="6402" max="6402" width="6.25" style="2963" customWidth="1"/>
    <col min="6403" max="6403" width="7.875" style="2963" customWidth="1"/>
    <col min="6404" max="6404" width="6.25" style="2963" customWidth="1"/>
    <col min="6405" max="6405" width="24.5" style="2963" customWidth="1"/>
    <col min="6406" max="6406" width="7.875" style="2963" customWidth="1"/>
    <col min="6407" max="6408" width="13.875" style="2963" customWidth="1"/>
    <col min="6409" max="6409" width="19.875" style="2963" customWidth="1"/>
    <col min="6410" max="6410" width="9" style="2963" customWidth="1"/>
    <col min="6411" max="6411" width="26.125" style="2963" customWidth="1"/>
    <col min="6412" max="6412" width="10.625" style="2963" customWidth="1"/>
    <col min="6413" max="6413" width="14.375" style="2963" customWidth="1"/>
    <col min="6414" max="6414" width="6.25" style="2963" customWidth="1"/>
    <col min="6415" max="6415" width="7.875" style="2963" customWidth="1"/>
    <col min="6416" max="6656" width="9" style="2963"/>
    <col min="6657" max="6657" width="24.5" style="2963" customWidth="1"/>
    <col min="6658" max="6658" width="6.25" style="2963" customWidth="1"/>
    <col min="6659" max="6659" width="7.875" style="2963" customWidth="1"/>
    <col min="6660" max="6660" width="6.25" style="2963" customWidth="1"/>
    <col min="6661" max="6661" width="24.5" style="2963" customWidth="1"/>
    <col min="6662" max="6662" width="7.875" style="2963" customWidth="1"/>
    <col min="6663" max="6664" width="13.875" style="2963" customWidth="1"/>
    <col min="6665" max="6665" width="19.875" style="2963" customWidth="1"/>
    <col min="6666" max="6666" width="9" style="2963" customWidth="1"/>
    <col min="6667" max="6667" width="26.125" style="2963" customWidth="1"/>
    <col min="6668" max="6668" width="10.625" style="2963" customWidth="1"/>
    <col min="6669" max="6669" width="14.375" style="2963" customWidth="1"/>
    <col min="6670" max="6670" width="6.25" style="2963" customWidth="1"/>
    <col min="6671" max="6671" width="7.875" style="2963" customWidth="1"/>
    <col min="6672" max="6912" width="9" style="2963"/>
    <col min="6913" max="6913" width="24.5" style="2963" customWidth="1"/>
    <col min="6914" max="6914" width="6.25" style="2963" customWidth="1"/>
    <col min="6915" max="6915" width="7.875" style="2963" customWidth="1"/>
    <col min="6916" max="6916" width="6.25" style="2963" customWidth="1"/>
    <col min="6917" max="6917" width="24.5" style="2963" customWidth="1"/>
    <col min="6918" max="6918" width="7.875" style="2963" customWidth="1"/>
    <col min="6919" max="6920" width="13.875" style="2963" customWidth="1"/>
    <col min="6921" max="6921" width="19.875" style="2963" customWidth="1"/>
    <col min="6922" max="6922" width="9" style="2963" customWidth="1"/>
    <col min="6923" max="6923" width="26.125" style="2963" customWidth="1"/>
    <col min="6924" max="6924" width="10.625" style="2963" customWidth="1"/>
    <col min="6925" max="6925" width="14.375" style="2963" customWidth="1"/>
    <col min="6926" max="6926" width="6.25" style="2963" customWidth="1"/>
    <col min="6927" max="6927" width="7.875" style="2963" customWidth="1"/>
    <col min="6928" max="7168" width="9" style="2963"/>
    <col min="7169" max="7169" width="24.5" style="2963" customWidth="1"/>
    <col min="7170" max="7170" width="6.25" style="2963" customWidth="1"/>
    <col min="7171" max="7171" width="7.875" style="2963" customWidth="1"/>
    <col min="7172" max="7172" width="6.25" style="2963" customWidth="1"/>
    <col min="7173" max="7173" width="24.5" style="2963" customWidth="1"/>
    <col min="7174" max="7174" width="7.875" style="2963" customWidth="1"/>
    <col min="7175" max="7176" width="13.875" style="2963" customWidth="1"/>
    <col min="7177" max="7177" width="19.875" style="2963" customWidth="1"/>
    <col min="7178" max="7178" width="9" style="2963" customWidth="1"/>
    <col min="7179" max="7179" width="26.125" style="2963" customWidth="1"/>
    <col min="7180" max="7180" width="10.625" style="2963" customWidth="1"/>
    <col min="7181" max="7181" width="14.375" style="2963" customWidth="1"/>
    <col min="7182" max="7182" width="6.25" style="2963" customWidth="1"/>
    <col min="7183" max="7183" width="7.875" style="2963" customWidth="1"/>
    <col min="7184" max="7424" width="9" style="2963"/>
    <col min="7425" max="7425" width="24.5" style="2963" customWidth="1"/>
    <col min="7426" max="7426" width="6.25" style="2963" customWidth="1"/>
    <col min="7427" max="7427" width="7.875" style="2963" customWidth="1"/>
    <col min="7428" max="7428" width="6.25" style="2963" customWidth="1"/>
    <col min="7429" max="7429" width="24.5" style="2963" customWidth="1"/>
    <col min="7430" max="7430" width="7.875" style="2963" customWidth="1"/>
    <col min="7431" max="7432" width="13.875" style="2963" customWidth="1"/>
    <col min="7433" max="7433" width="19.875" style="2963" customWidth="1"/>
    <col min="7434" max="7434" width="9" style="2963" customWidth="1"/>
    <col min="7435" max="7435" width="26.125" style="2963" customWidth="1"/>
    <col min="7436" max="7436" width="10.625" style="2963" customWidth="1"/>
    <col min="7437" max="7437" width="14.375" style="2963" customWidth="1"/>
    <col min="7438" max="7438" width="6.25" style="2963" customWidth="1"/>
    <col min="7439" max="7439" width="7.875" style="2963" customWidth="1"/>
    <col min="7440" max="7680" width="9" style="2963"/>
    <col min="7681" max="7681" width="24.5" style="2963" customWidth="1"/>
    <col min="7682" max="7682" width="6.25" style="2963" customWidth="1"/>
    <col min="7683" max="7683" width="7.875" style="2963" customWidth="1"/>
    <col min="7684" max="7684" width="6.25" style="2963" customWidth="1"/>
    <col min="7685" max="7685" width="24.5" style="2963" customWidth="1"/>
    <col min="7686" max="7686" width="7.875" style="2963" customWidth="1"/>
    <col min="7687" max="7688" width="13.875" style="2963" customWidth="1"/>
    <col min="7689" max="7689" width="19.875" style="2963" customWidth="1"/>
    <col min="7690" max="7690" width="9" style="2963" customWidth="1"/>
    <col min="7691" max="7691" width="26.125" style="2963" customWidth="1"/>
    <col min="7692" max="7692" width="10.625" style="2963" customWidth="1"/>
    <col min="7693" max="7693" width="14.375" style="2963" customWidth="1"/>
    <col min="7694" max="7694" width="6.25" style="2963" customWidth="1"/>
    <col min="7695" max="7695" width="7.875" style="2963" customWidth="1"/>
    <col min="7696" max="7936" width="9" style="2963"/>
    <col min="7937" max="7937" width="24.5" style="2963" customWidth="1"/>
    <col min="7938" max="7938" width="6.25" style="2963" customWidth="1"/>
    <col min="7939" max="7939" width="7.875" style="2963" customWidth="1"/>
    <col min="7940" max="7940" width="6.25" style="2963" customWidth="1"/>
    <col min="7941" max="7941" width="24.5" style="2963" customWidth="1"/>
    <col min="7942" max="7942" width="7.875" style="2963" customWidth="1"/>
    <col min="7943" max="7944" width="13.875" style="2963" customWidth="1"/>
    <col min="7945" max="7945" width="19.875" style="2963" customWidth="1"/>
    <col min="7946" max="7946" width="9" style="2963" customWidth="1"/>
    <col min="7947" max="7947" width="26.125" style="2963" customWidth="1"/>
    <col min="7948" max="7948" width="10.625" style="2963" customWidth="1"/>
    <col min="7949" max="7949" width="14.375" style="2963" customWidth="1"/>
    <col min="7950" max="7950" width="6.25" style="2963" customWidth="1"/>
    <col min="7951" max="7951" width="7.875" style="2963" customWidth="1"/>
    <col min="7952" max="8192" width="9" style="2963"/>
    <col min="8193" max="8193" width="24.5" style="2963" customWidth="1"/>
    <col min="8194" max="8194" width="6.25" style="2963" customWidth="1"/>
    <col min="8195" max="8195" width="7.875" style="2963" customWidth="1"/>
    <col min="8196" max="8196" width="6.25" style="2963" customWidth="1"/>
    <col min="8197" max="8197" width="24.5" style="2963" customWidth="1"/>
    <col min="8198" max="8198" width="7.875" style="2963" customWidth="1"/>
    <col min="8199" max="8200" width="13.875" style="2963" customWidth="1"/>
    <col min="8201" max="8201" width="19.875" style="2963" customWidth="1"/>
    <col min="8202" max="8202" width="9" style="2963" customWidth="1"/>
    <col min="8203" max="8203" width="26.125" style="2963" customWidth="1"/>
    <col min="8204" max="8204" width="10.625" style="2963" customWidth="1"/>
    <col min="8205" max="8205" width="14.375" style="2963" customWidth="1"/>
    <col min="8206" max="8206" width="6.25" style="2963" customWidth="1"/>
    <col min="8207" max="8207" width="7.875" style="2963" customWidth="1"/>
    <col min="8208" max="8448" width="9" style="2963"/>
    <col min="8449" max="8449" width="24.5" style="2963" customWidth="1"/>
    <col min="8450" max="8450" width="6.25" style="2963" customWidth="1"/>
    <col min="8451" max="8451" width="7.875" style="2963" customWidth="1"/>
    <col min="8452" max="8452" width="6.25" style="2963" customWidth="1"/>
    <col min="8453" max="8453" width="24.5" style="2963" customWidth="1"/>
    <col min="8454" max="8454" width="7.875" style="2963" customWidth="1"/>
    <col min="8455" max="8456" width="13.875" style="2963" customWidth="1"/>
    <col min="8457" max="8457" width="19.875" style="2963" customWidth="1"/>
    <col min="8458" max="8458" width="9" style="2963" customWidth="1"/>
    <col min="8459" max="8459" width="26.125" style="2963" customWidth="1"/>
    <col min="8460" max="8460" width="10.625" style="2963" customWidth="1"/>
    <col min="8461" max="8461" width="14.375" style="2963" customWidth="1"/>
    <col min="8462" max="8462" width="6.25" style="2963" customWidth="1"/>
    <col min="8463" max="8463" width="7.875" style="2963" customWidth="1"/>
    <col min="8464" max="8704" width="9" style="2963"/>
    <col min="8705" max="8705" width="24.5" style="2963" customWidth="1"/>
    <col min="8706" max="8706" width="6.25" style="2963" customWidth="1"/>
    <col min="8707" max="8707" width="7.875" style="2963" customWidth="1"/>
    <col min="8708" max="8708" width="6.25" style="2963" customWidth="1"/>
    <col min="8709" max="8709" width="24.5" style="2963" customWidth="1"/>
    <col min="8710" max="8710" width="7.875" style="2963" customWidth="1"/>
    <col min="8711" max="8712" width="13.875" style="2963" customWidth="1"/>
    <col min="8713" max="8713" width="19.875" style="2963" customWidth="1"/>
    <col min="8714" max="8714" width="9" style="2963" customWidth="1"/>
    <col min="8715" max="8715" width="26.125" style="2963" customWidth="1"/>
    <col min="8716" max="8716" width="10.625" style="2963" customWidth="1"/>
    <col min="8717" max="8717" width="14.375" style="2963" customWidth="1"/>
    <col min="8718" max="8718" width="6.25" style="2963" customWidth="1"/>
    <col min="8719" max="8719" width="7.875" style="2963" customWidth="1"/>
    <col min="8720" max="8960" width="9" style="2963"/>
    <col min="8961" max="8961" width="24.5" style="2963" customWidth="1"/>
    <col min="8962" max="8962" width="6.25" style="2963" customWidth="1"/>
    <col min="8963" max="8963" width="7.875" style="2963" customWidth="1"/>
    <col min="8964" max="8964" width="6.25" style="2963" customWidth="1"/>
    <col min="8965" max="8965" width="24.5" style="2963" customWidth="1"/>
    <col min="8966" max="8966" width="7.875" style="2963" customWidth="1"/>
    <col min="8967" max="8968" width="13.875" style="2963" customWidth="1"/>
    <col min="8969" max="8969" width="19.875" style="2963" customWidth="1"/>
    <col min="8970" max="8970" width="9" style="2963" customWidth="1"/>
    <col min="8971" max="8971" width="26.125" style="2963" customWidth="1"/>
    <col min="8972" max="8972" width="10.625" style="2963" customWidth="1"/>
    <col min="8973" max="8973" width="14.375" style="2963" customWidth="1"/>
    <col min="8974" max="8974" width="6.25" style="2963" customWidth="1"/>
    <col min="8975" max="8975" width="7.875" style="2963" customWidth="1"/>
    <col min="8976" max="9216" width="9" style="2963"/>
    <col min="9217" max="9217" width="24.5" style="2963" customWidth="1"/>
    <col min="9218" max="9218" width="6.25" style="2963" customWidth="1"/>
    <col min="9219" max="9219" width="7.875" style="2963" customWidth="1"/>
    <col min="9220" max="9220" width="6.25" style="2963" customWidth="1"/>
    <col min="9221" max="9221" width="24.5" style="2963" customWidth="1"/>
    <col min="9222" max="9222" width="7.875" style="2963" customWidth="1"/>
    <col min="9223" max="9224" width="13.875" style="2963" customWidth="1"/>
    <col min="9225" max="9225" width="19.875" style="2963" customWidth="1"/>
    <col min="9226" max="9226" width="9" style="2963" customWidth="1"/>
    <col min="9227" max="9227" width="26.125" style="2963" customWidth="1"/>
    <col min="9228" max="9228" width="10.625" style="2963" customWidth="1"/>
    <col min="9229" max="9229" width="14.375" style="2963" customWidth="1"/>
    <col min="9230" max="9230" width="6.25" style="2963" customWidth="1"/>
    <col min="9231" max="9231" width="7.875" style="2963" customWidth="1"/>
    <col min="9232" max="9472" width="9" style="2963"/>
    <col min="9473" max="9473" width="24.5" style="2963" customWidth="1"/>
    <col min="9474" max="9474" width="6.25" style="2963" customWidth="1"/>
    <col min="9475" max="9475" width="7.875" style="2963" customWidth="1"/>
    <col min="9476" max="9476" width="6.25" style="2963" customWidth="1"/>
    <col min="9477" max="9477" width="24.5" style="2963" customWidth="1"/>
    <col min="9478" max="9478" width="7.875" style="2963" customWidth="1"/>
    <col min="9479" max="9480" width="13.875" style="2963" customWidth="1"/>
    <col min="9481" max="9481" width="19.875" style="2963" customWidth="1"/>
    <col min="9482" max="9482" width="9" style="2963" customWidth="1"/>
    <col min="9483" max="9483" width="26.125" style="2963" customWidth="1"/>
    <col min="9484" max="9484" width="10.625" style="2963" customWidth="1"/>
    <col min="9485" max="9485" width="14.375" style="2963" customWidth="1"/>
    <col min="9486" max="9486" width="6.25" style="2963" customWidth="1"/>
    <col min="9487" max="9487" width="7.875" style="2963" customWidth="1"/>
    <col min="9488" max="9728" width="9" style="2963"/>
    <col min="9729" max="9729" width="24.5" style="2963" customWidth="1"/>
    <col min="9730" max="9730" width="6.25" style="2963" customWidth="1"/>
    <col min="9731" max="9731" width="7.875" style="2963" customWidth="1"/>
    <col min="9732" max="9732" width="6.25" style="2963" customWidth="1"/>
    <col min="9733" max="9733" width="24.5" style="2963" customWidth="1"/>
    <col min="9734" max="9734" width="7.875" style="2963" customWidth="1"/>
    <col min="9735" max="9736" width="13.875" style="2963" customWidth="1"/>
    <col min="9737" max="9737" width="19.875" style="2963" customWidth="1"/>
    <col min="9738" max="9738" width="9" style="2963" customWidth="1"/>
    <col min="9739" max="9739" width="26.125" style="2963" customWidth="1"/>
    <col min="9740" max="9740" width="10.625" style="2963" customWidth="1"/>
    <col min="9741" max="9741" width="14.375" style="2963" customWidth="1"/>
    <col min="9742" max="9742" width="6.25" style="2963" customWidth="1"/>
    <col min="9743" max="9743" width="7.875" style="2963" customWidth="1"/>
    <col min="9744" max="9984" width="9" style="2963"/>
    <col min="9985" max="9985" width="24.5" style="2963" customWidth="1"/>
    <col min="9986" max="9986" width="6.25" style="2963" customWidth="1"/>
    <col min="9987" max="9987" width="7.875" style="2963" customWidth="1"/>
    <col min="9988" max="9988" width="6.25" style="2963" customWidth="1"/>
    <col min="9989" max="9989" width="24.5" style="2963" customWidth="1"/>
    <col min="9990" max="9990" width="7.875" style="2963" customWidth="1"/>
    <col min="9991" max="9992" width="13.875" style="2963" customWidth="1"/>
    <col min="9993" max="9993" width="19.875" style="2963" customWidth="1"/>
    <col min="9994" max="9994" width="9" style="2963" customWidth="1"/>
    <col min="9995" max="9995" width="26.125" style="2963" customWidth="1"/>
    <col min="9996" max="9996" width="10.625" style="2963" customWidth="1"/>
    <col min="9997" max="9997" width="14.375" style="2963" customWidth="1"/>
    <col min="9998" max="9998" width="6.25" style="2963" customWidth="1"/>
    <col min="9999" max="9999" width="7.875" style="2963" customWidth="1"/>
    <col min="10000" max="10240" width="9" style="2963"/>
    <col min="10241" max="10241" width="24.5" style="2963" customWidth="1"/>
    <col min="10242" max="10242" width="6.25" style="2963" customWidth="1"/>
    <col min="10243" max="10243" width="7.875" style="2963" customWidth="1"/>
    <col min="10244" max="10244" width="6.25" style="2963" customWidth="1"/>
    <col min="10245" max="10245" width="24.5" style="2963" customWidth="1"/>
    <col min="10246" max="10246" width="7.875" style="2963" customWidth="1"/>
    <col min="10247" max="10248" width="13.875" style="2963" customWidth="1"/>
    <col min="10249" max="10249" width="19.875" style="2963" customWidth="1"/>
    <col min="10250" max="10250" width="9" style="2963" customWidth="1"/>
    <col min="10251" max="10251" width="26.125" style="2963" customWidth="1"/>
    <col min="10252" max="10252" width="10.625" style="2963" customWidth="1"/>
    <col min="10253" max="10253" width="14.375" style="2963" customWidth="1"/>
    <col min="10254" max="10254" width="6.25" style="2963" customWidth="1"/>
    <col min="10255" max="10255" width="7.875" style="2963" customWidth="1"/>
    <col min="10256" max="10496" width="9" style="2963"/>
    <col min="10497" max="10497" width="24.5" style="2963" customWidth="1"/>
    <col min="10498" max="10498" width="6.25" style="2963" customWidth="1"/>
    <col min="10499" max="10499" width="7.875" style="2963" customWidth="1"/>
    <col min="10500" max="10500" width="6.25" style="2963" customWidth="1"/>
    <col min="10501" max="10501" width="24.5" style="2963" customWidth="1"/>
    <col min="10502" max="10502" width="7.875" style="2963" customWidth="1"/>
    <col min="10503" max="10504" width="13.875" style="2963" customWidth="1"/>
    <col min="10505" max="10505" width="19.875" style="2963" customWidth="1"/>
    <col min="10506" max="10506" width="9" style="2963" customWidth="1"/>
    <col min="10507" max="10507" width="26.125" style="2963" customWidth="1"/>
    <col min="10508" max="10508" width="10.625" style="2963" customWidth="1"/>
    <col min="10509" max="10509" width="14.375" style="2963" customWidth="1"/>
    <col min="10510" max="10510" width="6.25" style="2963" customWidth="1"/>
    <col min="10511" max="10511" width="7.875" style="2963" customWidth="1"/>
    <col min="10512" max="10752" width="9" style="2963"/>
    <col min="10753" max="10753" width="24.5" style="2963" customWidth="1"/>
    <col min="10754" max="10754" width="6.25" style="2963" customWidth="1"/>
    <col min="10755" max="10755" width="7.875" style="2963" customWidth="1"/>
    <col min="10756" max="10756" width="6.25" style="2963" customWidth="1"/>
    <col min="10757" max="10757" width="24.5" style="2963" customWidth="1"/>
    <col min="10758" max="10758" width="7.875" style="2963" customWidth="1"/>
    <col min="10759" max="10760" width="13.875" style="2963" customWidth="1"/>
    <col min="10761" max="10761" width="19.875" style="2963" customWidth="1"/>
    <col min="10762" max="10762" width="9" style="2963" customWidth="1"/>
    <col min="10763" max="10763" width="26.125" style="2963" customWidth="1"/>
    <col min="10764" max="10764" width="10.625" style="2963" customWidth="1"/>
    <col min="10765" max="10765" width="14.375" style="2963" customWidth="1"/>
    <col min="10766" max="10766" width="6.25" style="2963" customWidth="1"/>
    <col min="10767" max="10767" width="7.875" style="2963" customWidth="1"/>
    <col min="10768" max="11008" width="9" style="2963"/>
    <col min="11009" max="11009" width="24.5" style="2963" customWidth="1"/>
    <col min="11010" max="11010" width="6.25" style="2963" customWidth="1"/>
    <col min="11011" max="11011" width="7.875" style="2963" customWidth="1"/>
    <col min="11012" max="11012" width="6.25" style="2963" customWidth="1"/>
    <col min="11013" max="11013" width="24.5" style="2963" customWidth="1"/>
    <col min="11014" max="11014" width="7.875" style="2963" customWidth="1"/>
    <col min="11015" max="11016" width="13.875" style="2963" customWidth="1"/>
    <col min="11017" max="11017" width="19.875" style="2963" customWidth="1"/>
    <col min="11018" max="11018" width="9" style="2963" customWidth="1"/>
    <col min="11019" max="11019" width="26.125" style="2963" customWidth="1"/>
    <col min="11020" max="11020" width="10.625" style="2963" customWidth="1"/>
    <col min="11021" max="11021" width="14.375" style="2963" customWidth="1"/>
    <col min="11022" max="11022" width="6.25" style="2963" customWidth="1"/>
    <col min="11023" max="11023" width="7.875" style="2963" customWidth="1"/>
    <col min="11024" max="11264" width="9" style="2963"/>
    <col min="11265" max="11265" width="24.5" style="2963" customWidth="1"/>
    <col min="11266" max="11266" width="6.25" style="2963" customWidth="1"/>
    <col min="11267" max="11267" width="7.875" style="2963" customWidth="1"/>
    <col min="11268" max="11268" width="6.25" style="2963" customWidth="1"/>
    <col min="11269" max="11269" width="24.5" style="2963" customWidth="1"/>
    <col min="11270" max="11270" width="7.875" style="2963" customWidth="1"/>
    <col min="11271" max="11272" width="13.875" style="2963" customWidth="1"/>
    <col min="11273" max="11273" width="19.875" style="2963" customWidth="1"/>
    <col min="11274" max="11274" width="9" style="2963" customWidth="1"/>
    <col min="11275" max="11275" width="26.125" style="2963" customWidth="1"/>
    <col min="11276" max="11276" width="10.625" style="2963" customWidth="1"/>
    <col min="11277" max="11277" width="14.375" style="2963" customWidth="1"/>
    <col min="11278" max="11278" width="6.25" style="2963" customWidth="1"/>
    <col min="11279" max="11279" width="7.875" style="2963" customWidth="1"/>
    <col min="11280" max="11520" width="9" style="2963"/>
    <col min="11521" max="11521" width="24.5" style="2963" customWidth="1"/>
    <col min="11522" max="11522" width="6.25" style="2963" customWidth="1"/>
    <col min="11523" max="11523" width="7.875" style="2963" customWidth="1"/>
    <col min="11524" max="11524" width="6.25" style="2963" customWidth="1"/>
    <col min="11525" max="11525" width="24.5" style="2963" customWidth="1"/>
    <col min="11526" max="11526" width="7.875" style="2963" customWidth="1"/>
    <col min="11527" max="11528" width="13.875" style="2963" customWidth="1"/>
    <col min="11529" max="11529" width="19.875" style="2963" customWidth="1"/>
    <col min="11530" max="11530" width="9" style="2963" customWidth="1"/>
    <col min="11531" max="11531" width="26.125" style="2963" customWidth="1"/>
    <col min="11532" max="11532" width="10.625" style="2963" customWidth="1"/>
    <col min="11533" max="11533" width="14.375" style="2963" customWidth="1"/>
    <col min="11534" max="11534" width="6.25" style="2963" customWidth="1"/>
    <col min="11535" max="11535" width="7.875" style="2963" customWidth="1"/>
    <col min="11536" max="11776" width="9" style="2963"/>
    <col min="11777" max="11777" width="24.5" style="2963" customWidth="1"/>
    <col min="11778" max="11778" width="6.25" style="2963" customWidth="1"/>
    <col min="11779" max="11779" width="7.875" style="2963" customWidth="1"/>
    <col min="11780" max="11780" width="6.25" style="2963" customWidth="1"/>
    <col min="11781" max="11781" width="24.5" style="2963" customWidth="1"/>
    <col min="11782" max="11782" width="7.875" style="2963" customWidth="1"/>
    <col min="11783" max="11784" width="13.875" style="2963" customWidth="1"/>
    <col min="11785" max="11785" width="19.875" style="2963" customWidth="1"/>
    <col min="11786" max="11786" width="9" style="2963" customWidth="1"/>
    <col min="11787" max="11787" width="26.125" style="2963" customWidth="1"/>
    <col min="11788" max="11788" width="10.625" style="2963" customWidth="1"/>
    <col min="11789" max="11789" width="14.375" style="2963" customWidth="1"/>
    <col min="11790" max="11790" width="6.25" style="2963" customWidth="1"/>
    <col min="11791" max="11791" width="7.875" style="2963" customWidth="1"/>
    <col min="11792" max="12032" width="9" style="2963"/>
    <col min="12033" max="12033" width="24.5" style="2963" customWidth="1"/>
    <col min="12034" max="12034" width="6.25" style="2963" customWidth="1"/>
    <col min="12035" max="12035" width="7.875" style="2963" customWidth="1"/>
    <col min="12036" max="12036" width="6.25" style="2963" customWidth="1"/>
    <col min="12037" max="12037" width="24.5" style="2963" customWidth="1"/>
    <col min="12038" max="12038" width="7.875" style="2963" customWidth="1"/>
    <col min="12039" max="12040" width="13.875" style="2963" customWidth="1"/>
    <col min="12041" max="12041" width="19.875" style="2963" customWidth="1"/>
    <col min="12042" max="12042" width="9" style="2963" customWidth="1"/>
    <col min="12043" max="12043" width="26.125" style="2963" customWidth="1"/>
    <col min="12044" max="12044" width="10.625" style="2963" customWidth="1"/>
    <col min="12045" max="12045" width="14.375" style="2963" customWidth="1"/>
    <col min="12046" max="12046" width="6.25" style="2963" customWidth="1"/>
    <col min="12047" max="12047" width="7.875" style="2963" customWidth="1"/>
    <col min="12048" max="12288" width="9" style="2963"/>
    <col min="12289" max="12289" width="24.5" style="2963" customWidth="1"/>
    <col min="12290" max="12290" width="6.25" style="2963" customWidth="1"/>
    <col min="12291" max="12291" width="7.875" style="2963" customWidth="1"/>
    <col min="12292" max="12292" width="6.25" style="2963" customWidth="1"/>
    <col min="12293" max="12293" width="24.5" style="2963" customWidth="1"/>
    <col min="12294" max="12294" width="7.875" style="2963" customWidth="1"/>
    <col min="12295" max="12296" width="13.875" style="2963" customWidth="1"/>
    <col min="12297" max="12297" width="19.875" style="2963" customWidth="1"/>
    <col min="12298" max="12298" width="9" style="2963" customWidth="1"/>
    <col min="12299" max="12299" width="26.125" style="2963" customWidth="1"/>
    <col min="12300" max="12300" width="10.625" style="2963" customWidth="1"/>
    <col min="12301" max="12301" width="14.375" style="2963" customWidth="1"/>
    <col min="12302" max="12302" width="6.25" style="2963" customWidth="1"/>
    <col min="12303" max="12303" width="7.875" style="2963" customWidth="1"/>
    <col min="12304" max="12544" width="9" style="2963"/>
    <col min="12545" max="12545" width="24.5" style="2963" customWidth="1"/>
    <col min="12546" max="12546" width="6.25" style="2963" customWidth="1"/>
    <col min="12547" max="12547" width="7.875" style="2963" customWidth="1"/>
    <col min="12548" max="12548" width="6.25" style="2963" customWidth="1"/>
    <col min="12549" max="12549" width="24.5" style="2963" customWidth="1"/>
    <col min="12550" max="12550" width="7.875" style="2963" customWidth="1"/>
    <col min="12551" max="12552" width="13.875" style="2963" customWidth="1"/>
    <col min="12553" max="12553" width="19.875" style="2963" customWidth="1"/>
    <col min="12554" max="12554" width="9" style="2963" customWidth="1"/>
    <col min="12555" max="12555" width="26.125" style="2963" customWidth="1"/>
    <col min="12556" max="12556" width="10.625" style="2963" customWidth="1"/>
    <col min="12557" max="12557" width="14.375" style="2963" customWidth="1"/>
    <col min="12558" max="12558" width="6.25" style="2963" customWidth="1"/>
    <col min="12559" max="12559" width="7.875" style="2963" customWidth="1"/>
    <col min="12560" max="12800" width="9" style="2963"/>
    <col min="12801" max="12801" width="24.5" style="2963" customWidth="1"/>
    <col min="12802" max="12802" width="6.25" style="2963" customWidth="1"/>
    <col min="12803" max="12803" width="7.875" style="2963" customWidth="1"/>
    <col min="12804" max="12804" width="6.25" style="2963" customWidth="1"/>
    <col min="12805" max="12805" width="24.5" style="2963" customWidth="1"/>
    <col min="12806" max="12806" width="7.875" style="2963" customWidth="1"/>
    <col min="12807" max="12808" width="13.875" style="2963" customWidth="1"/>
    <col min="12809" max="12809" width="19.875" style="2963" customWidth="1"/>
    <col min="12810" max="12810" width="9" style="2963" customWidth="1"/>
    <col min="12811" max="12811" width="26.125" style="2963" customWidth="1"/>
    <col min="12812" max="12812" width="10.625" style="2963" customWidth="1"/>
    <col min="12813" max="12813" width="14.375" style="2963" customWidth="1"/>
    <col min="12814" max="12814" width="6.25" style="2963" customWidth="1"/>
    <col min="12815" max="12815" width="7.875" style="2963" customWidth="1"/>
    <col min="12816" max="13056" width="9" style="2963"/>
    <col min="13057" max="13057" width="24.5" style="2963" customWidth="1"/>
    <col min="13058" max="13058" width="6.25" style="2963" customWidth="1"/>
    <col min="13059" max="13059" width="7.875" style="2963" customWidth="1"/>
    <col min="13060" max="13060" width="6.25" style="2963" customWidth="1"/>
    <col min="13061" max="13061" width="24.5" style="2963" customWidth="1"/>
    <col min="13062" max="13062" width="7.875" style="2963" customWidth="1"/>
    <col min="13063" max="13064" width="13.875" style="2963" customWidth="1"/>
    <col min="13065" max="13065" width="19.875" style="2963" customWidth="1"/>
    <col min="13066" max="13066" width="9" style="2963" customWidth="1"/>
    <col min="13067" max="13067" width="26.125" style="2963" customWidth="1"/>
    <col min="13068" max="13068" width="10.625" style="2963" customWidth="1"/>
    <col min="13069" max="13069" width="14.375" style="2963" customWidth="1"/>
    <col min="13070" max="13070" width="6.25" style="2963" customWidth="1"/>
    <col min="13071" max="13071" width="7.875" style="2963" customWidth="1"/>
    <col min="13072" max="13312" width="9" style="2963"/>
    <col min="13313" max="13313" width="24.5" style="2963" customWidth="1"/>
    <col min="13314" max="13314" width="6.25" style="2963" customWidth="1"/>
    <col min="13315" max="13315" width="7.875" style="2963" customWidth="1"/>
    <col min="13316" max="13316" width="6.25" style="2963" customWidth="1"/>
    <col min="13317" max="13317" width="24.5" style="2963" customWidth="1"/>
    <col min="13318" max="13318" width="7.875" style="2963" customWidth="1"/>
    <col min="13319" max="13320" width="13.875" style="2963" customWidth="1"/>
    <col min="13321" max="13321" width="19.875" style="2963" customWidth="1"/>
    <col min="13322" max="13322" width="9" style="2963" customWidth="1"/>
    <col min="13323" max="13323" width="26.125" style="2963" customWidth="1"/>
    <col min="13324" max="13324" width="10.625" style="2963" customWidth="1"/>
    <col min="13325" max="13325" width="14.375" style="2963" customWidth="1"/>
    <col min="13326" max="13326" width="6.25" style="2963" customWidth="1"/>
    <col min="13327" max="13327" width="7.875" style="2963" customWidth="1"/>
    <col min="13328" max="13568" width="9" style="2963"/>
    <col min="13569" max="13569" width="24.5" style="2963" customWidth="1"/>
    <col min="13570" max="13570" width="6.25" style="2963" customWidth="1"/>
    <col min="13571" max="13571" width="7.875" style="2963" customWidth="1"/>
    <col min="13572" max="13572" width="6.25" style="2963" customWidth="1"/>
    <col min="13573" max="13573" width="24.5" style="2963" customWidth="1"/>
    <col min="13574" max="13574" width="7.875" style="2963" customWidth="1"/>
    <col min="13575" max="13576" width="13.875" style="2963" customWidth="1"/>
    <col min="13577" max="13577" width="19.875" style="2963" customWidth="1"/>
    <col min="13578" max="13578" width="9" style="2963" customWidth="1"/>
    <col min="13579" max="13579" width="26.125" style="2963" customWidth="1"/>
    <col min="13580" max="13580" width="10.625" style="2963" customWidth="1"/>
    <col min="13581" max="13581" width="14.375" style="2963" customWidth="1"/>
    <col min="13582" max="13582" width="6.25" style="2963" customWidth="1"/>
    <col min="13583" max="13583" width="7.875" style="2963" customWidth="1"/>
    <col min="13584" max="13824" width="9" style="2963"/>
    <col min="13825" max="13825" width="24.5" style="2963" customWidth="1"/>
    <col min="13826" max="13826" width="6.25" style="2963" customWidth="1"/>
    <col min="13827" max="13827" width="7.875" style="2963" customWidth="1"/>
    <col min="13828" max="13828" width="6.25" style="2963" customWidth="1"/>
    <col min="13829" max="13829" width="24.5" style="2963" customWidth="1"/>
    <col min="13830" max="13830" width="7.875" style="2963" customWidth="1"/>
    <col min="13831" max="13832" width="13.875" style="2963" customWidth="1"/>
    <col min="13833" max="13833" width="19.875" style="2963" customWidth="1"/>
    <col min="13834" max="13834" width="9" style="2963" customWidth="1"/>
    <col min="13835" max="13835" width="26.125" style="2963" customWidth="1"/>
    <col min="13836" max="13836" width="10.625" style="2963" customWidth="1"/>
    <col min="13837" max="13837" width="14.375" style="2963" customWidth="1"/>
    <col min="13838" max="13838" width="6.25" style="2963" customWidth="1"/>
    <col min="13839" max="13839" width="7.875" style="2963" customWidth="1"/>
    <col min="13840" max="14080" width="9" style="2963"/>
    <col min="14081" max="14081" width="24.5" style="2963" customWidth="1"/>
    <col min="14082" max="14082" width="6.25" style="2963" customWidth="1"/>
    <col min="14083" max="14083" width="7.875" style="2963" customWidth="1"/>
    <col min="14084" max="14084" width="6.25" style="2963" customWidth="1"/>
    <col min="14085" max="14085" width="24.5" style="2963" customWidth="1"/>
    <col min="14086" max="14086" width="7.875" style="2963" customWidth="1"/>
    <col min="14087" max="14088" width="13.875" style="2963" customWidth="1"/>
    <col min="14089" max="14089" width="19.875" style="2963" customWidth="1"/>
    <col min="14090" max="14090" width="9" style="2963" customWidth="1"/>
    <col min="14091" max="14091" width="26.125" style="2963" customWidth="1"/>
    <col min="14092" max="14092" width="10.625" style="2963" customWidth="1"/>
    <col min="14093" max="14093" width="14.375" style="2963" customWidth="1"/>
    <col min="14094" max="14094" width="6.25" style="2963" customWidth="1"/>
    <col min="14095" max="14095" width="7.875" style="2963" customWidth="1"/>
    <col min="14096" max="14336" width="9" style="2963"/>
    <col min="14337" max="14337" width="24.5" style="2963" customWidth="1"/>
    <col min="14338" max="14338" width="6.25" style="2963" customWidth="1"/>
    <col min="14339" max="14339" width="7.875" style="2963" customWidth="1"/>
    <col min="14340" max="14340" width="6.25" style="2963" customWidth="1"/>
    <col min="14341" max="14341" width="24.5" style="2963" customWidth="1"/>
    <col min="14342" max="14342" width="7.875" style="2963" customWidth="1"/>
    <col min="14343" max="14344" width="13.875" style="2963" customWidth="1"/>
    <col min="14345" max="14345" width="19.875" style="2963" customWidth="1"/>
    <col min="14346" max="14346" width="9" style="2963" customWidth="1"/>
    <col min="14347" max="14347" width="26.125" style="2963" customWidth="1"/>
    <col min="14348" max="14348" width="10.625" style="2963" customWidth="1"/>
    <col min="14349" max="14349" width="14.375" style="2963" customWidth="1"/>
    <col min="14350" max="14350" width="6.25" style="2963" customWidth="1"/>
    <col min="14351" max="14351" width="7.875" style="2963" customWidth="1"/>
    <col min="14352" max="14592" width="9" style="2963"/>
    <col min="14593" max="14593" width="24.5" style="2963" customWidth="1"/>
    <col min="14594" max="14594" width="6.25" style="2963" customWidth="1"/>
    <col min="14595" max="14595" width="7.875" style="2963" customWidth="1"/>
    <col min="14596" max="14596" width="6.25" style="2963" customWidth="1"/>
    <col min="14597" max="14597" width="24.5" style="2963" customWidth="1"/>
    <col min="14598" max="14598" width="7.875" style="2963" customWidth="1"/>
    <col min="14599" max="14600" width="13.875" style="2963" customWidth="1"/>
    <col min="14601" max="14601" width="19.875" style="2963" customWidth="1"/>
    <col min="14602" max="14602" width="9" style="2963" customWidth="1"/>
    <col min="14603" max="14603" width="26.125" style="2963" customWidth="1"/>
    <col min="14604" max="14604" width="10.625" style="2963" customWidth="1"/>
    <col min="14605" max="14605" width="14.375" style="2963" customWidth="1"/>
    <col min="14606" max="14606" width="6.25" style="2963" customWidth="1"/>
    <col min="14607" max="14607" width="7.875" style="2963" customWidth="1"/>
    <col min="14608" max="14848" width="9" style="2963"/>
    <col min="14849" max="14849" width="24.5" style="2963" customWidth="1"/>
    <col min="14850" max="14850" width="6.25" style="2963" customWidth="1"/>
    <col min="14851" max="14851" width="7.875" style="2963" customWidth="1"/>
    <col min="14852" max="14852" width="6.25" style="2963" customWidth="1"/>
    <col min="14853" max="14853" width="24.5" style="2963" customWidth="1"/>
    <col min="14854" max="14854" width="7.875" style="2963" customWidth="1"/>
    <col min="14855" max="14856" width="13.875" style="2963" customWidth="1"/>
    <col min="14857" max="14857" width="19.875" style="2963" customWidth="1"/>
    <col min="14858" max="14858" width="9" style="2963" customWidth="1"/>
    <col min="14859" max="14859" width="26.125" style="2963" customWidth="1"/>
    <col min="14860" max="14860" width="10.625" style="2963" customWidth="1"/>
    <col min="14861" max="14861" width="14.375" style="2963" customWidth="1"/>
    <col min="14862" max="14862" width="6.25" style="2963" customWidth="1"/>
    <col min="14863" max="14863" width="7.875" style="2963" customWidth="1"/>
    <col min="14864" max="15104" width="9" style="2963"/>
    <col min="15105" max="15105" width="24.5" style="2963" customWidth="1"/>
    <col min="15106" max="15106" width="6.25" style="2963" customWidth="1"/>
    <col min="15107" max="15107" width="7.875" style="2963" customWidth="1"/>
    <col min="15108" max="15108" width="6.25" style="2963" customWidth="1"/>
    <col min="15109" max="15109" width="24.5" style="2963" customWidth="1"/>
    <col min="15110" max="15110" width="7.875" style="2963" customWidth="1"/>
    <col min="15111" max="15112" width="13.875" style="2963" customWidth="1"/>
    <col min="15113" max="15113" width="19.875" style="2963" customWidth="1"/>
    <col min="15114" max="15114" width="9" style="2963" customWidth="1"/>
    <col min="15115" max="15115" width="26.125" style="2963" customWidth="1"/>
    <col min="15116" max="15116" width="10.625" style="2963" customWidth="1"/>
    <col min="15117" max="15117" width="14.375" style="2963" customWidth="1"/>
    <col min="15118" max="15118" width="6.25" style="2963" customWidth="1"/>
    <col min="15119" max="15119" width="7.875" style="2963" customWidth="1"/>
    <col min="15120" max="15360" width="9" style="2963"/>
    <col min="15361" max="15361" width="24.5" style="2963" customWidth="1"/>
    <col min="15362" max="15362" width="6.25" style="2963" customWidth="1"/>
    <col min="15363" max="15363" width="7.875" style="2963" customWidth="1"/>
    <col min="15364" max="15364" width="6.25" style="2963" customWidth="1"/>
    <col min="15365" max="15365" width="24.5" style="2963" customWidth="1"/>
    <col min="15366" max="15366" width="7.875" style="2963" customWidth="1"/>
    <col min="15367" max="15368" width="13.875" style="2963" customWidth="1"/>
    <col min="15369" max="15369" width="19.875" style="2963" customWidth="1"/>
    <col min="15370" max="15370" width="9" style="2963" customWidth="1"/>
    <col min="15371" max="15371" width="26.125" style="2963" customWidth="1"/>
    <col min="15372" max="15372" width="10.625" style="2963" customWidth="1"/>
    <col min="15373" max="15373" width="14.375" style="2963" customWidth="1"/>
    <col min="15374" max="15374" width="6.25" style="2963" customWidth="1"/>
    <col min="15375" max="15375" width="7.875" style="2963" customWidth="1"/>
    <col min="15376" max="15616" width="9" style="2963"/>
    <col min="15617" max="15617" width="24.5" style="2963" customWidth="1"/>
    <col min="15618" max="15618" width="6.25" style="2963" customWidth="1"/>
    <col min="15619" max="15619" width="7.875" style="2963" customWidth="1"/>
    <col min="15620" max="15620" width="6.25" style="2963" customWidth="1"/>
    <col min="15621" max="15621" width="24.5" style="2963" customWidth="1"/>
    <col min="15622" max="15622" width="7.875" style="2963" customWidth="1"/>
    <col min="15623" max="15624" width="13.875" style="2963" customWidth="1"/>
    <col min="15625" max="15625" width="19.875" style="2963" customWidth="1"/>
    <col min="15626" max="15626" width="9" style="2963" customWidth="1"/>
    <col min="15627" max="15627" width="26.125" style="2963" customWidth="1"/>
    <col min="15628" max="15628" width="10.625" style="2963" customWidth="1"/>
    <col min="15629" max="15629" width="14.375" style="2963" customWidth="1"/>
    <col min="15630" max="15630" width="6.25" style="2963" customWidth="1"/>
    <col min="15631" max="15631" width="7.875" style="2963" customWidth="1"/>
    <col min="15632" max="15872" width="9" style="2963"/>
    <col min="15873" max="15873" width="24.5" style="2963" customWidth="1"/>
    <col min="15874" max="15874" width="6.25" style="2963" customWidth="1"/>
    <col min="15875" max="15875" width="7.875" style="2963" customWidth="1"/>
    <col min="15876" max="15876" width="6.25" style="2963" customWidth="1"/>
    <col min="15877" max="15877" width="24.5" style="2963" customWidth="1"/>
    <col min="15878" max="15878" width="7.875" style="2963" customWidth="1"/>
    <col min="15879" max="15880" width="13.875" style="2963" customWidth="1"/>
    <col min="15881" max="15881" width="19.875" style="2963" customWidth="1"/>
    <col min="15882" max="15882" width="9" style="2963" customWidth="1"/>
    <col min="15883" max="15883" width="26.125" style="2963" customWidth="1"/>
    <col min="15884" max="15884" width="10.625" style="2963" customWidth="1"/>
    <col min="15885" max="15885" width="14.375" style="2963" customWidth="1"/>
    <col min="15886" max="15886" width="6.25" style="2963" customWidth="1"/>
    <col min="15887" max="15887" width="7.875" style="2963" customWidth="1"/>
    <col min="15888" max="16128" width="9" style="2963"/>
    <col min="16129" max="16129" width="24.5" style="2963" customWidth="1"/>
    <col min="16130" max="16130" width="6.25" style="2963" customWidth="1"/>
    <col min="16131" max="16131" width="7.875" style="2963" customWidth="1"/>
    <col min="16132" max="16132" width="6.25" style="2963" customWidth="1"/>
    <col min="16133" max="16133" width="24.5" style="2963" customWidth="1"/>
    <col min="16134" max="16134" width="7.875" style="2963" customWidth="1"/>
    <col min="16135" max="16136" width="13.875" style="2963" customWidth="1"/>
    <col min="16137" max="16137" width="19.875" style="2963" customWidth="1"/>
    <col min="16138" max="16138" width="9" style="2963" customWidth="1"/>
    <col min="16139" max="16139" width="26.125" style="2963" customWidth="1"/>
    <col min="16140" max="16140" width="10.625" style="2963" customWidth="1"/>
    <col min="16141" max="16141" width="14.375" style="2963" customWidth="1"/>
    <col min="16142" max="16142" width="6.25" style="2963" customWidth="1"/>
    <col min="16143" max="16143" width="7.875" style="2963" customWidth="1"/>
    <col min="16144" max="16384" width="9" style="2963"/>
  </cols>
  <sheetData>
    <row r="1" spans="1:16">
      <c r="A1" s="2963" t="s">
        <v>3076</v>
      </c>
      <c r="B1" s="2963" t="s">
        <v>3077</v>
      </c>
      <c r="C1" s="2963" t="s">
        <v>3078</v>
      </c>
      <c r="D1" s="2963" t="s">
        <v>3138</v>
      </c>
      <c r="E1" s="2963" t="s">
        <v>3139</v>
      </c>
      <c r="F1" s="2963" t="s">
        <v>3081</v>
      </c>
      <c r="G1" s="2963" t="s">
        <v>3079</v>
      </c>
      <c r="H1" s="2963" t="s">
        <v>3080</v>
      </c>
      <c r="I1" s="2963" t="s">
        <v>2035</v>
      </c>
      <c r="J1" s="2963" t="s">
        <v>3140</v>
      </c>
      <c r="K1" s="2963" t="s">
        <v>3085</v>
      </c>
      <c r="L1" s="2963" t="s">
        <v>3082</v>
      </c>
      <c r="M1" s="2963" t="s">
        <v>3083</v>
      </c>
      <c r="N1" s="2963" t="s">
        <v>3084</v>
      </c>
      <c r="O1" s="2963" t="s">
        <v>3141</v>
      </c>
      <c r="P1" s="3181" t="s">
        <v>3224</v>
      </c>
    </row>
    <row r="2" spans="1:16" s="3183" customFormat="1">
      <c r="A2" s="3183" t="s">
        <v>3120</v>
      </c>
      <c r="B2" s="3183" t="s">
        <v>3087</v>
      </c>
      <c r="C2" s="3183" t="s">
        <v>3088</v>
      </c>
      <c r="D2" s="3183" t="s">
        <v>3142</v>
      </c>
      <c r="E2" s="3183" t="s">
        <v>3120</v>
      </c>
      <c r="F2" s="3183" t="s">
        <v>3096</v>
      </c>
      <c r="G2" s="3183">
        <v>1791.43</v>
      </c>
      <c r="H2" s="3183">
        <v>9584.15</v>
      </c>
      <c r="I2" s="3183" t="s">
        <v>3121</v>
      </c>
      <c r="J2" s="3183" t="s">
        <v>3122</v>
      </c>
      <c r="K2" s="3183" t="s">
        <v>3225</v>
      </c>
      <c r="L2" s="3183">
        <v>1487.56</v>
      </c>
      <c r="M2" s="3183">
        <v>1552.1</v>
      </c>
      <c r="N2" s="3183">
        <v>0</v>
      </c>
      <c r="O2" s="3183" t="s">
        <v>3146</v>
      </c>
      <c r="P2" s="3183">
        <f>ROUND(L2/G2*10000,0)</f>
        <v>8304</v>
      </c>
    </row>
    <row r="3" spans="1:16" s="3183" customFormat="1">
      <c r="A3" s="3183" t="s">
        <v>3120</v>
      </c>
      <c r="B3" s="3183" t="s">
        <v>3087</v>
      </c>
      <c r="C3" s="3183" t="s">
        <v>3088</v>
      </c>
      <c r="D3" s="3183" t="s">
        <v>3142</v>
      </c>
      <c r="E3" s="3183" t="s">
        <v>3120</v>
      </c>
      <c r="F3" s="3183" t="s">
        <v>3096</v>
      </c>
      <c r="G3" s="3183">
        <v>254.26</v>
      </c>
      <c r="H3" s="3183">
        <v>1118.74</v>
      </c>
      <c r="I3" s="3183" t="s">
        <v>3171</v>
      </c>
      <c r="J3" s="3183" t="s">
        <v>3172</v>
      </c>
      <c r="K3" s="3183" t="s">
        <v>3173</v>
      </c>
      <c r="L3" s="3183">
        <v>185.81</v>
      </c>
      <c r="M3" s="3183">
        <v>1660.98</v>
      </c>
      <c r="N3" s="3183">
        <v>0</v>
      </c>
      <c r="O3" s="3183" t="s">
        <v>3146</v>
      </c>
      <c r="P3" s="3183">
        <f>ROUND(L3/G3*10000,0)</f>
        <v>7308</v>
      </c>
    </row>
    <row r="4" spans="1:16" s="3183" customFormat="1">
      <c r="A4" s="3183" t="s">
        <v>3120</v>
      </c>
      <c r="B4" s="3183" t="s">
        <v>3087</v>
      </c>
      <c r="C4" s="3183" t="s">
        <v>3088</v>
      </c>
      <c r="D4" s="3183" t="s">
        <v>3142</v>
      </c>
      <c r="E4" s="3183" t="s">
        <v>3120</v>
      </c>
      <c r="F4" s="3183" t="s">
        <v>3096</v>
      </c>
      <c r="G4" s="3183">
        <v>4.0599999999999996</v>
      </c>
      <c r="H4" s="3183">
        <v>17.86</v>
      </c>
      <c r="I4" s="3183" t="s">
        <v>3171</v>
      </c>
      <c r="J4" s="3183" t="s">
        <v>3172</v>
      </c>
      <c r="K4" s="3183" t="s">
        <v>3173</v>
      </c>
      <c r="L4" s="3183">
        <v>4.88</v>
      </c>
      <c r="M4" s="3183">
        <v>2737.96</v>
      </c>
      <c r="N4" s="3183">
        <v>0</v>
      </c>
      <c r="O4" s="3183" t="s">
        <v>3146</v>
      </c>
      <c r="P4" s="3183">
        <f>ROUND(L4/G4*10000,0)</f>
        <v>12020</v>
      </c>
    </row>
    <row r="5" spans="1:16" s="3183" customFormat="1">
      <c r="A5" s="3183" t="s">
        <v>3120</v>
      </c>
      <c r="B5" s="3183" t="s">
        <v>3087</v>
      </c>
      <c r="C5" s="3183" t="s">
        <v>3088</v>
      </c>
      <c r="D5" s="3183" t="s">
        <v>3142</v>
      </c>
      <c r="E5" s="3183" t="s">
        <v>3120</v>
      </c>
      <c r="F5" s="3183" t="s">
        <v>3096</v>
      </c>
      <c r="G5" s="3183">
        <v>5347.01</v>
      </c>
      <c r="H5" s="3183">
        <v>18286.77</v>
      </c>
      <c r="I5" s="3183" t="s">
        <v>3202</v>
      </c>
      <c r="J5" s="3183" t="s">
        <v>3203</v>
      </c>
      <c r="K5" s="3183" t="s">
        <v>3204</v>
      </c>
      <c r="L5" s="3183">
        <v>4114.26</v>
      </c>
      <c r="M5" s="3183">
        <v>2249.86</v>
      </c>
      <c r="N5" s="3183">
        <v>0</v>
      </c>
      <c r="O5" s="3183" t="s">
        <v>3146</v>
      </c>
      <c r="P5" s="3183">
        <f>ROUND(L5/G5*10000,0)</f>
        <v>7695</v>
      </c>
    </row>
    <row r="6" spans="1:16" s="3183" customFormat="1">
      <c r="A6" s="3183" t="s">
        <v>3205</v>
      </c>
      <c r="B6" s="3183" t="s">
        <v>3087</v>
      </c>
      <c r="C6" s="3183" t="s">
        <v>3088</v>
      </c>
      <c r="D6" s="3183" t="s">
        <v>3142</v>
      </c>
      <c r="E6" s="3183" t="s">
        <v>3205</v>
      </c>
      <c r="F6" s="3183" t="s">
        <v>3096</v>
      </c>
      <c r="G6" s="3183">
        <v>54432.17</v>
      </c>
      <c r="H6" s="3183">
        <v>239501.5</v>
      </c>
      <c r="I6" s="3183" t="s">
        <v>3206</v>
      </c>
      <c r="J6" s="3183" t="s">
        <v>3207</v>
      </c>
      <c r="K6" s="3183" t="s">
        <v>3173</v>
      </c>
      <c r="L6" s="3183">
        <v>39926.839999999997</v>
      </c>
      <c r="M6" s="3183">
        <v>1667.07</v>
      </c>
      <c r="N6" s="3183">
        <v>0</v>
      </c>
      <c r="O6" s="3183" t="s">
        <v>3146</v>
      </c>
      <c r="P6" s="3183">
        <f>ROUND(L6/G6*10000,0)</f>
        <v>7335</v>
      </c>
    </row>
    <row r="7" spans="1:16" s="3188" customFormat="1" hidden="1">
      <c r="A7" s="3188" t="s">
        <v>3176</v>
      </c>
      <c r="B7" s="3188" t="s">
        <v>3087</v>
      </c>
      <c r="C7" s="3188" t="s">
        <v>3105</v>
      </c>
      <c r="D7" s="3188" t="s">
        <v>3142</v>
      </c>
      <c r="E7" s="3188" t="s">
        <v>3176</v>
      </c>
      <c r="F7" s="3188" t="s">
        <v>3096</v>
      </c>
      <c r="G7" s="3188">
        <v>25182.67</v>
      </c>
      <c r="H7" s="3188">
        <v>135986.4</v>
      </c>
      <c r="I7" s="3188" t="s">
        <v>3181</v>
      </c>
      <c r="J7" s="3188" t="s">
        <v>3178</v>
      </c>
      <c r="K7" s="3188" t="s">
        <v>3249</v>
      </c>
      <c r="L7" s="3188">
        <v>36259.19</v>
      </c>
      <c r="M7" s="3188">
        <v>2666.38</v>
      </c>
      <c r="N7" s="3188">
        <v>0</v>
      </c>
      <c r="O7" s="3188" t="s">
        <v>3151</v>
      </c>
      <c r="P7" s="3188">
        <f t="shared" ref="P7" si="0">ROUND(L7/G7*10000,0)</f>
        <v>14398</v>
      </c>
    </row>
    <row r="8" spans="1:16" s="3182" customFormat="1">
      <c r="A8" s="3182" t="s">
        <v>3120</v>
      </c>
      <c r="B8" s="3182" t="s">
        <v>3087</v>
      </c>
      <c r="C8" s="3182" t="s">
        <v>3088</v>
      </c>
      <c r="D8" s="3182" t="s">
        <v>3142</v>
      </c>
      <c r="E8" s="3182" t="s">
        <v>3120</v>
      </c>
      <c r="F8" s="3182" t="s">
        <v>3096</v>
      </c>
      <c r="G8" s="3182">
        <v>5347.01</v>
      </c>
      <c r="H8" s="3182">
        <v>18286.77</v>
      </c>
      <c r="I8" s="3182" t="s">
        <v>3202</v>
      </c>
      <c r="J8" s="3182" t="s">
        <v>3203</v>
      </c>
      <c r="K8" s="3182" t="s">
        <v>3204</v>
      </c>
      <c r="L8" s="3182">
        <v>4114.26</v>
      </c>
      <c r="M8" s="3182">
        <v>2249.86</v>
      </c>
      <c r="N8" s="3182">
        <v>0</v>
      </c>
      <c r="O8" s="3182" t="s">
        <v>3146</v>
      </c>
      <c r="P8" s="3182">
        <v>7695</v>
      </c>
    </row>
    <row r="9" spans="1:16" s="3188" customFormat="1">
      <c r="A9" s="3188" t="s">
        <v>3176</v>
      </c>
      <c r="B9" s="3188" t="s">
        <v>3087</v>
      </c>
      <c r="C9" s="3188" t="s">
        <v>3105</v>
      </c>
      <c r="D9" s="3188" t="s">
        <v>3142</v>
      </c>
      <c r="E9" s="3188" t="s">
        <v>3176</v>
      </c>
      <c r="F9" s="3188" t="s">
        <v>3096</v>
      </c>
      <c r="G9" s="3188">
        <v>25182.67</v>
      </c>
      <c r="H9" s="3188">
        <v>135986.4</v>
      </c>
      <c r="I9" s="3188" t="s">
        <v>3181</v>
      </c>
      <c r="J9" s="3188" t="s">
        <v>3178</v>
      </c>
      <c r="K9" s="3188" t="s">
        <v>3258</v>
      </c>
      <c r="L9" s="3188">
        <v>36259.19</v>
      </c>
      <c r="M9" s="3188">
        <v>2666.38</v>
      </c>
      <c r="N9" s="3188">
        <v>0</v>
      </c>
      <c r="O9" s="3188" t="s">
        <v>3151</v>
      </c>
      <c r="P9" s="3188">
        <f t="shared" ref="P9" si="1">ROUND(L9/G9*10000,0)</f>
        <v>14398</v>
      </c>
    </row>
    <row r="10" spans="1:16" s="3182" customFormat="1">
      <c r="A10" s="3182" t="s">
        <v>3259</v>
      </c>
      <c r="B10" s="3182" t="s">
        <v>3087</v>
      </c>
      <c r="C10" s="3182" t="s">
        <v>3105</v>
      </c>
      <c r="D10" s="3182" t="s">
        <v>3142</v>
      </c>
      <c r="E10" s="3182" t="s">
        <v>3194</v>
      </c>
      <c r="F10" s="3182" t="s">
        <v>3090</v>
      </c>
      <c r="G10" s="3182">
        <v>21079.69</v>
      </c>
      <c r="H10" s="3182">
        <v>168637.5</v>
      </c>
      <c r="I10" s="3182" t="s">
        <v>3195</v>
      </c>
      <c r="J10" s="3182" t="s">
        <v>3196</v>
      </c>
      <c r="K10" s="3182" t="s">
        <v>3260</v>
      </c>
      <c r="L10" s="3182">
        <v>42181.08</v>
      </c>
      <c r="M10" s="3182">
        <v>2501.2800000000002</v>
      </c>
      <c r="N10" s="3182">
        <v>0</v>
      </c>
      <c r="O10" s="3182" t="s">
        <v>3151</v>
      </c>
      <c r="P10" s="3182">
        <f t="shared" ref="P10" si="2">ROUND(L10/G10*10000,0)</f>
        <v>20010</v>
      </c>
    </row>
  </sheetData>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
  <sheetViews>
    <sheetView topLeftCell="J1" zoomScaleNormal="100" workbookViewId="0">
      <selection activeCell="O11" sqref="O11"/>
    </sheetView>
  </sheetViews>
  <sheetFormatPr defaultRowHeight="13.5"/>
  <cols>
    <col min="1" max="1" width="29.375" style="3183" customWidth="1"/>
    <col min="2" max="2" width="6.25" style="3183" customWidth="1"/>
    <col min="3" max="3" width="13.875" style="3183" customWidth="1"/>
    <col min="4" max="4" width="6.25" style="3183" customWidth="1"/>
    <col min="5" max="5" width="29.375" style="3183" customWidth="1"/>
    <col min="6" max="6" width="7.875" style="3183" customWidth="1"/>
    <col min="7" max="8" width="13.875" style="3183" customWidth="1"/>
    <col min="9" max="9" width="53.375" style="3183" customWidth="1"/>
    <col min="10" max="10" width="9" style="3183" customWidth="1"/>
    <col min="11" max="11" width="45.875" style="3183" customWidth="1"/>
    <col min="12" max="12" width="10.625" style="3183" customWidth="1"/>
    <col min="13" max="13" width="14.375" style="3183" customWidth="1"/>
    <col min="14" max="14" width="6.25" style="3183" customWidth="1"/>
    <col min="15" max="15" width="14.5" style="3183" customWidth="1"/>
    <col min="16" max="16" width="9" style="3183"/>
    <col min="17" max="17" width="12.75" style="3183" bestFit="1" customWidth="1"/>
    <col min="18" max="256" width="9" style="3183"/>
    <col min="257" max="257" width="29.375" style="3183" customWidth="1"/>
    <col min="258" max="258" width="6.25" style="3183" customWidth="1"/>
    <col min="259" max="259" width="13.875" style="3183" customWidth="1"/>
    <col min="260" max="260" width="6.25" style="3183" customWidth="1"/>
    <col min="261" max="261" width="29.375" style="3183" customWidth="1"/>
    <col min="262" max="262" width="7.875" style="3183" customWidth="1"/>
    <col min="263" max="264" width="13.875" style="3183" customWidth="1"/>
    <col min="265" max="265" width="39.5" style="3183" customWidth="1"/>
    <col min="266" max="266" width="9" style="3183" customWidth="1"/>
    <col min="267" max="267" width="45.875" style="3183" customWidth="1"/>
    <col min="268" max="268" width="10.625" style="3183" customWidth="1"/>
    <col min="269" max="269" width="14.375" style="3183" customWidth="1"/>
    <col min="270" max="270" width="6.25" style="3183" customWidth="1"/>
    <col min="271" max="271" width="14.5" style="3183" customWidth="1"/>
    <col min="272" max="512" width="9" style="3183"/>
    <col min="513" max="513" width="29.375" style="3183" customWidth="1"/>
    <col min="514" max="514" width="6.25" style="3183" customWidth="1"/>
    <col min="515" max="515" width="13.875" style="3183" customWidth="1"/>
    <col min="516" max="516" width="6.25" style="3183" customWidth="1"/>
    <col min="517" max="517" width="29.375" style="3183" customWidth="1"/>
    <col min="518" max="518" width="7.875" style="3183" customWidth="1"/>
    <col min="519" max="520" width="13.875" style="3183" customWidth="1"/>
    <col min="521" max="521" width="39.5" style="3183" customWidth="1"/>
    <col min="522" max="522" width="9" style="3183" customWidth="1"/>
    <col min="523" max="523" width="45.875" style="3183" customWidth="1"/>
    <col min="524" max="524" width="10.625" style="3183" customWidth="1"/>
    <col min="525" max="525" width="14.375" style="3183" customWidth="1"/>
    <col min="526" max="526" width="6.25" style="3183" customWidth="1"/>
    <col min="527" max="527" width="14.5" style="3183" customWidth="1"/>
    <col min="528" max="768" width="9" style="3183"/>
    <col min="769" max="769" width="29.375" style="3183" customWidth="1"/>
    <col min="770" max="770" width="6.25" style="3183" customWidth="1"/>
    <col min="771" max="771" width="13.875" style="3183" customWidth="1"/>
    <col min="772" max="772" width="6.25" style="3183" customWidth="1"/>
    <col min="773" max="773" width="29.375" style="3183" customWidth="1"/>
    <col min="774" max="774" width="7.875" style="3183" customWidth="1"/>
    <col min="775" max="776" width="13.875" style="3183" customWidth="1"/>
    <col min="777" max="777" width="39.5" style="3183" customWidth="1"/>
    <col min="778" max="778" width="9" style="3183" customWidth="1"/>
    <col min="779" max="779" width="45.875" style="3183" customWidth="1"/>
    <col min="780" max="780" width="10.625" style="3183" customWidth="1"/>
    <col min="781" max="781" width="14.375" style="3183" customWidth="1"/>
    <col min="782" max="782" width="6.25" style="3183" customWidth="1"/>
    <col min="783" max="783" width="14.5" style="3183" customWidth="1"/>
    <col min="784" max="1024" width="9" style="3183"/>
    <col min="1025" max="1025" width="29.375" style="3183" customWidth="1"/>
    <col min="1026" max="1026" width="6.25" style="3183" customWidth="1"/>
    <col min="1027" max="1027" width="13.875" style="3183" customWidth="1"/>
    <col min="1028" max="1028" width="6.25" style="3183" customWidth="1"/>
    <col min="1029" max="1029" width="29.375" style="3183" customWidth="1"/>
    <col min="1030" max="1030" width="7.875" style="3183" customWidth="1"/>
    <col min="1031" max="1032" width="13.875" style="3183" customWidth="1"/>
    <col min="1033" max="1033" width="39.5" style="3183" customWidth="1"/>
    <col min="1034" max="1034" width="9" style="3183" customWidth="1"/>
    <col min="1035" max="1035" width="45.875" style="3183" customWidth="1"/>
    <col min="1036" max="1036" width="10.625" style="3183" customWidth="1"/>
    <col min="1037" max="1037" width="14.375" style="3183" customWidth="1"/>
    <col min="1038" max="1038" width="6.25" style="3183" customWidth="1"/>
    <col min="1039" max="1039" width="14.5" style="3183" customWidth="1"/>
    <col min="1040" max="1280" width="9" style="3183"/>
    <col min="1281" max="1281" width="29.375" style="3183" customWidth="1"/>
    <col min="1282" max="1282" width="6.25" style="3183" customWidth="1"/>
    <col min="1283" max="1283" width="13.875" style="3183" customWidth="1"/>
    <col min="1284" max="1284" width="6.25" style="3183" customWidth="1"/>
    <col min="1285" max="1285" width="29.375" style="3183" customWidth="1"/>
    <col min="1286" max="1286" width="7.875" style="3183" customWidth="1"/>
    <col min="1287" max="1288" width="13.875" style="3183" customWidth="1"/>
    <col min="1289" max="1289" width="39.5" style="3183" customWidth="1"/>
    <col min="1290" max="1290" width="9" style="3183" customWidth="1"/>
    <col min="1291" max="1291" width="45.875" style="3183" customWidth="1"/>
    <col min="1292" max="1292" width="10.625" style="3183" customWidth="1"/>
    <col min="1293" max="1293" width="14.375" style="3183" customWidth="1"/>
    <col min="1294" max="1294" width="6.25" style="3183" customWidth="1"/>
    <col min="1295" max="1295" width="14.5" style="3183" customWidth="1"/>
    <col min="1296" max="1536" width="9" style="3183"/>
    <col min="1537" max="1537" width="29.375" style="3183" customWidth="1"/>
    <col min="1538" max="1538" width="6.25" style="3183" customWidth="1"/>
    <col min="1539" max="1539" width="13.875" style="3183" customWidth="1"/>
    <col min="1540" max="1540" width="6.25" style="3183" customWidth="1"/>
    <col min="1541" max="1541" width="29.375" style="3183" customWidth="1"/>
    <col min="1542" max="1542" width="7.875" style="3183" customWidth="1"/>
    <col min="1543" max="1544" width="13.875" style="3183" customWidth="1"/>
    <col min="1545" max="1545" width="39.5" style="3183" customWidth="1"/>
    <col min="1546" max="1546" width="9" style="3183" customWidth="1"/>
    <col min="1547" max="1547" width="45.875" style="3183" customWidth="1"/>
    <col min="1548" max="1548" width="10.625" style="3183" customWidth="1"/>
    <col min="1549" max="1549" width="14.375" style="3183" customWidth="1"/>
    <col min="1550" max="1550" width="6.25" style="3183" customWidth="1"/>
    <col min="1551" max="1551" width="14.5" style="3183" customWidth="1"/>
    <col min="1552" max="1792" width="9" style="3183"/>
    <col min="1793" max="1793" width="29.375" style="3183" customWidth="1"/>
    <col min="1794" max="1794" width="6.25" style="3183" customWidth="1"/>
    <col min="1795" max="1795" width="13.875" style="3183" customWidth="1"/>
    <col min="1796" max="1796" width="6.25" style="3183" customWidth="1"/>
    <col min="1797" max="1797" width="29.375" style="3183" customWidth="1"/>
    <col min="1798" max="1798" width="7.875" style="3183" customWidth="1"/>
    <col min="1799" max="1800" width="13.875" style="3183" customWidth="1"/>
    <col min="1801" max="1801" width="39.5" style="3183" customWidth="1"/>
    <col min="1802" max="1802" width="9" style="3183" customWidth="1"/>
    <col min="1803" max="1803" width="45.875" style="3183" customWidth="1"/>
    <col min="1804" max="1804" width="10.625" style="3183" customWidth="1"/>
    <col min="1805" max="1805" width="14.375" style="3183" customWidth="1"/>
    <col min="1806" max="1806" width="6.25" style="3183" customWidth="1"/>
    <col min="1807" max="1807" width="14.5" style="3183" customWidth="1"/>
    <col min="1808" max="2048" width="9" style="3183"/>
    <col min="2049" max="2049" width="29.375" style="3183" customWidth="1"/>
    <col min="2050" max="2050" width="6.25" style="3183" customWidth="1"/>
    <col min="2051" max="2051" width="13.875" style="3183" customWidth="1"/>
    <col min="2052" max="2052" width="6.25" style="3183" customWidth="1"/>
    <col min="2053" max="2053" width="29.375" style="3183" customWidth="1"/>
    <col min="2054" max="2054" width="7.875" style="3183" customWidth="1"/>
    <col min="2055" max="2056" width="13.875" style="3183" customWidth="1"/>
    <col min="2057" max="2057" width="39.5" style="3183" customWidth="1"/>
    <col min="2058" max="2058" width="9" style="3183" customWidth="1"/>
    <col min="2059" max="2059" width="45.875" style="3183" customWidth="1"/>
    <col min="2060" max="2060" width="10.625" style="3183" customWidth="1"/>
    <col min="2061" max="2061" width="14.375" style="3183" customWidth="1"/>
    <col min="2062" max="2062" width="6.25" style="3183" customWidth="1"/>
    <col min="2063" max="2063" width="14.5" style="3183" customWidth="1"/>
    <col min="2064" max="2304" width="9" style="3183"/>
    <col min="2305" max="2305" width="29.375" style="3183" customWidth="1"/>
    <col min="2306" max="2306" width="6.25" style="3183" customWidth="1"/>
    <col min="2307" max="2307" width="13.875" style="3183" customWidth="1"/>
    <col min="2308" max="2308" width="6.25" style="3183" customWidth="1"/>
    <col min="2309" max="2309" width="29.375" style="3183" customWidth="1"/>
    <col min="2310" max="2310" width="7.875" style="3183" customWidth="1"/>
    <col min="2311" max="2312" width="13.875" style="3183" customWidth="1"/>
    <col min="2313" max="2313" width="39.5" style="3183" customWidth="1"/>
    <col min="2314" max="2314" width="9" style="3183" customWidth="1"/>
    <col min="2315" max="2315" width="45.875" style="3183" customWidth="1"/>
    <col min="2316" max="2316" width="10.625" style="3183" customWidth="1"/>
    <col min="2317" max="2317" width="14.375" style="3183" customWidth="1"/>
    <col min="2318" max="2318" width="6.25" style="3183" customWidth="1"/>
    <col min="2319" max="2319" width="14.5" style="3183" customWidth="1"/>
    <col min="2320" max="2560" width="9" style="3183"/>
    <col min="2561" max="2561" width="29.375" style="3183" customWidth="1"/>
    <col min="2562" max="2562" width="6.25" style="3183" customWidth="1"/>
    <col min="2563" max="2563" width="13.875" style="3183" customWidth="1"/>
    <col min="2564" max="2564" width="6.25" style="3183" customWidth="1"/>
    <col min="2565" max="2565" width="29.375" style="3183" customWidth="1"/>
    <col min="2566" max="2566" width="7.875" style="3183" customWidth="1"/>
    <col min="2567" max="2568" width="13.875" style="3183" customWidth="1"/>
    <col min="2569" max="2569" width="39.5" style="3183" customWidth="1"/>
    <col min="2570" max="2570" width="9" style="3183" customWidth="1"/>
    <col min="2571" max="2571" width="45.875" style="3183" customWidth="1"/>
    <col min="2572" max="2572" width="10.625" style="3183" customWidth="1"/>
    <col min="2573" max="2573" width="14.375" style="3183" customWidth="1"/>
    <col min="2574" max="2574" width="6.25" style="3183" customWidth="1"/>
    <col min="2575" max="2575" width="14.5" style="3183" customWidth="1"/>
    <col min="2576" max="2816" width="9" style="3183"/>
    <col min="2817" max="2817" width="29.375" style="3183" customWidth="1"/>
    <col min="2818" max="2818" width="6.25" style="3183" customWidth="1"/>
    <col min="2819" max="2819" width="13.875" style="3183" customWidth="1"/>
    <col min="2820" max="2820" width="6.25" style="3183" customWidth="1"/>
    <col min="2821" max="2821" width="29.375" style="3183" customWidth="1"/>
    <col min="2822" max="2822" width="7.875" style="3183" customWidth="1"/>
    <col min="2823" max="2824" width="13.875" style="3183" customWidth="1"/>
    <col min="2825" max="2825" width="39.5" style="3183" customWidth="1"/>
    <col min="2826" max="2826" width="9" style="3183" customWidth="1"/>
    <col min="2827" max="2827" width="45.875" style="3183" customWidth="1"/>
    <col min="2828" max="2828" width="10.625" style="3183" customWidth="1"/>
    <col min="2829" max="2829" width="14.375" style="3183" customWidth="1"/>
    <col min="2830" max="2830" width="6.25" style="3183" customWidth="1"/>
    <col min="2831" max="2831" width="14.5" style="3183" customWidth="1"/>
    <col min="2832" max="3072" width="9" style="3183"/>
    <col min="3073" max="3073" width="29.375" style="3183" customWidth="1"/>
    <col min="3074" max="3074" width="6.25" style="3183" customWidth="1"/>
    <col min="3075" max="3075" width="13.875" style="3183" customWidth="1"/>
    <col min="3076" max="3076" width="6.25" style="3183" customWidth="1"/>
    <col min="3077" max="3077" width="29.375" style="3183" customWidth="1"/>
    <col min="3078" max="3078" width="7.875" style="3183" customWidth="1"/>
    <col min="3079" max="3080" width="13.875" style="3183" customWidth="1"/>
    <col min="3081" max="3081" width="39.5" style="3183" customWidth="1"/>
    <col min="3082" max="3082" width="9" style="3183" customWidth="1"/>
    <col min="3083" max="3083" width="45.875" style="3183" customWidth="1"/>
    <col min="3084" max="3084" width="10.625" style="3183" customWidth="1"/>
    <col min="3085" max="3085" width="14.375" style="3183" customWidth="1"/>
    <col min="3086" max="3086" width="6.25" style="3183" customWidth="1"/>
    <col min="3087" max="3087" width="14.5" style="3183" customWidth="1"/>
    <col min="3088" max="3328" width="9" style="3183"/>
    <col min="3329" max="3329" width="29.375" style="3183" customWidth="1"/>
    <col min="3330" max="3330" width="6.25" style="3183" customWidth="1"/>
    <col min="3331" max="3331" width="13.875" style="3183" customWidth="1"/>
    <col min="3332" max="3332" width="6.25" style="3183" customWidth="1"/>
    <col min="3333" max="3333" width="29.375" style="3183" customWidth="1"/>
    <col min="3334" max="3334" width="7.875" style="3183" customWidth="1"/>
    <col min="3335" max="3336" width="13.875" style="3183" customWidth="1"/>
    <col min="3337" max="3337" width="39.5" style="3183" customWidth="1"/>
    <col min="3338" max="3338" width="9" style="3183" customWidth="1"/>
    <col min="3339" max="3339" width="45.875" style="3183" customWidth="1"/>
    <col min="3340" max="3340" width="10.625" style="3183" customWidth="1"/>
    <col min="3341" max="3341" width="14.375" style="3183" customWidth="1"/>
    <col min="3342" max="3342" width="6.25" style="3183" customWidth="1"/>
    <col min="3343" max="3343" width="14.5" style="3183" customWidth="1"/>
    <col min="3344" max="3584" width="9" style="3183"/>
    <col min="3585" max="3585" width="29.375" style="3183" customWidth="1"/>
    <col min="3586" max="3586" width="6.25" style="3183" customWidth="1"/>
    <col min="3587" max="3587" width="13.875" style="3183" customWidth="1"/>
    <col min="3588" max="3588" width="6.25" style="3183" customWidth="1"/>
    <col min="3589" max="3589" width="29.375" style="3183" customWidth="1"/>
    <col min="3590" max="3590" width="7.875" style="3183" customWidth="1"/>
    <col min="3591" max="3592" width="13.875" style="3183" customWidth="1"/>
    <col min="3593" max="3593" width="39.5" style="3183" customWidth="1"/>
    <col min="3594" max="3594" width="9" style="3183" customWidth="1"/>
    <col min="3595" max="3595" width="45.875" style="3183" customWidth="1"/>
    <col min="3596" max="3596" width="10.625" style="3183" customWidth="1"/>
    <col min="3597" max="3597" width="14.375" style="3183" customWidth="1"/>
    <col min="3598" max="3598" width="6.25" style="3183" customWidth="1"/>
    <col min="3599" max="3599" width="14.5" style="3183" customWidth="1"/>
    <col min="3600" max="3840" width="9" style="3183"/>
    <col min="3841" max="3841" width="29.375" style="3183" customWidth="1"/>
    <col min="3842" max="3842" width="6.25" style="3183" customWidth="1"/>
    <col min="3843" max="3843" width="13.875" style="3183" customWidth="1"/>
    <col min="3844" max="3844" width="6.25" style="3183" customWidth="1"/>
    <col min="3845" max="3845" width="29.375" style="3183" customWidth="1"/>
    <col min="3846" max="3846" width="7.875" style="3183" customWidth="1"/>
    <col min="3847" max="3848" width="13.875" style="3183" customWidth="1"/>
    <col min="3849" max="3849" width="39.5" style="3183" customWidth="1"/>
    <col min="3850" max="3850" width="9" style="3183" customWidth="1"/>
    <col min="3851" max="3851" width="45.875" style="3183" customWidth="1"/>
    <col min="3852" max="3852" width="10.625" style="3183" customWidth="1"/>
    <col min="3853" max="3853" width="14.375" style="3183" customWidth="1"/>
    <col min="3854" max="3854" width="6.25" style="3183" customWidth="1"/>
    <col min="3855" max="3855" width="14.5" style="3183" customWidth="1"/>
    <col min="3856" max="4096" width="9" style="3183"/>
    <col min="4097" max="4097" width="29.375" style="3183" customWidth="1"/>
    <col min="4098" max="4098" width="6.25" style="3183" customWidth="1"/>
    <col min="4099" max="4099" width="13.875" style="3183" customWidth="1"/>
    <col min="4100" max="4100" width="6.25" style="3183" customWidth="1"/>
    <col min="4101" max="4101" width="29.375" style="3183" customWidth="1"/>
    <col min="4102" max="4102" width="7.875" style="3183" customWidth="1"/>
    <col min="4103" max="4104" width="13.875" style="3183" customWidth="1"/>
    <col min="4105" max="4105" width="39.5" style="3183" customWidth="1"/>
    <col min="4106" max="4106" width="9" style="3183" customWidth="1"/>
    <col min="4107" max="4107" width="45.875" style="3183" customWidth="1"/>
    <col min="4108" max="4108" width="10.625" style="3183" customWidth="1"/>
    <col min="4109" max="4109" width="14.375" style="3183" customWidth="1"/>
    <col min="4110" max="4110" width="6.25" style="3183" customWidth="1"/>
    <col min="4111" max="4111" width="14.5" style="3183" customWidth="1"/>
    <col min="4112" max="4352" width="9" style="3183"/>
    <col min="4353" max="4353" width="29.375" style="3183" customWidth="1"/>
    <col min="4354" max="4354" width="6.25" style="3183" customWidth="1"/>
    <col min="4355" max="4355" width="13.875" style="3183" customWidth="1"/>
    <col min="4356" max="4356" width="6.25" style="3183" customWidth="1"/>
    <col min="4357" max="4357" width="29.375" style="3183" customWidth="1"/>
    <col min="4358" max="4358" width="7.875" style="3183" customWidth="1"/>
    <col min="4359" max="4360" width="13.875" style="3183" customWidth="1"/>
    <col min="4361" max="4361" width="39.5" style="3183" customWidth="1"/>
    <col min="4362" max="4362" width="9" style="3183" customWidth="1"/>
    <col min="4363" max="4363" width="45.875" style="3183" customWidth="1"/>
    <col min="4364" max="4364" width="10.625" style="3183" customWidth="1"/>
    <col min="4365" max="4365" width="14.375" style="3183" customWidth="1"/>
    <col min="4366" max="4366" width="6.25" style="3183" customWidth="1"/>
    <col min="4367" max="4367" width="14.5" style="3183" customWidth="1"/>
    <col min="4368" max="4608" width="9" style="3183"/>
    <col min="4609" max="4609" width="29.375" style="3183" customWidth="1"/>
    <col min="4610" max="4610" width="6.25" style="3183" customWidth="1"/>
    <col min="4611" max="4611" width="13.875" style="3183" customWidth="1"/>
    <col min="4612" max="4612" width="6.25" style="3183" customWidth="1"/>
    <col min="4613" max="4613" width="29.375" style="3183" customWidth="1"/>
    <col min="4614" max="4614" width="7.875" style="3183" customWidth="1"/>
    <col min="4615" max="4616" width="13.875" style="3183" customWidth="1"/>
    <col min="4617" max="4617" width="39.5" style="3183" customWidth="1"/>
    <col min="4618" max="4618" width="9" style="3183" customWidth="1"/>
    <col min="4619" max="4619" width="45.875" style="3183" customWidth="1"/>
    <col min="4620" max="4620" width="10.625" style="3183" customWidth="1"/>
    <col min="4621" max="4621" width="14.375" style="3183" customWidth="1"/>
    <col min="4622" max="4622" width="6.25" style="3183" customWidth="1"/>
    <col min="4623" max="4623" width="14.5" style="3183" customWidth="1"/>
    <col min="4624" max="4864" width="9" style="3183"/>
    <col min="4865" max="4865" width="29.375" style="3183" customWidth="1"/>
    <col min="4866" max="4866" width="6.25" style="3183" customWidth="1"/>
    <col min="4867" max="4867" width="13.875" style="3183" customWidth="1"/>
    <col min="4868" max="4868" width="6.25" style="3183" customWidth="1"/>
    <col min="4869" max="4869" width="29.375" style="3183" customWidth="1"/>
    <col min="4870" max="4870" width="7.875" style="3183" customWidth="1"/>
    <col min="4871" max="4872" width="13.875" style="3183" customWidth="1"/>
    <col min="4873" max="4873" width="39.5" style="3183" customWidth="1"/>
    <col min="4874" max="4874" width="9" style="3183" customWidth="1"/>
    <col min="4875" max="4875" width="45.875" style="3183" customWidth="1"/>
    <col min="4876" max="4876" width="10.625" style="3183" customWidth="1"/>
    <col min="4877" max="4877" width="14.375" style="3183" customWidth="1"/>
    <col min="4878" max="4878" width="6.25" style="3183" customWidth="1"/>
    <col min="4879" max="4879" width="14.5" style="3183" customWidth="1"/>
    <col min="4880" max="5120" width="9" style="3183"/>
    <col min="5121" max="5121" width="29.375" style="3183" customWidth="1"/>
    <col min="5122" max="5122" width="6.25" style="3183" customWidth="1"/>
    <col min="5123" max="5123" width="13.875" style="3183" customWidth="1"/>
    <col min="5124" max="5124" width="6.25" style="3183" customWidth="1"/>
    <col min="5125" max="5125" width="29.375" style="3183" customWidth="1"/>
    <col min="5126" max="5126" width="7.875" style="3183" customWidth="1"/>
    <col min="5127" max="5128" width="13.875" style="3183" customWidth="1"/>
    <col min="5129" max="5129" width="39.5" style="3183" customWidth="1"/>
    <col min="5130" max="5130" width="9" style="3183" customWidth="1"/>
    <col min="5131" max="5131" width="45.875" style="3183" customWidth="1"/>
    <col min="5132" max="5132" width="10.625" style="3183" customWidth="1"/>
    <col min="5133" max="5133" width="14.375" style="3183" customWidth="1"/>
    <col min="5134" max="5134" width="6.25" style="3183" customWidth="1"/>
    <col min="5135" max="5135" width="14.5" style="3183" customWidth="1"/>
    <col min="5136" max="5376" width="9" style="3183"/>
    <col min="5377" max="5377" width="29.375" style="3183" customWidth="1"/>
    <col min="5378" max="5378" width="6.25" style="3183" customWidth="1"/>
    <col min="5379" max="5379" width="13.875" style="3183" customWidth="1"/>
    <col min="5380" max="5380" width="6.25" style="3183" customWidth="1"/>
    <col min="5381" max="5381" width="29.375" style="3183" customWidth="1"/>
    <col min="5382" max="5382" width="7.875" style="3183" customWidth="1"/>
    <col min="5383" max="5384" width="13.875" style="3183" customWidth="1"/>
    <col min="5385" max="5385" width="39.5" style="3183" customWidth="1"/>
    <col min="5386" max="5386" width="9" style="3183" customWidth="1"/>
    <col min="5387" max="5387" width="45.875" style="3183" customWidth="1"/>
    <col min="5388" max="5388" width="10.625" style="3183" customWidth="1"/>
    <col min="5389" max="5389" width="14.375" style="3183" customWidth="1"/>
    <col min="5390" max="5390" width="6.25" style="3183" customWidth="1"/>
    <col min="5391" max="5391" width="14.5" style="3183" customWidth="1"/>
    <col min="5392" max="5632" width="9" style="3183"/>
    <col min="5633" max="5633" width="29.375" style="3183" customWidth="1"/>
    <col min="5634" max="5634" width="6.25" style="3183" customWidth="1"/>
    <col min="5635" max="5635" width="13.875" style="3183" customWidth="1"/>
    <col min="5636" max="5636" width="6.25" style="3183" customWidth="1"/>
    <col min="5637" max="5637" width="29.375" style="3183" customWidth="1"/>
    <col min="5638" max="5638" width="7.875" style="3183" customWidth="1"/>
    <col min="5639" max="5640" width="13.875" style="3183" customWidth="1"/>
    <col min="5641" max="5641" width="39.5" style="3183" customWidth="1"/>
    <col min="5642" max="5642" width="9" style="3183" customWidth="1"/>
    <col min="5643" max="5643" width="45.875" style="3183" customWidth="1"/>
    <col min="5644" max="5644" width="10.625" style="3183" customWidth="1"/>
    <col min="5645" max="5645" width="14.375" style="3183" customWidth="1"/>
    <col min="5646" max="5646" width="6.25" style="3183" customWidth="1"/>
    <col min="5647" max="5647" width="14.5" style="3183" customWidth="1"/>
    <col min="5648" max="5888" width="9" style="3183"/>
    <col min="5889" max="5889" width="29.375" style="3183" customWidth="1"/>
    <col min="5890" max="5890" width="6.25" style="3183" customWidth="1"/>
    <col min="5891" max="5891" width="13.875" style="3183" customWidth="1"/>
    <col min="5892" max="5892" width="6.25" style="3183" customWidth="1"/>
    <col min="5893" max="5893" width="29.375" style="3183" customWidth="1"/>
    <col min="5894" max="5894" width="7.875" style="3183" customWidth="1"/>
    <col min="5895" max="5896" width="13.875" style="3183" customWidth="1"/>
    <col min="5897" max="5897" width="39.5" style="3183" customWidth="1"/>
    <col min="5898" max="5898" width="9" style="3183" customWidth="1"/>
    <col min="5899" max="5899" width="45.875" style="3183" customWidth="1"/>
    <col min="5900" max="5900" width="10.625" style="3183" customWidth="1"/>
    <col min="5901" max="5901" width="14.375" style="3183" customWidth="1"/>
    <col min="5902" max="5902" width="6.25" style="3183" customWidth="1"/>
    <col min="5903" max="5903" width="14.5" style="3183" customWidth="1"/>
    <col min="5904" max="6144" width="9" style="3183"/>
    <col min="6145" max="6145" width="29.375" style="3183" customWidth="1"/>
    <col min="6146" max="6146" width="6.25" style="3183" customWidth="1"/>
    <col min="6147" max="6147" width="13.875" style="3183" customWidth="1"/>
    <col min="6148" max="6148" width="6.25" style="3183" customWidth="1"/>
    <col min="6149" max="6149" width="29.375" style="3183" customWidth="1"/>
    <col min="6150" max="6150" width="7.875" style="3183" customWidth="1"/>
    <col min="6151" max="6152" width="13.875" style="3183" customWidth="1"/>
    <col min="6153" max="6153" width="39.5" style="3183" customWidth="1"/>
    <col min="6154" max="6154" width="9" style="3183" customWidth="1"/>
    <col min="6155" max="6155" width="45.875" style="3183" customWidth="1"/>
    <col min="6156" max="6156" width="10.625" style="3183" customWidth="1"/>
    <col min="6157" max="6157" width="14.375" style="3183" customWidth="1"/>
    <col min="6158" max="6158" width="6.25" style="3183" customWidth="1"/>
    <col min="6159" max="6159" width="14.5" style="3183" customWidth="1"/>
    <col min="6160" max="6400" width="9" style="3183"/>
    <col min="6401" max="6401" width="29.375" style="3183" customWidth="1"/>
    <col min="6402" max="6402" width="6.25" style="3183" customWidth="1"/>
    <col min="6403" max="6403" width="13.875" style="3183" customWidth="1"/>
    <col min="6404" max="6404" width="6.25" style="3183" customWidth="1"/>
    <col min="6405" max="6405" width="29.375" style="3183" customWidth="1"/>
    <col min="6406" max="6406" width="7.875" style="3183" customWidth="1"/>
    <col min="6407" max="6408" width="13.875" style="3183" customWidth="1"/>
    <col min="6409" max="6409" width="39.5" style="3183" customWidth="1"/>
    <col min="6410" max="6410" width="9" style="3183" customWidth="1"/>
    <col min="6411" max="6411" width="45.875" style="3183" customWidth="1"/>
    <col min="6412" max="6412" width="10.625" style="3183" customWidth="1"/>
    <col min="6413" max="6413" width="14.375" style="3183" customWidth="1"/>
    <col min="6414" max="6414" width="6.25" style="3183" customWidth="1"/>
    <col min="6415" max="6415" width="14.5" style="3183" customWidth="1"/>
    <col min="6416" max="6656" width="9" style="3183"/>
    <col min="6657" max="6657" width="29.375" style="3183" customWidth="1"/>
    <col min="6658" max="6658" width="6.25" style="3183" customWidth="1"/>
    <col min="6659" max="6659" width="13.875" style="3183" customWidth="1"/>
    <col min="6660" max="6660" width="6.25" style="3183" customWidth="1"/>
    <col min="6661" max="6661" width="29.375" style="3183" customWidth="1"/>
    <col min="6662" max="6662" width="7.875" style="3183" customWidth="1"/>
    <col min="6663" max="6664" width="13.875" style="3183" customWidth="1"/>
    <col min="6665" max="6665" width="39.5" style="3183" customWidth="1"/>
    <col min="6666" max="6666" width="9" style="3183" customWidth="1"/>
    <col min="6667" max="6667" width="45.875" style="3183" customWidth="1"/>
    <col min="6668" max="6668" width="10.625" style="3183" customWidth="1"/>
    <col min="6669" max="6669" width="14.375" style="3183" customWidth="1"/>
    <col min="6670" max="6670" width="6.25" style="3183" customWidth="1"/>
    <col min="6671" max="6671" width="14.5" style="3183" customWidth="1"/>
    <col min="6672" max="6912" width="9" style="3183"/>
    <col min="6913" max="6913" width="29.375" style="3183" customWidth="1"/>
    <col min="6914" max="6914" width="6.25" style="3183" customWidth="1"/>
    <col min="6915" max="6915" width="13.875" style="3183" customWidth="1"/>
    <col min="6916" max="6916" width="6.25" style="3183" customWidth="1"/>
    <col min="6917" max="6917" width="29.375" style="3183" customWidth="1"/>
    <col min="6918" max="6918" width="7.875" style="3183" customWidth="1"/>
    <col min="6919" max="6920" width="13.875" style="3183" customWidth="1"/>
    <col min="6921" max="6921" width="39.5" style="3183" customWidth="1"/>
    <col min="6922" max="6922" width="9" style="3183" customWidth="1"/>
    <col min="6923" max="6923" width="45.875" style="3183" customWidth="1"/>
    <col min="6924" max="6924" width="10.625" style="3183" customWidth="1"/>
    <col min="6925" max="6925" width="14.375" style="3183" customWidth="1"/>
    <col min="6926" max="6926" width="6.25" style="3183" customWidth="1"/>
    <col min="6927" max="6927" width="14.5" style="3183" customWidth="1"/>
    <col min="6928" max="7168" width="9" style="3183"/>
    <col min="7169" max="7169" width="29.375" style="3183" customWidth="1"/>
    <col min="7170" max="7170" width="6.25" style="3183" customWidth="1"/>
    <col min="7171" max="7171" width="13.875" style="3183" customWidth="1"/>
    <col min="7172" max="7172" width="6.25" style="3183" customWidth="1"/>
    <col min="7173" max="7173" width="29.375" style="3183" customWidth="1"/>
    <col min="7174" max="7174" width="7.875" style="3183" customWidth="1"/>
    <col min="7175" max="7176" width="13.875" style="3183" customWidth="1"/>
    <col min="7177" max="7177" width="39.5" style="3183" customWidth="1"/>
    <col min="7178" max="7178" width="9" style="3183" customWidth="1"/>
    <col min="7179" max="7179" width="45.875" style="3183" customWidth="1"/>
    <col min="7180" max="7180" width="10.625" style="3183" customWidth="1"/>
    <col min="7181" max="7181" width="14.375" style="3183" customWidth="1"/>
    <col min="7182" max="7182" width="6.25" style="3183" customWidth="1"/>
    <col min="7183" max="7183" width="14.5" style="3183" customWidth="1"/>
    <col min="7184" max="7424" width="9" style="3183"/>
    <col min="7425" max="7425" width="29.375" style="3183" customWidth="1"/>
    <col min="7426" max="7426" width="6.25" style="3183" customWidth="1"/>
    <col min="7427" max="7427" width="13.875" style="3183" customWidth="1"/>
    <col min="7428" max="7428" width="6.25" style="3183" customWidth="1"/>
    <col min="7429" max="7429" width="29.375" style="3183" customWidth="1"/>
    <col min="7430" max="7430" width="7.875" style="3183" customWidth="1"/>
    <col min="7431" max="7432" width="13.875" style="3183" customWidth="1"/>
    <col min="7433" max="7433" width="39.5" style="3183" customWidth="1"/>
    <col min="7434" max="7434" width="9" style="3183" customWidth="1"/>
    <col min="7435" max="7435" width="45.875" style="3183" customWidth="1"/>
    <col min="7436" max="7436" width="10.625" style="3183" customWidth="1"/>
    <col min="7437" max="7437" width="14.375" style="3183" customWidth="1"/>
    <col min="7438" max="7438" width="6.25" style="3183" customWidth="1"/>
    <col min="7439" max="7439" width="14.5" style="3183" customWidth="1"/>
    <col min="7440" max="7680" width="9" style="3183"/>
    <col min="7681" max="7681" width="29.375" style="3183" customWidth="1"/>
    <col min="7682" max="7682" width="6.25" style="3183" customWidth="1"/>
    <col min="7683" max="7683" width="13.875" style="3183" customWidth="1"/>
    <col min="7684" max="7684" width="6.25" style="3183" customWidth="1"/>
    <col min="7685" max="7685" width="29.375" style="3183" customWidth="1"/>
    <col min="7686" max="7686" width="7.875" style="3183" customWidth="1"/>
    <col min="7687" max="7688" width="13.875" style="3183" customWidth="1"/>
    <col min="7689" max="7689" width="39.5" style="3183" customWidth="1"/>
    <col min="7690" max="7690" width="9" style="3183" customWidth="1"/>
    <col min="7691" max="7691" width="45.875" style="3183" customWidth="1"/>
    <col min="7692" max="7692" width="10.625" style="3183" customWidth="1"/>
    <col min="7693" max="7693" width="14.375" style="3183" customWidth="1"/>
    <col min="7694" max="7694" width="6.25" style="3183" customWidth="1"/>
    <col min="7695" max="7695" width="14.5" style="3183" customWidth="1"/>
    <col min="7696" max="7936" width="9" style="3183"/>
    <col min="7937" max="7937" width="29.375" style="3183" customWidth="1"/>
    <col min="7938" max="7938" width="6.25" style="3183" customWidth="1"/>
    <col min="7939" max="7939" width="13.875" style="3183" customWidth="1"/>
    <col min="7940" max="7940" width="6.25" style="3183" customWidth="1"/>
    <col min="7941" max="7941" width="29.375" style="3183" customWidth="1"/>
    <col min="7942" max="7942" width="7.875" style="3183" customWidth="1"/>
    <col min="7943" max="7944" width="13.875" style="3183" customWidth="1"/>
    <col min="7945" max="7945" width="39.5" style="3183" customWidth="1"/>
    <col min="7946" max="7946" width="9" style="3183" customWidth="1"/>
    <col min="7947" max="7947" width="45.875" style="3183" customWidth="1"/>
    <col min="7948" max="7948" width="10.625" style="3183" customWidth="1"/>
    <col min="7949" max="7949" width="14.375" style="3183" customWidth="1"/>
    <col min="7950" max="7950" width="6.25" style="3183" customWidth="1"/>
    <col min="7951" max="7951" width="14.5" style="3183" customWidth="1"/>
    <col min="7952" max="8192" width="9" style="3183"/>
    <col min="8193" max="8193" width="29.375" style="3183" customWidth="1"/>
    <col min="8194" max="8194" width="6.25" style="3183" customWidth="1"/>
    <col min="8195" max="8195" width="13.875" style="3183" customWidth="1"/>
    <col min="8196" max="8196" width="6.25" style="3183" customWidth="1"/>
    <col min="8197" max="8197" width="29.375" style="3183" customWidth="1"/>
    <col min="8198" max="8198" width="7.875" style="3183" customWidth="1"/>
    <col min="8199" max="8200" width="13.875" style="3183" customWidth="1"/>
    <col min="8201" max="8201" width="39.5" style="3183" customWidth="1"/>
    <col min="8202" max="8202" width="9" style="3183" customWidth="1"/>
    <col min="8203" max="8203" width="45.875" style="3183" customWidth="1"/>
    <col min="8204" max="8204" width="10.625" style="3183" customWidth="1"/>
    <col min="8205" max="8205" width="14.375" style="3183" customWidth="1"/>
    <col min="8206" max="8206" width="6.25" style="3183" customWidth="1"/>
    <col min="8207" max="8207" width="14.5" style="3183" customWidth="1"/>
    <col min="8208" max="8448" width="9" style="3183"/>
    <col min="8449" max="8449" width="29.375" style="3183" customWidth="1"/>
    <col min="8450" max="8450" width="6.25" style="3183" customWidth="1"/>
    <col min="8451" max="8451" width="13.875" style="3183" customWidth="1"/>
    <col min="8452" max="8452" width="6.25" style="3183" customWidth="1"/>
    <col min="8453" max="8453" width="29.375" style="3183" customWidth="1"/>
    <col min="8454" max="8454" width="7.875" style="3183" customWidth="1"/>
    <col min="8455" max="8456" width="13.875" style="3183" customWidth="1"/>
    <col min="8457" max="8457" width="39.5" style="3183" customWidth="1"/>
    <col min="8458" max="8458" width="9" style="3183" customWidth="1"/>
    <col min="8459" max="8459" width="45.875" style="3183" customWidth="1"/>
    <col min="8460" max="8460" width="10.625" style="3183" customWidth="1"/>
    <col min="8461" max="8461" width="14.375" style="3183" customWidth="1"/>
    <col min="8462" max="8462" width="6.25" style="3183" customWidth="1"/>
    <col min="8463" max="8463" width="14.5" style="3183" customWidth="1"/>
    <col min="8464" max="8704" width="9" style="3183"/>
    <col min="8705" max="8705" width="29.375" style="3183" customWidth="1"/>
    <col min="8706" max="8706" width="6.25" style="3183" customWidth="1"/>
    <col min="8707" max="8707" width="13.875" style="3183" customWidth="1"/>
    <col min="8708" max="8708" width="6.25" style="3183" customWidth="1"/>
    <col min="8709" max="8709" width="29.375" style="3183" customWidth="1"/>
    <col min="8710" max="8710" width="7.875" style="3183" customWidth="1"/>
    <col min="8711" max="8712" width="13.875" style="3183" customWidth="1"/>
    <col min="8713" max="8713" width="39.5" style="3183" customWidth="1"/>
    <col min="8714" max="8714" width="9" style="3183" customWidth="1"/>
    <col min="8715" max="8715" width="45.875" style="3183" customWidth="1"/>
    <col min="8716" max="8716" width="10.625" style="3183" customWidth="1"/>
    <col min="8717" max="8717" width="14.375" style="3183" customWidth="1"/>
    <col min="8718" max="8718" width="6.25" style="3183" customWidth="1"/>
    <col min="8719" max="8719" width="14.5" style="3183" customWidth="1"/>
    <col min="8720" max="8960" width="9" style="3183"/>
    <col min="8961" max="8961" width="29.375" style="3183" customWidth="1"/>
    <col min="8962" max="8962" width="6.25" style="3183" customWidth="1"/>
    <col min="8963" max="8963" width="13.875" style="3183" customWidth="1"/>
    <col min="8964" max="8964" width="6.25" style="3183" customWidth="1"/>
    <col min="8965" max="8965" width="29.375" style="3183" customWidth="1"/>
    <col min="8966" max="8966" width="7.875" style="3183" customWidth="1"/>
    <col min="8967" max="8968" width="13.875" style="3183" customWidth="1"/>
    <col min="8969" max="8969" width="39.5" style="3183" customWidth="1"/>
    <col min="8970" max="8970" width="9" style="3183" customWidth="1"/>
    <col min="8971" max="8971" width="45.875" style="3183" customWidth="1"/>
    <col min="8972" max="8972" width="10.625" style="3183" customWidth="1"/>
    <col min="8973" max="8973" width="14.375" style="3183" customWidth="1"/>
    <col min="8974" max="8974" width="6.25" style="3183" customWidth="1"/>
    <col min="8975" max="8975" width="14.5" style="3183" customWidth="1"/>
    <col min="8976" max="9216" width="9" style="3183"/>
    <col min="9217" max="9217" width="29.375" style="3183" customWidth="1"/>
    <col min="9218" max="9218" width="6.25" style="3183" customWidth="1"/>
    <col min="9219" max="9219" width="13.875" style="3183" customWidth="1"/>
    <col min="9220" max="9220" width="6.25" style="3183" customWidth="1"/>
    <col min="9221" max="9221" width="29.375" style="3183" customWidth="1"/>
    <col min="9222" max="9222" width="7.875" style="3183" customWidth="1"/>
    <col min="9223" max="9224" width="13.875" style="3183" customWidth="1"/>
    <col min="9225" max="9225" width="39.5" style="3183" customWidth="1"/>
    <col min="9226" max="9226" width="9" style="3183" customWidth="1"/>
    <col min="9227" max="9227" width="45.875" style="3183" customWidth="1"/>
    <col min="9228" max="9228" width="10.625" style="3183" customWidth="1"/>
    <col min="9229" max="9229" width="14.375" style="3183" customWidth="1"/>
    <col min="9230" max="9230" width="6.25" style="3183" customWidth="1"/>
    <col min="9231" max="9231" width="14.5" style="3183" customWidth="1"/>
    <col min="9232" max="9472" width="9" style="3183"/>
    <col min="9473" max="9473" width="29.375" style="3183" customWidth="1"/>
    <col min="9474" max="9474" width="6.25" style="3183" customWidth="1"/>
    <col min="9475" max="9475" width="13.875" style="3183" customWidth="1"/>
    <col min="9476" max="9476" width="6.25" style="3183" customWidth="1"/>
    <col min="9477" max="9477" width="29.375" style="3183" customWidth="1"/>
    <col min="9478" max="9478" width="7.875" style="3183" customWidth="1"/>
    <col min="9479" max="9480" width="13.875" style="3183" customWidth="1"/>
    <col min="9481" max="9481" width="39.5" style="3183" customWidth="1"/>
    <col min="9482" max="9482" width="9" style="3183" customWidth="1"/>
    <col min="9483" max="9483" width="45.875" style="3183" customWidth="1"/>
    <col min="9484" max="9484" width="10.625" style="3183" customWidth="1"/>
    <col min="9485" max="9485" width="14.375" style="3183" customWidth="1"/>
    <col min="9486" max="9486" width="6.25" style="3183" customWidth="1"/>
    <col min="9487" max="9487" width="14.5" style="3183" customWidth="1"/>
    <col min="9488" max="9728" width="9" style="3183"/>
    <col min="9729" max="9729" width="29.375" style="3183" customWidth="1"/>
    <col min="9730" max="9730" width="6.25" style="3183" customWidth="1"/>
    <col min="9731" max="9731" width="13.875" style="3183" customWidth="1"/>
    <col min="9732" max="9732" width="6.25" style="3183" customWidth="1"/>
    <col min="9733" max="9733" width="29.375" style="3183" customWidth="1"/>
    <col min="9734" max="9734" width="7.875" style="3183" customWidth="1"/>
    <col min="9735" max="9736" width="13.875" style="3183" customWidth="1"/>
    <col min="9737" max="9737" width="39.5" style="3183" customWidth="1"/>
    <col min="9738" max="9738" width="9" style="3183" customWidth="1"/>
    <col min="9739" max="9739" width="45.875" style="3183" customWidth="1"/>
    <col min="9740" max="9740" width="10.625" style="3183" customWidth="1"/>
    <col min="9741" max="9741" width="14.375" style="3183" customWidth="1"/>
    <col min="9742" max="9742" width="6.25" style="3183" customWidth="1"/>
    <col min="9743" max="9743" width="14.5" style="3183" customWidth="1"/>
    <col min="9744" max="9984" width="9" style="3183"/>
    <col min="9985" max="9985" width="29.375" style="3183" customWidth="1"/>
    <col min="9986" max="9986" width="6.25" style="3183" customWidth="1"/>
    <col min="9987" max="9987" width="13.875" style="3183" customWidth="1"/>
    <col min="9988" max="9988" width="6.25" style="3183" customWidth="1"/>
    <col min="9989" max="9989" width="29.375" style="3183" customWidth="1"/>
    <col min="9990" max="9990" width="7.875" style="3183" customWidth="1"/>
    <col min="9991" max="9992" width="13.875" style="3183" customWidth="1"/>
    <col min="9993" max="9993" width="39.5" style="3183" customWidth="1"/>
    <col min="9994" max="9994" width="9" style="3183" customWidth="1"/>
    <col min="9995" max="9995" width="45.875" style="3183" customWidth="1"/>
    <col min="9996" max="9996" width="10.625" style="3183" customWidth="1"/>
    <col min="9997" max="9997" width="14.375" style="3183" customWidth="1"/>
    <col min="9998" max="9998" width="6.25" style="3183" customWidth="1"/>
    <col min="9999" max="9999" width="14.5" style="3183" customWidth="1"/>
    <col min="10000" max="10240" width="9" style="3183"/>
    <col min="10241" max="10241" width="29.375" style="3183" customWidth="1"/>
    <col min="10242" max="10242" width="6.25" style="3183" customWidth="1"/>
    <col min="10243" max="10243" width="13.875" style="3183" customWidth="1"/>
    <col min="10244" max="10244" width="6.25" style="3183" customWidth="1"/>
    <col min="10245" max="10245" width="29.375" style="3183" customWidth="1"/>
    <col min="10246" max="10246" width="7.875" style="3183" customWidth="1"/>
    <col min="10247" max="10248" width="13.875" style="3183" customWidth="1"/>
    <col min="10249" max="10249" width="39.5" style="3183" customWidth="1"/>
    <col min="10250" max="10250" width="9" style="3183" customWidth="1"/>
    <col min="10251" max="10251" width="45.875" style="3183" customWidth="1"/>
    <col min="10252" max="10252" width="10.625" style="3183" customWidth="1"/>
    <col min="10253" max="10253" width="14.375" style="3183" customWidth="1"/>
    <col min="10254" max="10254" width="6.25" style="3183" customWidth="1"/>
    <col min="10255" max="10255" width="14.5" style="3183" customWidth="1"/>
    <col min="10256" max="10496" width="9" style="3183"/>
    <col min="10497" max="10497" width="29.375" style="3183" customWidth="1"/>
    <col min="10498" max="10498" width="6.25" style="3183" customWidth="1"/>
    <col min="10499" max="10499" width="13.875" style="3183" customWidth="1"/>
    <col min="10500" max="10500" width="6.25" style="3183" customWidth="1"/>
    <col min="10501" max="10501" width="29.375" style="3183" customWidth="1"/>
    <col min="10502" max="10502" width="7.875" style="3183" customWidth="1"/>
    <col min="10503" max="10504" width="13.875" style="3183" customWidth="1"/>
    <col min="10505" max="10505" width="39.5" style="3183" customWidth="1"/>
    <col min="10506" max="10506" width="9" style="3183" customWidth="1"/>
    <col min="10507" max="10507" width="45.875" style="3183" customWidth="1"/>
    <col min="10508" max="10508" width="10.625" style="3183" customWidth="1"/>
    <col min="10509" max="10509" width="14.375" style="3183" customWidth="1"/>
    <col min="10510" max="10510" width="6.25" style="3183" customWidth="1"/>
    <col min="10511" max="10511" width="14.5" style="3183" customWidth="1"/>
    <col min="10512" max="10752" width="9" style="3183"/>
    <col min="10753" max="10753" width="29.375" style="3183" customWidth="1"/>
    <col min="10754" max="10754" width="6.25" style="3183" customWidth="1"/>
    <col min="10755" max="10755" width="13.875" style="3183" customWidth="1"/>
    <col min="10756" max="10756" width="6.25" style="3183" customWidth="1"/>
    <col min="10757" max="10757" width="29.375" style="3183" customWidth="1"/>
    <col min="10758" max="10758" width="7.875" style="3183" customWidth="1"/>
    <col min="10759" max="10760" width="13.875" style="3183" customWidth="1"/>
    <col min="10761" max="10761" width="39.5" style="3183" customWidth="1"/>
    <col min="10762" max="10762" width="9" style="3183" customWidth="1"/>
    <col min="10763" max="10763" width="45.875" style="3183" customWidth="1"/>
    <col min="10764" max="10764" width="10.625" style="3183" customWidth="1"/>
    <col min="10765" max="10765" width="14.375" style="3183" customWidth="1"/>
    <col min="10766" max="10766" width="6.25" style="3183" customWidth="1"/>
    <col min="10767" max="10767" width="14.5" style="3183" customWidth="1"/>
    <col min="10768" max="11008" width="9" style="3183"/>
    <col min="11009" max="11009" width="29.375" style="3183" customWidth="1"/>
    <col min="11010" max="11010" width="6.25" style="3183" customWidth="1"/>
    <col min="11011" max="11011" width="13.875" style="3183" customWidth="1"/>
    <col min="11012" max="11012" width="6.25" style="3183" customWidth="1"/>
    <col min="11013" max="11013" width="29.375" style="3183" customWidth="1"/>
    <col min="11014" max="11014" width="7.875" style="3183" customWidth="1"/>
    <col min="11015" max="11016" width="13.875" style="3183" customWidth="1"/>
    <col min="11017" max="11017" width="39.5" style="3183" customWidth="1"/>
    <col min="11018" max="11018" width="9" style="3183" customWidth="1"/>
    <col min="11019" max="11019" width="45.875" style="3183" customWidth="1"/>
    <col min="11020" max="11020" width="10.625" style="3183" customWidth="1"/>
    <col min="11021" max="11021" width="14.375" style="3183" customWidth="1"/>
    <col min="11022" max="11022" width="6.25" style="3183" customWidth="1"/>
    <col min="11023" max="11023" width="14.5" style="3183" customWidth="1"/>
    <col min="11024" max="11264" width="9" style="3183"/>
    <col min="11265" max="11265" width="29.375" style="3183" customWidth="1"/>
    <col min="11266" max="11266" width="6.25" style="3183" customWidth="1"/>
    <col min="11267" max="11267" width="13.875" style="3183" customWidth="1"/>
    <col min="11268" max="11268" width="6.25" style="3183" customWidth="1"/>
    <col min="11269" max="11269" width="29.375" style="3183" customWidth="1"/>
    <col min="11270" max="11270" width="7.875" style="3183" customWidth="1"/>
    <col min="11271" max="11272" width="13.875" style="3183" customWidth="1"/>
    <col min="11273" max="11273" width="39.5" style="3183" customWidth="1"/>
    <col min="11274" max="11274" width="9" style="3183" customWidth="1"/>
    <col min="11275" max="11275" width="45.875" style="3183" customWidth="1"/>
    <col min="11276" max="11276" width="10.625" style="3183" customWidth="1"/>
    <col min="11277" max="11277" width="14.375" style="3183" customWidth="1"/>
    <col min="11278" max="11278" width="6.25" style="3183" customWidth="1"/>
    <col min="11279" max="11279" width="14.5" style="3183" customWidth="1"/>
    <col min="11280" max="11520" width="9" style="3183"/>
    <col min="11521" max="11521" width="29.375" style="3183" customWidth="1"/>
    <col min="11522" max="11522" width="6.25" style="3183" customWidth="1"/>
    <col min="11523" max="11523" width="13.875" style="3183" customWidth="1"/>
    <col min="11524" max="11524" width="6.25" style="3183" customWidth="1"/>
    <col min="11525" max="11525" width="29.375" style="3183" customWidth="1"/>
    <col min="11526" max="11526" width="7.875" style="3183" customWidth="1"/>
    <col min="11527" max="11528" width="13.875" style="3183" customWidth="1"/>
    <col min="11529" max="11529" width="39.5" style="3183" customWidth="1"/>
    <col min="11530" max="11530" width="9" style="3183" customWidth="1"/>
    <col min="11531" max="11531" width="45.875" style="3183" customWidth="1"/>
    <col min="11532" max="11532" width="10.625" style="3183" customWidth="1"/>
    <col min="11533" max="11533" width="14.375" style="3183" customWidth="1"/>
    <col min="11534" max="11534" width="6.25" style="3183" customWidth="1"/>
    <col min="11535" max="11535" width="14.5" style="3183" customWidth="1"/>
    <col min="11536" max="11776" width="9" style="3183"/>
    <col min="11777" max="11777" width="29.375" style="3183" customWidth="1"/>
    <col min="11778" max="11778" width="6.25" style="3183" customWidth="1"/>
    <col min="11779" max="11779" width="13.875" style="3183" customWidth="1"/>
    <col min="11780" max="11780" width="6.25" style="3183" customWidth="1"/>
    <col min="11781" max="11781" width="29.375" style="3183" customWidth="1"/>
    <col min="11782" max="11782" width="7.875" style="3183" customWidth="1"/>
    <col min="11783" max="11784" width="13.875" style="3183" customWidth="1"/>
    <col min="11785" max="11785" width="39.5" style="3183" customWidth="1"/>
    <col min="11786" max="11786" width="9" style="3183" customWidth="1"/>
    <col min="11787" max="11787" width="45.875" style="3183" customWidth="1"/>
    <col min="11788" max="11788" width="10.625" style="3183" customWidth="1"/>
    <col min="11789" max="11789" width="14.375" style="3183" customWidth="1"/>
    <col min="11790" max="11790" width="6.25" style="3183" customWidth="1"/>
    <col min="11791" max="11791" width="14.5" style="3183" customWidth="1"/>
    <col min="11792" max="12032" width="9" style="3183"/>
    <col min="12033" max="12033" width="29.375" style="3183" customWidth="1"/>
    <col min="12034" max="12034" width="6.25" style="3183" customWidth="1"/>
    <col min="12035" max="12035" width="13.875" style="3183" customWidth="1"/>
    <col min="12036" max="12036" width="6.25" style="3183" customWidth="1"/>
    <col min="12037" max="12037" width="29.375" style="3183" customWidth="1"/>
    <col min="12038" max="12038" width="7.875" style="3183" customWidth="1"/>
    <col min="12039" max="12040" width="13.875" style="3183" customWidth="1"/>
    <col min="12041" max="12041" width="39.5" style="3183" customWidth="1"/>
    <col min="12042" max="12042" width="9" style="3183" customWidth="1"/>
    <col min="12043" max="12043" width="45.875" style="3183" customWidth="1"/>
    <col min="12044" max="12044" width="10.625" style="3183" customWidth="1"/>
    <col min="12045" max="12045" width="14.375" style="3183" customWidth="1"/>
    <col min="12046" max="12046" width="6.25" style="3183" customWidth="1"/>
    <col min="12047" max="12047" width="14.5" style="3183" customWidth="1"/>
    <col min="12048" max="12288" width="9" style="3183"/>
    <col min="12289" max="12289" width="29.375" style="3183" customWidth="1"/>
    <col min="12290" max="12290" width="6.25" style="3183" customWidth="1"/>
    <col min="12291" max="12291" width="13.875" style="3183" customWidth="1"/>
    <col min="12292" max="12292" width="6.25" style="3183" customWidth="1"/>
    <col min="12293" max="12293" width="29.375" style="3183" customWidth="1"/>
    <col min="12294" max="12294" width="7.875" style="3183" customWidth="1"/>
    <col min="12295" max="12296" width="13.875" style="3183" customWidth="1"/>
    <col min="12297" max="12297" width="39.5" style="3183" customWidth="1"/>
    <col min="12298" max="12298" width="9" style="3183" customWidth="1"/>
    <col min="12299" max="12299" width="45.875" style="3183" customWidth="1"/>
    <col min="12300" max="12300" width="10.625" style="3183" customWidth="1"/>
    <col min="12301" max="12301" width="14.375" style="3183" customWidth="1"/>
    <col min="12302" max="12302" width="6.25" style="3183" customWidth="1"/>
    <col min="12303" max="12303" width="14.5" style="3183" customWidth="1"/>
    <col min="12304" max="12544" width="9" style="3183"/>
    <col min="12545" max="12545" width="29.375" style="3183" customWidth="1"/>
    <col min="12546" max="12546" width="6.25" style="3183" customWidth="1"/>
    <col min="12547" max="12547" width="13.875" style="3183" customWidth="1"/>
    <col min="12548" max="12548" width="6.25" style="3183" customWidth="1"/>
    <col min="12549" max="12549" width="29.375" style="3183" customWidth="1"/>
    <col min="12550" max="12550" width="7.875" style="3183" customWidth="1"/>
    <col min="12551" max="12552" width="13.875" style="3183" customWidth="1"/>
    <col min="12553" max="12553" width="39.5" style="3183" customWidth="1"/>
    <col min="12554" max="12554" width="9" style="3183" customWidth="1"/>
    <col min="12555" max="12555" width="45.875" style="3183" customWidth="1"/>
    <col min="12556" max="12556" width="10.625" style="3183" customWidth="1"/>
    <col min="12557" max="12557" width="14.375" style="3183" customWidth="1"/>
    <col min="12558" max="12558" width="6.25" style="3183" customWidth="1"/>
    <col min="12559" max="12559" width="14.5" style="3183" customWidth="1"/>
    <col min="12560" max="12800" width="9" style="3183"/>
    <col min="12801" max="12801" width="29.375" style="3183" customWidth="1"/>
    <col min="12802" max="12802" width="6.25" style="3183" customWidth="1"/>
    <col min="12803" max="12803" width="13.875" style="3183" customWidth="1"/>
    <col min="12804" max="12804" width="6.25" style="3183" customWidth="1"/>
    <col min="12805" max="12805" width="29.375" style="3183" customWidth="1"/>
    <col min="12806" max="12806" width="7.875" style="3183" customWidth="1"/>
    <col min="12807" max="12808" width="13.875" style="3183" customWidth="1"/>
    <col min="12809" max="12809" width="39.5" style="3183" customWidth="1"/>
    <col min="12810" max="12810" width="9" style="3183" customWidth="1"/>
    <col min="12811" max="12811" width="45.875" style="3183" customWidth="1"/>
    <col min="12812" max="12812" width="10.625" style="3183" customWidth="1"/>
    <col min="12813" max="12813" width="14.375" style="3183" customWidth="1"/>
    <col min="12814" max="12814" width="6.25" style="3183" customWidth="1"/>
    <col min="12815" max="12815" width="14.5" style="3183" customWidth="1"/>
    <col min="12816" max="13056" width="9" style="3183"/>
    <col min="13057" max="13057" width="29.375" style="3183" customWidth="1"/>
    <col min="13058" max="13058" width="6.25" style="3183" customWidth="1"/>
    <col min="13059" max="13059" width="13.875" style="3183" customWidth="1"/>
    <col min="13060" max="13060" width="6.25" style="3183" customWidth="1"/>
    <col min="13061" max="13061" width="29.375" style="3183" customWidth="1"/>
    <col min="13062" max="13062" width="7.875" style="3183" customWidth="1"/>
    <col min="13063" max="13064" width="13.875" style="3183" customWidth="1"/>
    <col min="13065" max="13065" width="39.5" style="3183" customWidth="1"/>
    <col min="13066" max="13066" width="9" style="3183" customWidth="1"/>
    <col min="13067" max="13067" width="45.875" style="3183" customWidth="1"/>
    <col min="13068" max="13068" width="10.625" style="3183" customWidth="1"/>
    <col min="13069" max="13069" width="14.375" style="3183" customWidth="1"/>
    <col min="13070" max="13070" width="6.25" style="3183" customWidth="1"/>
    <col min="13071" max="13071" width="14.5" style="3183" customWidth="1"/>
    <col min="13072" max="13312" width="9" style="3183"/>
    <col min="13313" max="13313" width="29.375" style="3183" customWidth="1"/>
    <col min="13314" max="13314" width="6.25" style="3183" customWidth="1"/>
    <col min="13315" max="13315" width="13.875" style="3183" customWidth="1"/>
    <col min="13316" max="13316" width="6.25" style="3183" customWidth="1"/>
    <col min="13317" max="13317" width="29.375" style="3183" customWidth="1"/>
    <col min="13318" max="13318" width="7.875" style="3183" customWidth="1"/>
    <col min="13319" max="13320" width="13.875" style="3183" customWidth="1"/>
    <col min="13321" max="13321" width="39.5" style="3183" customWidth="1"/>
    <col min="13322" max="13322" width="9" style="3183" customWidth="1"/>
    <col min="13323" max="13323" width="45.875" style="3183" customWidth="1"/>
    <col min="13324" max="13324" width="10.625" style="3183" customWidth="1"/>
    <col min="13325" max="13325" width="14.375" style="3183" customWidth="1"/>
    <col min="13326" max="13326" width="6.25" style="3183" customWidth="1"/>
    <col min="13327" max="13327" width="14.5" style="3183" customWidth="1"/>
    <col min="13328" max="13568" width="9" style="3183"/>
    <col min="13569" max="13569" width="29.375" style="3183" customWidth="1"/>
    <col min="13570" max="13570" width="6.25" style="3183" customWidth="1"/>
    <col min="13571" max="13571" width="13.875" style="3183" customWidth="1"/>
    <col min="13572" max="13572" width="6.25" style="3183" customWidth="1"/>
    <col min="13573" max="13573" width="29.375" style="3183" customWidth="1"/>
    <col min="13574" max="13574" width="7.875" style="3183" customWidth="1"/>
    <col min="13575" max="13576" width="13.875" style="3183" customWidth="1"/>
    <col min="13577" max="13577" width="39.5" style="3183" customWidth="1"/>
    <col min="13578" max="13578" width="9" style="3183" customWidth="1"/>
    <col min="13579" max="13579" width="45.875" style="3183" customWidth="1"/>
    <col min="13580" max="13580" width="10.625" style="3183" customWidth="1"/>
    <col min="13581" max="13581" width="14.375" style="3183" customWidth="1"/>
    <col min="13582" max="13582" width="6.25" style="3183" customWidth="1"/>
    <col min="13583" max="13583" width="14.5" style="3183" customWidth="1"/>
    <col min="13584" max="13824" width="9" style="3183"/>
    <col min="13825" max="13825" width="29.375" style="3183" customWidth="1"/>
    <col min="13826" max="13826" width="6.25" style="3183" customWidth="1"/>
    <col min="13827" max="13827" width="13.875" style="3183" customWidth="1"/>
    <col min="13828" max="13828" width="6.25" style="3183" customWidth="1"/>
    <col min="13829" max="13829" width="29.375" style="3183" customWidth="1"/>
    <col min="13830" max="13830" width="7.875" style="3183" customWidth="1"/>
    <col min="13831" max="13832" width="13.875" style="3183" customWidth="1"/>
    <col min="13833" max="13833" width="39.5" style="3183" customWidth="1"/>
    <col min="13834" max="13834" width="9" style="3183" customWidth="1"/>
    <col min="13835" max="13835" width="45.875" style="3183" customWidth="1"/>
    <col min="13836" max="13836" width="10.625" style="3183" customWidth="1"/>
    <col min="13837" max="13837" width="14.375" style="3183" customWidth="1"/>
    <col min="13838" max="13838" width="6.25" style="3183" customWidth="1"/>
    <col min="13839" max="13839" width="14.5" style="3183" customWidth="1"/>
    <col min="13840" max="14080" width="9" style="3183"/>
    <col min="14081" max="14081" width="29.375" style="3183" customWidth="1"/>
    <col min="14082" max="14082" width="6.25" style="3183" customWidth="1"/>
    <col min="14083" max="14083" width="13.875" style="3183" customWidth="1"/>
    <col min="14084" max="14084" width="6.25" style="3183" customWidth="1"/>
    <col min="14085" max="14085" width="29.375" style="3183" customWidth="1"/>
    <col min="14086" max="14086" width="7.875" style="3183" customWidth="1"/>
    <col min="14087" max="14088" width="13.875" style="3183" customWidth="1"/>
    <col min="14089" max="14089" width="39.5" style="3183" customWidth="1"/>
    <col min="14090" max="14090" width="9" style="3183" customWidth="1"/>
    <col min="14091" max="14091" width="45.875" style="3183" customWidth="1"/>
    <col min="14092" max="14092" width="10.625" style="3183" customWidth="1"/>
    <col min="14093" max="14093" width="14.375" style="3183" customWidth="1"/>
    <col min="14094" max="14094" width="6.25" style="3183" customWidth="1"/>
    <col min="14095" max="14095" width="14.5" style="3183" customWidth="1"/>
    <col min="14096" max="14336" width="9" style="3183"/>
    <col min="14337" max="14337" width="29.375" style="3183" customWidth="1"/>
    <col min="14338" max="14338" width="6.25" style="3183" customWidth="1"/>
    <col min="14339" max="14339" width="13.875" style="3183" customWidth="1"/>
    <col min="14340" max="14340" width="6.25" style="3183" customWidth="1"/>
    <col min="14341" max="14341" width="29.375" style="3183" customWidth="1"/>
    <col min="14342" max="14342" width="7.875" style="3183" customWidth="1"/>
    <col min="14343" max="14344" width="13.875" style="3183" customWidth="1"/>
    <col min="14345" max="14345" width="39.5" style="3183" customWidth="1"/>
    <col min="14346" max="14346" width="9" style="3183" customWidth="1"/>
    <col min="14347" max="14347" width="45.875" style="3183" customWidth="1"/>
    <col min="14348" max="14348" width="10.625" style="3183" customWidth="1"/>
    <col min="14349" max="14349" width="14.375" style="3183" customWidth="1"/>
    <col min="14350" max="14350" width="6.25" style="3183" customWidth="1"/>
    <col min="14351" max="14351" width="14.5" style="3183" customWidth="1"/>
    <col min="14352" max="14592" width="9" style="3183"/>
    <col min="14593" max="14593" width="29.375" style="3183" customWidth="1"/>
    <col min="14594" max="14594" width="6.25" style="3183" customWidth="1"/>
    <col min="14595" max="14595" width="13.875" style="3183" customWidth="1"/>
    <col min="14596" max="14596" width="6.25" style="3183" customWidth="1"/>
    <col min="14597" max="14597" width="29.375" style="3183" customWidth="1"/>
    <col min="14598" max="14598" width="7.875" style="3183" customWidth="1"/>
    <col min="14599" max="14600" width="13.875" style="3183" customWidth="1"/>
    <col min="14601" max="14601" width="39.5" style="3183" customWidth="1"/>
    <col min="14602" max="14602" width="9" style="3183" customWidth="1"/>
    <col min="14603" max="14603" width="45.875" style="3183" customWidth="1"/>
    <col min="14604" max="14604" width="10.625" style="3183" customWidth="1"/>
    <col min="14605" max="14605" width="14.375" style="3183" customWidth="1"/>
    <col min="14606" max="14606" width="6.25" style="3183" customWidth="1"/>
    <col min="14607" max="14607" width="14.5" style="3183" customWidth="1"/>
    <col min="14608" max="14848" width="9" style="3183"/>
    <col min="14849" max="14849" width="29.375" style="3183" customWidth="1"/>
    <col min="14850" max="14850" width="6.25" style="3183" customWidth="1"/>
    <col min="14851" max="14851" width="13.875" style="3183" customWidth="1"/>
    <col min="14852" max="14852" width="6.25" style="3183" customWidth="1"/>
    <col min="14853" max="14853" width="29.375" style="3183" customWidth="1"/>
    <col min="14854" max="14854" width="7.875" style="3183" customWidth="1"/>
    <col min="14855" max="14856" width="13.875" style="3183" customWidth="1"/>
    <col min="14857" max="14857" width="39.5" style="3183" customWidth="1"/>
    <col min="14858" max="14858" width="9" style="3183" customWidth="1"/>
    <col min="14859" max="14859" width="45.875" style="3183" customWidth="1"/>
    <col min="14860" max="14860" width="10.625" style="3183" customWidth="1"/>
    <col min="14861" max="14861" width="14.375" style="3183" customWidth="1"/>
    <col min="14862" max="14862" width="6.25" style="3183" customWidth="1"/>
    <col min="14863" max="14863" width="14.5" style="3183" customWidth="1"/>
    <col min="14864" max="15104" width="9" style="3183"/>
    <col min="15105" max="15105" width="29.375" style="3183" customWidth="1"/>
    <col min="15106" max="15106" width="6.25" style="3183" customWidth="1"/>
    <col min="15107" max="15107" width="13.875" style="3183" customWidth="1"/>
    <col min="15108" max="15108" width="6.25" style="3183" customWidth="1"/>
    <col min="15109" max="15109" width="29.375" style="3183" customWidth="1"/>
    <col min="15110" max="15110" width="7.875" style="3183" customWidth="1"/>
    <col min="15111" max="15112" width="13.875" style="3183" customWidth="1"/>
    <col min="15113" max="15113" width="39.5" style="3183" customWidth="1"/>
    <col min="15114" max="15114" width="9" style="3183" customWidth="1"/>
    <col min="15115" max="15115" width="45.875" style="3183" customWidth="1"/>
    <col min="15116" max="15116" width="10.625" style="3183" customWidth="1"/>
    <col min="15117" max="15117" width="14.375" style="3183" customWidth="1"/>
    <col min="15118" max="15118" width="6.25" style="3183" customWidth="1"/>
    <col min="15119" max="15119" width="14.5" style="3183" customWidth="1"/>
    <col min="15120" max="15360" width="9" style="3183"/>
    <col min="15361" max="15361" width="29.375" style="3183" customWidth="1"/>
    <col min="15362" max="15362" width="6.25" style="3183" customWidth="1"/>
    <col min="15363" max="15363" width="13.875" style="3183" customWidth="1"/>
    <col min="15364" max="15364" width="6.25" style="3183" customWidth="1"/>
    <col min="15365" max="15365" width="29.375" style="3183" customWidth="1"/>
    <col min="15366" max="15366" width="7.875" style="3183" customWidth="1"/>
    <col min="15367" max="15368" width="13.875" style="3183" customWidth="1"/>
    <col min="15369" max="15369" width="39.5" style="3183" customWidth="1"/>
    <col min="15370" max="15370" width="9" style="3183" customWidth="1"/>
    <col min="15371" max="15371" width="45.875" style="3183" customWidth="1"/>
    <col min="15372" max="15372" width="10.625" style="3183" customWidth="1"/>
    <col min="15373" max="15373" width="14.375" style="3183" customWidth="1"/>
    <col min="15374" max="15374" width="6.25" style="3183" customWidth="1"/>
    <col min="15375" max="15375" width="14.5" style="3183" customWidth="1"/>
    <col min="15376" max="15616" width="9" style="3183"/>
    <col min="15617" max="15617" width="29.375" style="3183" customWidth="1"/>
    <col min="15618" max="15618" width="6.25" style="3183" customWidth="1"/>
    <col min="15619" max="15619" width="13.875" style="3183" customWidth="1"/>
    <col min="15620" max="15620" width="6.25" style="3183" customWidth="1"/>
    <col min="15621" max="15621" width="29.375" style="3183" customWidth="1"/>
    <col min="15622" max="15622" width="7.875" style="3183" customWidth="1"/>
    <col min="15623" max="15624" width="13.875" style="3183" customWidth="1"/>
    <col min="15625" max="15625" width="39.5" style="3183" customWidth="1"/>
    <col min="15626" max="15626" width="9" style="3183" customWidth="1"/>
    <col min="15627" max="15627" width="45.875" style="3183" customWidth="1"/>
    <col min="15628" max="15628" width="10.625" style="3183" customWidth="1"/>
    <col min="15629" max="15629" width="14.375" style="3183" customWidth="1"/>
    <col min="15630" max="15630" width="6.25" style="3183" customWidth="1"/>
    <col min="15631" max="15631" width="14.5" style="3183" customWidth="1"/>
    <col min="15632" max="15872" width="9" style="3183"/>
    <col min="15873" max="15873" width="29.375" style="3183" customWidth="1"/>
    <col min="15874" max="15874" width="6.25" style="3183" customWidth="1"/>
    <col min="15875" max="15875" width="13.875" style="3183" customWidth="1"/>
    <col min="15876" max="15876" width="6.25" style="3183" customWidth="1"/>
    <col min="15877" max="15877" width="29.375" style="3183" customWidth="1"/>
    <col min="15878" max="15878" width="7.875" style="3183" customWidth="1"/>
    <col min="15879" max="15880" width="13.875" style="3183" customWidth="1"/>
    <col min="15881" max="15881" width="39.5" style="3183" customWidth="1"/>
    <col min="15882" max="15882" width="9" style="3183" customWidth="1"/>
    <col min="15883" max="15883" width="45.875" style="3183" customWidth="1"/>
    <col min="15884" max="15884" width="10.625" style="3183" customWidth="1"/>
    <col min="15885" max="15885" width="14.375" style="3183" customWidth="1"/>
    <col min="15886" max="15886" width="6.25" style="3183" customWidth="1"/>
    <col min="15887" max="15887" width="14.5" style="3183" customWidth="1"/>
    <col min="15888" max="16128" width="9" style="3183"/>
    <col min="16129" max="16129" width="29.375" style="3183" customWidth="1"/>
    <col min="16130" max="16130" width="6.25" style="3183" customWidth="1"/>
    <col min="16131" max="16131" width="13.875" style="3183" customWidth="1"/>
    <col min="16132" max="16132" width="6.25" style="3183" customWidth="1"/>
    <col min="16133" max="16133" width="29.375" style="3183" customWidth="1"/>
    <col min="16134" max="16134" width="7.875" style="3183" customWidth="1"/>
    <col min="16135" max="16136" width="13.875" style="3183" customWidth="1"/>
    <col min="16137" max="16137" width="39.5" style="3183" customWidth="1"/>
    <col min="16138" max="16138" width="9" style="3183" customWidth="1"/>
    <col min="16139" max="16139" width="45.875" style="3183" customWidth="1"/>
    <col min="16140" max="16140" width="10.625" style="3183" customWidth="1"/>
    <col min="16141" max="16141" width="14.375" style="3183" customWidth="1"/>
    <col min="16142" max="16142" width="6.25" style="3183" customWidth="1"/>
    <col min="16143" max="16143" width="14.5" style="3183" customWidth="1"/>
    <col min="16144" max="16384" width="9" style="3183"/>
  </cols>
  <sheetData>
    <row r="1" spans="1:17">
      <c r="A1" s="3183" t="s">
        <v>3076</v>
      </c>
      <c r="B1" s="3183" t="s">
        <v>3077</v>
      </c>
      <c r="C1" s="3183" t="s">
        <v>3078</v>
      </c>
      <c r="D1" s="3183" t="s">
        <v>3138</v>
      </c>
      <c r="E1" s="3183" t="s">
        <v>3139</v>
      </c>
      <c r="F1" s="3183" t="s">
        <v>3081</v>
      </c>
      <c r="G1" s="3183" t="s">
        <v>3079</v>
      </c>
      <c r="H1" s="3183" t="s">
        <v>3080</v>
      </c>
      <c r="I1" s="3183" t="s">
        <v>2035</v>
      </c>
      <c r="J1" s="3183" t="s">
        <v>3140</v>
      </c>
      <c r="K1" s="3183" t="s">
        <v>3085</v>
      </c>
      <c r="L1" s="3183" t="s">
        <v>3082</v>
      </c>
      <c r="M1" s="3183" t="s">
        <v>3083</v>
      </c>
      <c r="N1" s="3183" t="s">
        <v>3084</v>
      </c>
      <c r="O1" s="3183" t="s">
        <v>3141</v>
      </c>
    </row>
    <row r="2" spans="1:17">
      <c r="A2" s="3183" t="s">
        <v>3104</v>
      </c>
      <c r="B2" s="3183" t="s">
        <v>3087</v>
      </c>
      <c r="C2" s="3183" t="s">
        <v>3105</v>
      </c>
      <c r="D2" s="3183" t="s">
        <v>3142</v>
      </c>
      <c r="E2" s="3183" t="s">
        <v>3104</v>
      </c>
      <c r="F2" s="3183" t="s">
        <v>3090</v>
      </c>
      <c r="G2" s="3183">
        <v>48729.77</v>
      </c>
      <c r="H2" s="3183">
        <v>243648.8</v>
      </c>
      <c r="I2" s="3183" t="s">
        <v>3111</v>
      </c>
      <c r="J2" s="3183" t="s">
        <v>3107</v>
      </c>
      <c r="K2" s="3183" t="s">
        <v>3112</v>
      </c>
      <c r="L2" s="3183">
        <v>121900</v>
      </c>
      <c r="M2" s="3183">
        <v>5003.1000000000004</v>
      </c>
      <c r="N2" s="3183">
        <v>0.03</v>
      </c>
      <c r="O2" s="3183" t="s">
        <v>3151</v>
      </c>
      <c r="P2" s="3183">
        <f t="shared" ref="P2:P32" si="0">ROUND(L2/G2*10000,0)</f>
        <v>25016</v>
      </c>
    </row>
    <row r="3" spans="1:17" s="3207" customFormat="1" ht="27">
      <c r="A3" s="3207" t="s">
        <v>3104</v>
      </c>
      <c r="B3" s="3207" t="s">
        <v>3087</v>
      </c>
      <c r="C3" s="3207" t="s">
        <v>3105</v>
      </c>
      <c r="D3" s="3207" t="s">
        <v>3142</v>
      </c>
      <c r="E3" s="3207" t="s">
        <v>3104</v>
      </c>
      <c r="F3" s="3207" t="s">
        <v>3090</v>
      </c>
      <c r="G3" s="3207">
        <v>118650.6</v>
      </c>
      <c r="H3" s="3207">
        <v>529644.30000000005</v>
      </c>
      <c r="I3" s="3207" t="s">
        <v>3106</v>
      </c>
      <c r="J3" s="3207" t="s">
        <v>3107</v>
      </c>
      <c r="K3" s="3207" t="s">
        <v>3108</v>
      </c>
      <c r="L3" s="3207">
        <v>253300</v>
      </c>
      <c r="M3" s="3207">
        <v>4782.4399999999996</v>
      </c>
      <c r="N3" s="3207">
        <v>0.01</v>
      </c>
      <c r="O3" s="3207" t="s">
        <v>3151</v>
      </c>
      <c r="P3" s="3207">
        <f t="shared" si="0"/>
        <v>21348</v>
      </c>
      <c r="Q3" s="3207">
        <f>P3/M3</f>
        <v>4.4638301787372141</v>
      </c>
    </row>
    <row r="4" spans="1:17" s="3207" customFormat="1" ht="27">
      <c r="A4" s="3207" t="s">
        <v>3104</v>
      </c>
      <c r="B4" s="3207" t="s">
        <v>3087</v>
      </c>
      <c r="C4" s="3207" t="s">
        <v>3105</v>
      </c>
      <c r="D4" s="3207" t="s">
        <v>3142</v>
      </c>
      <c r="E4" s="3207" t="s">
        <v>3104</v>
      </c>
      <c r="F4" s="3207" t="s">
        <v>3090</v>
      </c>
      <c r="G4" s="3207">
        <v>65462.52</v>
      </c>
      <c r="H4" s="3207">
        <v>325514.40000000002</v>
      </c>
      <c r="I4" s="3207" t="s">
        <v>3109</v>
      </c>
      <c r="J4" s="3207" t="s">
        <v>3107</v>
      </c>
      <c r="K4" s="3207" t="s">
        <v>3110</v>
      </c>
      <c r="L4" s="3207">
        <v>135500</v>
      </c>
      <c r="M4" s="3207">
        <v>4162.6400000000003</v>
      </c>
      <c r="N4" s="3207">
        <v>0.03</v>
      </c>
      <c r="O4" s="3207" t="s">
        <v>3151</v>
      </c>
      <c r="P4" s="3207">
        <f t="shared" si="0"/>
        <v>20699</v>
      </c>
      <c r="Q4" s="3207">
        <f t="shared" ref="Q4:Q5" si="1">P4/M4</f>
        <v>4.9725654872869134</v>
      </c>
    </row>
    <row r="5" spans="1:17" s="3207" customFormat="1" ht="27">
      <c r="A5" s="3207" t="s">
        <v>3104</v>
      </c>
      <c r="B5" s="3207" t="s">
        <v>3087</v>
      </c>
      <c r="C5" s="3207" t="s">
        <v>3105</v>
      </c>
      <c r="D5" s="3207" t="s">
        <v>3142</v>
      </c>
      <c r="E5" s="3207" t="s">
        <v>3104</v>
      </c>
      <c r="F5" s="3207" t="s">
        <v>3090</v>
      </c>
      <c r="G5" s="3207">
        <v>93420.39</v>
      </c>
      <c r="H5" s="3207">
        <v>465988</v>
      </c>
      <c r="I5" s="3207" t="s">
        <v>3113</v>
      </c>
      <c r="J5" s="3207" t="s">
        <v>3107</v>
      </c>
      <c r="K5" s="3207" t="s">
        <v>3114</v>
      </c>
      <c r="L5" s="3207">
        <v>188434.39</v>
      </c>
      <c r="M5" s="3207">
        <v>4043.76</v>
      </c>
      <c r="N5" s="3207">
        <v>0</v>
      </c>
      <c r="O5" s="3207" t="s">
        <v>3151</v>
      </c>
      <c r="P5" s="3207">
        <f t="shared" si="0"/>
        <v>20171</v>
      </c>
      <c r="Q5" s="3207">
        <f t="shared" si="1"/>
        <v>4.9881793182582541</v>
      </c>
    </row>
    <row r="6" spans="1:17">
      <c r="A6" s="3183" t="s">
        <v>3182</v>
      </c>
      <c r="B6" s="3183" t="s">
        <v>3087</v>
      </c>
      <c r="C6" s="3183" t="s">
        <v>3088</v>
      </c>
      <c r="D6" s="3183" t="s">
        <v>3142</v>
      </c>
      <c r="E6" s="3183" t="s">
        <v>3182</v>
      </c>
      <c r="F6" s="3183" t="s">
        <v>3096</v>
      </c>
      <c r="G6" s="3183">
        <v>51442.61</v>
      </c>
      <c r="H6" s="3183">
        <v>56586.87</v>
      </c>
      <c r="I6" s="3183" t="s">
        <v>3190</v>
      </c>
      <c r="J6" s="3183" t="s">
        <v>3184</v>
      </c>
      <c r="K6" s="3183" t="s">
        <v>3185</v>
      </c>
      <c r="L6" s="3183">
        <v>18057.77</v>
      </c>
      <c r="M6" s="3183">
        <v>3191.15</v>
      </c>
      <c r="N6" s="3183">
        <v>0</v>
      </c>
      <c r="O6" s="3183" t="s">
        <v>3146</v>
      </c>
      <c r="P6" s="3183">
        <f t="shared" si="0"/>
        <v>3510</v>
      </c>
    </row>
    <row r="7" spans="1:17">
      <c r="A7" s="3183" t="s">
        <v>3176</v>
      </c>
      <c r="B7" s="3183" t="s">
        <v>3087</v>
      </c>
      <c r="C7" s="3183" t="s">
        <v>3105</v>
      </c>
      <c r="D7" s="3183" t="s">
        <v>3142</v>
      </c>
      <c r="E7" s="3183" t="s">
        <v>3176</v>
      </c>
      <c r="F7" s="3183" t="s">
        <v>3096</v>
      </c>
      <c r="G7" s="3183">
        <v>13506.33</v>
      </c>
      <c r="H7" s="3183">
        <v>63479.75</v>
      </c>
      <c r="I7" s="3183" t="s">
        <v>3180</v>
      </c>
      <c r="J7" s="3183" t="s">
        <v>3178</v>
      </c>
      <c r="K7" s="3183" t="s">
        <v>3179</v>
      </c>
      <c r="L7" s="3183">
        <v>19449.59</v>
      </c>
      <c r="M7" s="3183">
        <v>3063.9</v>
      </c>
      <c r="N7" s="3183">
        <v>0</v>
      </c>
      <c r="O7" s="3183" t="s">
        <v>3151</v>
      </c>
      <c r="P7" s="3183">
        <f t="shared" si="0"/>
        <v>14400</v>
      </c>
    </row>
    <row r="8" spans="1:17" hidden="1">
      <c r="A8" s="3183" t="s">
        <v>3116</v>
      </c>
      <c r="B8" s="3183" t="s">
        <v>3087</v>
      </c>
      <c r="C8" s="3183" t="s">
        <v>3088</v>
      </c>
      <c r="D8" s="3183" t="s">
        <v>3142</v>
      </c>
      <c r="E8" s="3183" t="s">
        <v>3116</v>
      </c>
      <c r="F8" s="3183" t="s">
        <v>3090</v>
      </c>
      <c r="G8" s="3183">
        <v>308.66000000000003</v>
      </c>
      <c r="H8" s="3183">
        <v>1851.96</v>
      </c>
      <c r="I8" s="3183" t="s">
        <v>3117</v>
      </c>
      <c r="J8" s="3183" t="s">
        <v>3118</v>
      </c>
      <c r="K8" s="3183" t="s">
        <v>3119</v>
      </c>
      <c r="L8" s="3183">
        <v>564</v>
      </c>
      <c r="M8" s="3183">
        <v>3045.42</v>
      </c>
      <c r="N8" s="3183">
        <v>0</v>
      </c>
      <c r="O8" s="3183" t="s">
        <v>3152</v>
      </c>
      <c r="P8" s="3183">
        <f t="shared" si="0"/>
        <v>18273</v>
      </c>
    </row>
    <row r="9" spans="1:17" hidden="1">
      <c r="A9" s="3183" t="s">
        <v>3120</v>
      </c>
      <c r="B9" s="3183" t="s">
        <v>3087</v>
      </c>
      <c r="C9" s="3183" t="s">
        <v>3088</v>
      </c>
      <c r="D9" s="3183" t="s">
        <v>3142</v>
      </c>
      <c r="E9" s="3183" t="s">
        <v>3120</v>
      </c>
      <c r="F9" s="3183" t="s">
        <v>3096</v>
      </c>
      <c r="G9" s="3183">
        <v>4.0599999999999996</v>
      </c>
      <c r="H9" s="3183">
        <v>17.86</v>
      </c>
      <c r="I9" s="3183" t="s">
        <v>3171</v>
      </c>
      <c r="J9" s="3183" t="s">
        <v>3172</v>
      </c>
      <c r="K9" s="3183" t="s">
        <v>3173</v>
      </c>
      <c r="L9" s="3183">
        <v>4.88</v>
      </c>
      <c r="M9" s="3183">
        <v>2737.96</v>
      </c>
      <c r="N9" s="3183">
        <v>0</v>
      </c>
      <c r="O9" s="3183" t="s">
        <v>3146</v>
      </c>
      <c r="P9" s="3183">
        <f t="shared" si="0"/>
        <v>12020</v>
      </c>
    </row>
    <row r="10" spans="1:17">
      <c r="A10" s="3183" t="s">
        <v>3182</v>
      </c>
      <c r="B10" s="3183" t="s">
        <v>3087</v>
      </c>
      <c r="C10" s="3183" t="s">
        <v>3088</v>
      </c>
      <c r="D10" s="3183" t="s">
        <v>3142</v>
      </c>
      <c r="E10" s="3183" t="s">
        <v>3182</v>
      </c>
      <c r="F10" s="3183" t="s">
        <v>3096</v>
      </c>
      <c r="G10" s="3183">
        <v>18523.330000000002</v>
      </c>
      <c r="H10" s="3183">
        <v>24080.33</v>
      </c>
      <c r="I10" s="3183" t="s">
        <v>3186</v>
      </c>
      <c r="J10" s="3183" t="s">
        <v>3184</v>
      </c>
      <c r="K10" s="3183" t="s">
        <v>3185</v>
      </c>
      <c r="L10" s="3183">
        <v>6500.52</v>
      </c>
      <c r="M10" s="3183">
        <v>2699.51</v>
      </c>
      <c r="N10" s="3183">
        <v>0</v>
      </c>
      <c r="O10" s="3183" t="s">
        <v>3146</v>
      </c>
      <c r="P10" s="3183">
        <f t="shared" si="0"/>
        <v>3509</v>
      </c>
    </row>
    <row r="11" spans="1:17" s="3187" customFormat="1">
      <c r="A11" s="3187" t="s">
        <v>3176</v>
      </c>
      <c r="B11" s="3187" t="s">
        <v>3087</v>
      </c>
      <c r="C11" s="3187" t="s">
        <v>3105</v>
      </c>
      <c r="D11" s="3187" t="s">
        <v>3142</v>
      </c>
      <c r="E11" s="3187" t="s">
        <v>3176</v>
      </c>
      <c r="F11" s="3187" t="s">
        <v>3096</v>
      </c>
      <c r="G11" s="3187">
        <v>25182.67</v>
      </c>
      <c r="H11" s="3187">
        <v>135986.4</v>
      </c>
      <c r="I11" s="3187" t="s">
        <v>3181</v>
      </c>
      <c r="J11" s="3187" t="s">
        <v>3178</v>
      </c>
      <c r="K11" s="3187" t="s">
        <v>3179</v>
      </c>
      <c r="L11" s="3187">
        <v>36259.19</v>
      </c>
      <c r="M11" s="3187">
        <v>2666.38</v>
      </c>
      <c r="N11" s="3187">
        <v>0</v>
      </c>
      <c r="O11" s="3187" t="s">
        <v>3151</v>
      </c>
      <c r="P11" s="3187">
        <f t="shared" si="0"/>
        <v>14398</v>
      </c>
    </row>
    <row r="12" spans="1:17" s="3182" customFormat="1">
      <c r="A12" s="3182" t="s">
        <v>3194</v>
      </c>
      <c r="B12" s="3182" t="s">
        <v>3087</v>
      </c>
      <c r="C12" s="3182" t="s">
        <v>3105</v>
      </c>
      <c r="D12" s="3182" t="s">
        <v>3142</v>
      </c>
      <c r="E12" s="3182" t="s">
        <v>3194</v>
      </c>
      <c r="F12" s="3182" t="s">
        <v>3090</v>
      </c>
      <c r="G12" s="3182">
        <v>21079.69</v>
      </c>
      <c r="H12" s="3182">
        <v>168637.5</v>
      </c>
      <c r="I12" s="3182" t="s">
        <v>3195</v>
      </c>
      <c r="J12" s="3182" t="s">
        <v>3196</v>
      </c>
      <c r="K12" s="3182" t="s">
        <v>3197</v>
      </c>
      <c r="L12" s="3182">
        <v>42181.08</v>
      </c>
      <c r="M12" s="3182">
        <v>2501.2800000000002</v>
      </c>
      <c r="N12" s="3182">
        <v>0</v>
      </c>
      <c r="O12" s="3182" t="s">
        <v>3151</v>
      </c>
      <c r="P12" s="3182">
        <f t="shared" si="0"/>
        <v>20010</v>
      </c>
    </row>
    <row r="13" spans="1:17">
      <c r="A13" s="3183" t="s">
        <v>3115</v>
      </c>
      <c r="B13" s="3183" t="s">
        <v>3087</v>
      </c>
      <c r="C13" s="3183" t="s">
        <v>3088</v>
      </c>
      <c r="D13" s="3183" t="s">
        <v>3142</v>
      </c>
      <c r="E13" s="3183" t="s">
        <v>3115</v>
      </c>
      <c r="F13" s="3183" t="s">
        <v>3096</v>
      </c>
      <c r="G13" s="3183">
        <v>105980.1</v>
      </c>
      <c r="H13" s="3183">
        <v>296744.3</v>
      </c>
      <c r="I13" s="3183" t="s">
        <v>3155</v>
      </c>
      <c r="J13" s="3183" t="s">
        <v>3153</v>
      </c>
      <c r="K13" s="3183" t="s">
        <v>3156</v>
      </c>
      <c r="L13" s="3183">
        <v>74080.02</v>
      </c>
      <c r="M13" s="3183">
        <v>2496.42</v>
      </c>
      <c r="N13" s="3183">
        <v>0</v>
      </c>
      <c r="O13" s="3183" t="s">
        <v>3146</v>
      </c>
      <c r="P13" s="3183">
        <f t="shared" si="0"/>
        <v>6990</v>
      </c>
    </row>
    <row r="14" spans="1:17">
      <c r="A14" s="3183" t="s">
        <v>3115</v>
      </c>
      <c r="B14" s="3183" t="s">
        <v>3087</v>
      </c>
      <c r="C14" s="3183" t="s">
        <v>3088</v>
      </c>
      <c r="D14" s="3183" t="s">
        <v>3142</v>
      </c>
      <c r="E14" s="3183" t="s">
        <v>3115</v>
      </c>
      <c r="F14" s="3183" t="s">
        <v>3096</v>
      </c>
      <c r="G14" s="3183">
        <v>52020.6</v>
      </c>
      <c r="H14" s="3183">
        <v>145657.70000000001</v>
      </c>
      <c r="I14" s="3183" t="s">
        <v>3155</v>
      </c>
      <c r="J14" s="3183" t="s">
        <v>3153</v>
      </c>
      <c r="K14" s="3183" t="s">
        <v>3156</v>
      </c>
      <c r="L14" s="3183">
        <v>36361.980000000003</v>
      </c>
      <c r="M14" s="3183">
        <v>2496.4</v>
      </c>
      <c r="N14" s="3183">
        <v>0</v>
      </c>
      <c r="O14" s="3183" t="s">
        <v>3146</v>
      </c>
      <c r="P14" s="3183">
        <f t="shared" si="0"/>
        <v>6990</v>
      </c>
    </row>
    <row r="15" spans="1:17">
      <c r="A15" s="3183" t="s">
        <v>3116</v>
      </c>
      <c r="B15" s="3183" t="s">
        <v>3087</v>
      </c>
      <c r="C15" s="3183" t="s">
        <v>3088</v>
      </c>
      <c r="D15" s="3183" t="s">
        <v>3142</v>
      </c>
      <c r="E15" s="3183" t="s">
        <v>3116</v>
      </c>
      <c r="F15" s="3183" t="s">
        <v>3090</v>
      </c>
      <c r="G15" s="3183">
        <v>41205.800000000003</v>
      </c>
      <c r="H15" s="3183">
        <v>131858.6</v>
      </c>
      <c r="I15" s="3183" t="s">
        <v>3093</v>
      </c>
      <c r="J15" s="3183" t="s">
        <v>3167</v>
      </c>
      <c r="K15" s="3183" t="s">
        <v>3168</v>
      </c>
      <c r="L15" s="3183">
        <v>31646.720000000001</v>
      </c>
      <c r="M15" s="3183">
        <v>2400.0500000000002</v>
      </c>
      <c r="N15" s="3183">
        <v>0</v>
      </c>
      <c r="O15" s="3183" t="s">
        <v>3146</v>
      </c>
      <c r="P15" s="3183">
        <f t="shared" si="0"/>
        <v>7680</v>
      </c>
    </row>
    <row r="16" spans="1:17">
      <c r="A16" s="3183" t="s">
        <v>3182</v>
      </c>
      <c r="B16" s="3183" t="s">
        <v>3087</v>
      </c>
      <c r="C16" s="3183" t="s">
        <v>3088</v>
      </c>
      <c r="D16" s="3183" t="s">
        <v>3142</v>
      </c>
      <c r="E16" s="3183" t="s">
        <v>3182</v>
      </c>
      <c r="F16" s="3183" t="s">
        <v>3096</v>
      </c>
      <c r="G16" s="3183">
        <v>30826.95</v>
      </c>
      <c r="H16" s="3183">
        <v>45315.62</v>
      </c>
      <c r="I16" s="3183" t="s">
        <v>3192</v>
      </c>
      <c r="J16" s="3183" t="s">
        <v>3184</v>
      </c>
      <c r="K16" s="3183" t="s">
        <v>3185</v>
      </c>
      <c r="L16" s="3183">
        <v>10820.15</v>
      </c>
      <c r="M16" s="3183">
        <v>2387.73</v>
      </c>
      <c r="N16" s="3183">
        <v>0</v>
      </c>
      <c r="O16" s="3183" t="s">
        <v>3146</v>
      </c>
      <c r="P16" s="3183">
        <f t="shared" si="0"/>
        <v>3510</v>
      </c>
    </row>
    <row r="17" spans="1:16" s="3182" customFormat="1">
      <c r="A17" s="3182" t="s">
        <v>3120</v>
      </c>
      <c r="B17" s="3182" t="s">
        <v>3087</v>
      </c>
      <c r="C17" s="3182" t="s">
        <v>3088</v>
      </c>
      <c r="D17" s="3182" t="s">
        <v>3142</v>
      </c>
      <c r="E17" s="3182" t="s">
        <v>3120</v>
      </c>
      <c r="F17" s="3182" t="s">
        <v>3096</v>
      </c>
      <c r="G17" s="3182">
        <v>5347.01</v>
      </c>
      <c r="H17" s="3182">
        <v>18286.77</v>
      </c>
      <c r="I17" s="3182" t="s">
        <v>3202</v>
      </c>
      <c r="J17" s="3182" t="s">
        <v>3203</v>
      </c>
      <c r="K17" s="3182" t="s">
        <v>3204</v>
      </c>
      <c r="L17" s="3182">
        <v>4114.26</v>
      </c>
      <c r="M17" s="3182">
        <v>2249.86</v>
      </c>
      <c r="N17" s="3182">
        <v>0</v>
      </c>
      <c r="O17" s="3182" t="s">
        <v>3146</v>
      </c>
      <c r="P17" s="3182">
        <f t="shared" si="0"/>
        <v>7695</v>
      </c>
    </row>
    <row r="18" spans="1:16" s="3182" customFormat="1">
      <c r="A18" s="3182" t="s">
        <v>3176</v>
      </c>
      <c r="B18" s="3182" t="s">
        <v>3087</v>
      </c>
      <c r="C18" s="3182" t="s">
        <v>3088</v>
      </c>
      <c r="D18" s="3182" t="s">
        <v>3142</v>
      </c>
      <c r="E18" s="3182" t="s">
        <v>3176</v>
      </c>
      <c r="F18" s="3182" t="s">
        <v>3096</v>
      </c>
      <c r="G18" s="3182">
        <v>14938.58</v>
      </c>
      <c r="H18" s="3182">
        <v>101582.3</v>
      </c>
      <c r="I18" s="3182" t="s">
        <v>3177</v>
      </c>
      <c r="J18" s="3182" t="s">
        <v>3178</v>
      </c>
      <c r="K18" s="3182" t="s">
        <v>3179</v>
      </c>
      <c r="L18" s="3182">
        <v>21513.59</v>
      </c>
      <c r="M18" s="3182">
        <v>2117.84</v>
      </c>
      <c r="N18" s="3182">
        <v>0</v>
      </c>
      <c r="O18" s="3182" t="s">
        <v>3146</v>
      </c>
      <c r="P18" s="3182">
        <f t="shared" si="0"/>
        <v>14401</v>
      </c>
    </row>
    <row r="19" spans="1:16">
      <c r="A19" s="3183" t="s">
        <v>3124</v>
      </c>
      <c r="B19" s="3183" t="s">
        <v>3087</v>
      </c>
      <c r="C19" s="3183" t="s">
        <v>3088</v>
      </c>
      <c r="D19" s="3183" t="s">
        <v>3142</v>
      </c>
      <c r="E19" s="3183" t="s">
        <v>3124</v>
      </c>
      <c r="F19" s="3183" t="s">
        <v>3096</v>
      </c>
      <c r="G19" s="3183">
        <v>88841.55</v>
      </c>
      <c r="H19" s="3183">
        <v>177683.1</v>
      </c>
      <c r="I19" s="3183" t="s">
        <v>3128</v>
      </c>
      <c r="J19" s="3183" t="s">
        <v>3125</v>
      </c>
      <c r="K19" s="3183" t="s">
        <v>3129</v>
      </c>
      <c r="L19" s="3183">
        <v>35447.160000000003</v>
      </c>
      <c r="M19" s="3183">
        <v>1994.97</v>
      </c>
      <c r="N19" s="3183">
        <v>0</v>
      </c>
      <c r="O19" s="3183" t="s">
        <v>3146</v>
      </c>
      <c r="P19" s="3183">
        <f t="shared" si="0"/>
        <v>3990</v>
      </c>
    </row>
    <row r="20" spans="1:16">
      <c r="A20" s="3183" t="s">
        <v>3157</v>
      </c>
      <c r="B20" s="3183" t="s">
        <v>3087</v>
      </c>
      <c r="C20" s="3183" t="s">
        <v>3088</v>
      </c>
      <c r="D20" s="3183" t="s">
        <v>3142</v>
      </c>
      <c r="E20" s="3183" t="s">
        <v>3157</v>
      </c>
      <c r="F20" s="3183" t="s">
        <v>3096</v>
      </c>
      <c r="G20" s="3183">
        <v>23706.77</v>
      </c>
      <c r="H20" s="3183">
        <v>126357.1</v>
      </c>
      <c r="I20" s="3183" t="s">
        <v>3161</v>
      </c>
      <c r="J20" s="3183" t="s">
        <v>3153</v>
      </c>
      <c r="K20" s="3183" t="s">
        <v>3159</v>
      </c>
      <c r="L20" s="3183">
        <v>22260.11</v>
      </c>
      <c r="M20" s="3183">
        <v>1761.68</v>
      </c>
      <c r="N20" s="3183">
        <v>1.79</v>
      </c>
      <c r="O20" s="3183" t="s">
        <v>3146</v>
      </c>
      <c r="P20" s="3183">
        <f t="shared" si="0"/>
        <v>9390</v>
      </c>
    </row>
    <row r="21" spans="1:16">
      <c r="A21" s="3183" t="s">
        <v>3157</v>
      </c>
      <c r="B21" s="3183" t="s">
        <v>3087</v>
      </c>
      <c r="C21" s="3183" t="s">
        <v>3088</v>
      </c>
      <c r="D21" s="3183" t="s">
        <v>3142</v>
      </c>
      <c r="E21" s="3183" t="s">
        <v>3157</v>
      </c>
      <c r="F21" s="3183" t="s">
        <v>3096</v>
      </c>
      <c r="G21" s="3183">
        <v>36889.18</v>
      </c>
      <c r="H21" s="3183">
        <v>202521.60000000001</v>
      </c>
      <c r="I21" s="3183" t="s">
        <v>3160</v>
      </c>
      <c r="J21" s="3183" t="s">
        <v>3153</v>
      </c>
      <c r="K21" s="3183" t="s">
        <v>3159</v>
      </c>
      <c r="L21" s="3183">
        <v>35631.9</v>
      </c>
      <c r="M21" s="3183">
        <v>1759.41</v>
      </c>
      <c r="N21" s="3183">
        <v>1.74</v>
      </c>
      <c r="O21" s="3183" t="s">
        <v>3146</v>
      </c>
      <c r="P21" s="3183">
        <f t="shared" si="0"/>
        <v>9659</v>
      </c>
    </row>
    <row r="22" spans="1:16">
      <c r="A22" s="3183" t="s">
        <v>3157</v>
      </c>
      <c r="B22" s="3183" t="s">
        <v>3087</v>
      </c>
      <c r="C22" s="3183" t="s">
        <v>3088</v>
      </c>
      <c r="D22" s="3183" t="s">
        <v>3142</v>
      </c>
      <c r="E22" s="3183" t="s">
        <v>3157</v>
      </c>
      <c r="F22" s="3183" t="s">
        <v>3096</v>
      </c>
      <c r="G22" s="3183">
        <v>28188.74</v>
      </c>
      <c r="H22" s="3183">
        <v>172233.2</v>
      </c>
      <c r="I22" s="3183" t="s">
        <v>3165</v>
      </c>
      <c r="J22" s="3183" t="s">
        <v>3153</v>
      </c>
      <c r="K22" s="3183" t="s">
        <v>3159</v>
      </c>
      <c r="L22" s="3183">
        <v>30272</v>
      </c>
      <c r="M22" s="3183">
        <v>1757.61</v>
      </c>
      <c r="N22" s="3183">
        <v>1.56</v>
      </c>
      <c r="O22" s="3183" t="s">
        <v>3146</v>
      </c>
      <c r="P22" s="3183">
        <f t="shared" si="0"/>
        <v>10739</v>
      </c>
    </row>
    <row r="23" spans="1:16">
      <c r="A23" s="3183" t="s">
        <v>3157</v>
      </c>
      <c r="B23" s="3183" t="s">
        <v>3087</v>
      </c>
      <c r="C23" s="3183" t="s">
        <v>3088</v>
      </c>
      <c r="D23" s="3183" t="s">
        <v>3142</v>
      </c>
      <c r="E23" s="3183" t="s">
        <v>3157</v>
      </c>
      <c r="F23" s="3183" t="s">
        <v>3096</v>
      </c>
      <c r="G23" s="3183">
        <v>22824.59</v>
      </c>
      <c r="H23" s="3183">
        <v>141284.20000000001</v>
      </c>
      <c r="I23" s="3183" t="s">
        <v>3158</v>
      </c>
      <c r="J23" s="3183" t="s">
        <v>3153</v>
      </c>
      <c r="K23" s="3183" t="s">
        <v>3159</v>
      </c>
      <c r="L23" s="3183">
        <v>24823.54</v>
      </c>
      <c r="M23" s="3183">
        <v>1756.99</v>
      </c>
      <c r="N23" s="3183">
        <v>1.54</v>
      </c>
      <c r="O23" s="3183" t="s">
        <v>3146</v>
      </c>
      <c r="P23" s="3183">
        <f t="shared" si="0"/>
        <v>10876</v>
      </c>
    </row>
    <row r="24" spans="1:16">
      <c r="A24" s="3183" t="s">
        <v>3115</v>
      </c>
      <c r="B24" s="3183" t="s">
        <v>3087</v>
      </c>
      <c r="C24" s="3183" t="s">
        <v>3088</v>
      </c>
      <c r="D24" s="3183" t="s">
        <v>3142</v>
      </c>
      <c r="E24" s="3183" t="s">
        <v>3115</v>
      </c>
      <c r="F24" s="3183" t="s">
        <v>3096</v>
      </c>
      <c r="G24" s="3183">
        <v>26641.33</v>
      </c>
      <c r="H24" s="3183">
        <v>42626.13</v>
      </c>
      <c r="I24" s="3183" t="s">
        <v>3174</v>
      </c>
      <c r="J24" s="3183" t="s">
        <v>3175</v>
      </c>
      <c r="K24" s="3183" t="s">
        <v>3131</v>
      </c>
      <c r="L24" s="3183">
        <v>7392.6</v>
      </c>
      <c r="M24" s="3183">
        <v>1734.28</v>
      </c>
      <c r="N24" s="3183">
        <v>0</v>
      </c>
      <c r="O24" s="3183" t="s">
        <v>3146</v>
      </c>
      <c r="P24" s="3183">
        <f t="shared" si="0"/>
        <v>2775</v>
      </c>
    </row>
    <row r="25" spans="1:16">
      <c r="A25" s="3183" t="s">
        <v>3205</v>
      </c>
      <c r="B25" s="3183" t="s">
        <v>3087</v>
      </c>
      <c r="C25" s="3183" t="s">
        <v>3088</v>
      </c>
      <c r="D25" s="3183" t="s">
        <v>3142</v>
      </c>
      <c r="E25" s="3183" t="s">
        <v>3205</v>
      </c>
      <c r="F25" s="3183" t="s">
        <v>3096</v>
      </c>
      <c r="G25" s="3183">
        <v>54432.17</v>
      </c>
      <c r="H25" s="3183">
        <v>239501.5</v>
      </c>
      <c r="I25" s="3183" t="s">
        <v>3206</v>
      </c>
      <c r="J25" s="3183" t="s">
        <v>3207</v>
      </c>
      <c r="K25" s="3183" t="s">
        <v>3173</v>
      </c>
      <c r="L25" s="3183">
        <v>39926.839999999997</v>
      </c>
      <c r="M25" s="3183">
        <v>1667.07</v>
      </c>
      <c r="N25" s="3183">
        <v>0</v>
      </c>
      <c r="O25" s="3183" t="s">
        <v>3146</v>
      </c>
      <c r="P25" s="3183">
        <f t="shared" si="0"/>
        <v>7335</v>
      </c>
    </row>
    <row r="26" spans="1:16">
      <c r="A26" s="3183" t="s">
        <v>3120</v>
      </c>
      <c r="B26" s="3183" t="s">
        <v>3087</v>
      </c>
      <c r="C26" s="3183" t="s">
        <v>3088</v>
      </c>
      <c r="D26" s="3183" t="s">
        <v>3142</v>
      </c>
      <c r="E26" s="3183" t="s">
        <v>3120</v>
      </c>
      <c r="F26" s="3183" t="s">
        <v>3096</v>
      </c>
      <c r="G26" s="3183">
        <v>254.26</v>
      </c>
      <c r="H26" s="3183">
        <v>1118.74</v>
      </c>
      <c r="I26" s="3183" t="s">
        <v>3171</v>
      </c>
      <c r="J26" s="3183" t="s">
        <v>3172</v>
      </c>
      <c r="K26" s="3183" t="s">
        <v>3173</v>
      </c>
      <c r="L26" s="3183">
        <v>185.81</v>
      </c>
      <c r="M26" s="3183">
        <v>1660.98</v>
      </c>
      <c r="N26" s="3183">
        <v>0</v>
      </c>
      <c r="O26" s="3183" t="s">
        <v>3146</v>
      </c>
      <c r="P26" s="3183">
        <f t="shared" si="0"/>
        <v>7308</v>
      </c>
    </row>
    <row r="27" spans="1:16">
      <c r="A27" s="3183" t="s">
        <v>3094</v>
      </c>
      <c r="B27" s="3183" t="s">
        <v>3087</v>
      </c>
      <c r="C27" s="3183" t="s">
        <v>3088</v>
      </c>
      <c r="D27" s="3183" t="s">
        <v>3142</v>
      </c>
      <c r="E27" s="3183" t="s">
        <v>3094</v>
      </c>
      <c r="F27" s="3183" t="s">
        <v>3096</v>
      </c>
      <c r="G27" s="3183">
        <v>80461</v>
      </c>
      <c r="H27" s="3183">
        <v>275176.59999999998</v>
      </c>
      <c r="I27" s="3183" t="s">
        <v>3101</v>
      </c>
      <c r="J27" s="3183" t="s">
        <v>3075</v>
      </c>
      <c r="K27" s="3183" t="s">
        <v>3097</v>
      </c>
      <c r="L27" s="3183">
        <v>44878.5</v>
      </c>
      <c r="M27" s="3183">
        <v>1630.9</v>
      </c>
      <c r="N27" s="3183">
        <v>0</v>
      </c>
      <c r="O27" s="3183" t="s">
        <v>3146</v>
      </c>
      <c r="P27" s="3183">
        <f t="shared" si="0"/>
        <v>5578</v>
      </c>
    </row>
    <row r="28" spans="1:16">
      <c r="A28" s="3183" t="s">
        <v>3094</v>
      </c>
      <c r="B28" s="3183" t="s">
        <v>3087</v>
      </c>
      <c r="C28" s="3183" t="s">
        <v>3088</v>
      </c>
      <c r="D28" s="3183" t="s">
        <v>3142</v>
      </c>
      <c r="E28" s="3183" t="s">
        <v>3094</v>
      </c>
      <c r="F28" s="3183" t="s">
        <v>3096</v>
      </c>
      <c r="G28" s="3183">
        <v>50107.35</v>
      </c>
      <c r="H28" s="3183">
        <v>173872.5</v>
      </c>
      <c r="I28" s="3183" t="s">
        <v>3098</v>
      </c>
      <c r="J28" s="3183" t="s">
        <v>3075</v>
      </c>
      <c r="K28" s="3183" t="s">
        <v>3097</v>
      </c>
      <c r="L28" s="3183">
        <v>27948.22</v>
      </c>
      <c r="M28" s="3183">
        <v>1607.4</v>
      </c>
      <c r="N28" s="3183">
        <v>0</v>
      </c>
      <c r="O28" s="3183" t="s">
        <v>3146</v>
      </c>
      <c r="P28" s="3183">
        <f t="shared" si="0"/>
        <v>5578</v>
      </c>
    </row>
    <row r="29" spans="1:16">
      <c r="A29" s="3183" t="s">
        <v>3120</v>
      </c>
      <c r="B29" s="3183" t="s">
        <v>3087</v>
      </c>
      <c r="C29" s="3183" t="s">
        <v>3088</v>
      </c>
      <c r="D29" s="3183" t="s">
        <v>3142</v>
      </c>
      <c r="E29" s="3183" t="s">
        <v>3120</v>
      </c>
      <c r="F29" s="3183" t="s">
        <v>3096</v>
      </c>
      <c r="G29" s="3183">
        <v>1791.43</v>
      </c>
      <c r="H29" s="3183">
        <v>9584.15</v>
      </c>
      <c r="I29" s="3183" t="s">
        <v>3121</v>
      </c>
      <c r="J29" s="3183" t="s">
        <v>3122</v>
      </c>
      <c r="K29" s="3183" t="s">
        <v>3123</v>
      </c>
      <c r="L29" s="3183">
        <v>1487.56</v>
      </c>
      <c r="M29" s="3183">
        <v>1552.1</v>
      </c>
      <c r="N29" s="3183">
        <v>0</v>
      </c>
      <c r="O29" s="3183" t="s">
        <v>3146</v>
      </c>
      <c r="P29" s="3183">
        <f t="shared" si="0"/>
        <v>8304</v>
      </c>
    </row>
    <row r="30" spans="1:16">
      <c r="A30" s="3183" t="s">
        <v>3116</v>
      </c>
      <c r="B30" s="3183" t="s">
        <v>3087</v>
      </c>
      <c r="C30" s="3183" t="s">
        <v>3088</v>
      </c>
      <c r="D30" s="3183" t="s">
        <v>3142</v>
      </c>
      <c r="E30" s="3183" t="s">
        <v>3116</v>
      </c>
      <c r="F30" s="3183" t="s">
        <v>3096</v>
      </c>
      <c r="G30" s="3183">
        <v>52538.69</v>
      </c>
      <c r="H30" s="3183">
        <v>199647</v>
      </c>
      <c r="I30" s="3183" t="s">
        <v>3127</v>
      </c>
      <c r="J30" s="3183" t="s">
        <v>3153</v>
      </c>
      <c r="K30" s="3183" t="s">
        <v>3166</v>
      </c>
      <c r="L30" s="3183">
        <v>30657.09</v>
      </c>
      <c r="M30" s="3183">
        <v>1535.55</v>
      </c>
      <c r="N30" s="3183">
        <v>0</v>
      </c>
      <c r="O30" s="3183" t="s">
        <v>3146</v>
      </c>
      <c r="P30" s="3183">
        <f t="shared" si="0"/>
        <v>5835</v>
      </c>
    </row>
    <row r="31" spans="1:16">
      <c r="A31" s="3183" t="s">
        <v>3115</v>
      </c>
      <c r="B31" s="3183" t="s">
        <v>3087</v>
      </c>
      <c r="C31" s="3183" t="s">
        <v>3088</v>
      </c>
      <c r="D31" s="3183" t="s">
        <v>3142</v>
      </c>
      <c r="E31" s="3183" t="s">
        <v>3115</v>
      </c>
      <c r="F31" s="3183" t="s">
        <v>3096</v>
      </c>
      <c r="G31" s="3183">
        <v>78325.490000000005</v>
      </c>
      <c r="H31" s="3183">
        <v>219311.4</v>
      </c>
      <c r="I31" s="3183" t="s">
        <v>3155</v>
      </c>
      <c r="J31" s="3183" t="s">
        <v>3175</v>
      </c>
      <c r="K31" s="3183" t="s">
        <v>3131</v>
      </c>
      <c r="L31" s="3183">
        <v>31134.84</v>
      </c>
      <c r="M31" s="3183">
        <v>1419.66</v>
      </c>
      <c r="N31" s="3183">
        <v>0</v>
      </c>
      <c r="O31" s="3183" t="s">
        <v>3146</v>
      </c>
      <c r="P31" s="3183">
        <f t="shared" si="0"/>
        <v>3975</v>
      </c>
    </row>
    <row r="32" spans="1:16">
      <c r="A32" s="3183" t="s">
        <v>3124</v>
      </c>
      <c r="B32" s="3183" t="s">
        <v>3087</v>
      </c>
      <c r="C32" s="3183" t="s">
        <v>3088</v>
      </c>
      <c r="D32" s="3183" t="s">
        <v>3142</v>
      </c>
      <c r="E32" s="3183" t="s">
        <v>3124</v>
      </c>
      <c r="F32" s="3183" t="s">
        <v>3096</v>
      </c>
      <c r="G32" s="3183">
        <v>39235.21</v>
      </c>
      <c r="H32" s="3183">
        <v>125552.7</v>
      </c>
      <c r="I32" s="3183" t="s">
        <v>3093</v>
      </c>
      <c r="J32" s="3183" t="s">
        <v>3125</v>
      </c>
      <c r="K32" s="3183" t="s">
        <v>3126</v>
      </c>
      <c r="L32" s="3183">
        <v>17125.34</v>
      </c>
      <c r="M32" s="3183">
        <v>1364</v>
      </c>
      <c r="N32" s="3183">
        <v>0</v>
      </c>
      <c r="O32" s="3183" t="s">
        <v>3146</v>
      </c>
      <c r="P32" s="3183">
        <f t="shared" si="0"/>
        <v>4365</v>
      </c>
    </row>
    <row r="33" spans="1:16">
      <c r="A33" s="3183" t="s">
        <v>3094</v>
      </c>
      <c r="B33" s="3183" t="s">
        <v>3087</v>
      </c>
      <c r="C33" s="3183" t="s">
        <v>3088</v>
      </c>
      <c r="D33" s="3183" t="s">
        <v>3142</v>
      </c>
      <c r="E33" s="3183" t="s">
        <v>3094</v>
      </c>
      <c r="F33" s="3183" t="s">
        <v>3096</v>
      </c>
      <c r="G33" s="3183">
        <v>21867.84</v>
      </c>
      <c r="H33" s="3183">
        <v>95999.82</v>
      </c>
      <c r="I33" s="3183" t="s">
        <v>3099</v>
      </c>
      <c r="J33" s="3183" t="s">
        <v>3075</v>
      </c>
      <c r="K33" s="3183" t="s">
        <v>3097</v>
      </c>
      <c r="L33" s="3183">
        <v>12197.15</v>
      </c>
      <c r="M33" s="3183">
        <v>1270.53</v>
      </c>
      <c r="N33" s="3183">
        <v>0</v>
      </c>
      <c r="O33" s="3183" t="s">
        <v>3146</v>
      </c>
      <c r="P33" s="3183">
        <f t="shared" ref="P33:P66" si="2">ROUND(L33/G33*10000,0)</f>
        <v>5578</v>
      </c>
    </row>
    <row r="34" spans="1:16">
      <c r="A34" s="3183" t="s">
        <v>3194</v>
      </c>
      <c r="B34" s="3183" t="s">
        <v>3087</v>
      </c>
      <c r="C34" s="3183" t="s">
        <v>3088</v>
      </c>
      <c r="D34" s="3183" t="s">
        <v>3142</v>
      </c>
      <c r="E34" s="3183" t="s">
        <v>3194</v>
      </c>
      <c r="F34" s="3183" t="s">
        <v>3096</v>
      </c>
      <c r="G34" s="3183">
        <v>23283.26</v>
      </c>
      <c r="H34" s="3183">
        <v>118744.6</v>
      </c>
      <c r="I34" s="3183" t="s">
        <v>3201</v>
      </c>
      <c r="J34" s="3183" t="s">
        <v>3199</v>
      </c>
      <c r="K34" s="3183" t="s">
        <v>3200</v>
      </c>
      <c r="L34" s="3183">
        <v>15065.79</v>
      </c>
      <c r="M34" s="3183">
        <v>1268.75</v>
      </c>
      <c r="N34" s="3183">
        <v>0</v>
      </c>
      <c r="O34" s="3183" t="s">
        <v>3146</v>
      </c>
      <c r="P34" s="3183">
        <f t="shared" si="2"/>
        <v>6471</v>
      </c>
    </row>
    <row r="35" spans="1:16">
      <c r="A35" s="3183" t="s">
        <v>3124</v>
      </c>
      <c r="B35" s="3183" t="s">
        <v>3087</v>
      </c>
      <c r="C35" s="3183" t="s">
        <v>3088</v>
      </c>
      <c r="D35" s="3183" t="s">
        <v>3142</v>
      </c>
      <c r="E35" s="3183" t="s">
        <v>3124</v>
      </c>
      <c r="F35" s="3183" t="s">
        <v>3096</v>
      </c>
      <c r="G35" s="3183">
        <v>49697.95</v>
      </c>
      <c r="H35" s="3183">
        <v>164003.20000000001</v>
      </c>
      <c r="I35" s="3183" t="s">
        <v>3130</v>
      </c>
      <c r="J35" s="3183" t="s">
        <v>3125</v>
      </c>
      <c r="K35" s="3183" t="s">
        <v>3126</v>
      </c>
      <c r="L35" s="3183">
        <v>20799.45</v>
      </c>
      <c r="M35" s="3183">
        <v>1268.23</v>
      </c>
      <c r="N35" s="3183">
        <v>0</v>
      </c>
      <c r="O35" s="3183" t="s">
        <v>3146</v>
      </c>
      <c r="P35" s="3183">
        <f t="shared" si="2"/>
        <v>4185</v>
      </c>
    </row>
    <row r="36" spans="1:16">
      <c r="A36" s="3183" t="s">
        <v>3115</v>
      </c>
      <c r="B36" s="3183" t="s">
        <v>3087</v>
      </c>
      <c r="C36" s="3183" t="s">
        <v>3088</v>
      </c>
      <c r="D36" s="3183" t="s">
        <v>3142</v>
      </c>
      <c r="E36" s="3183" t="s">
        <v>3115</v>
      </c>
      <c r="F36" s="3183" t="s">
        <v>3096</v>
      </c>
      <c r="G36" s="3183">
        <v>185151.6</v>
      </c>
      <c r="H36" s="3183">
        <v>592485</v>
      </c>
      <c r="I36" s="3183" t="s">
        <v>3093</v>
      </c>
      <c r="J36" s="3183" t="s">
        <v>3175</v>
      </c>
      <c r="K36" s="3183" t="s">
        <v>3131</v>
      </c>
      <c r="L36" s="3183">
        <v>74987.100000000006</v>
      </c>
      <c r="M36" s="3183">
        <v>1265.6400000000001</v>
      </c>
      <c r="N36" s="3183">
        <v>0</v>
      </c>
      <c r="O36" s="3183" t="s">
        <v>3146</v>
      </c>
      <c r="P36" s="3183">
        <f t="shared" si="2"/>
        <v>4050</v>
      </c>
    </row>
    <row r="37" spans="1:16">
      <c r="A37" s="3183" t="s">
        <v>3124</v>
      </c>
      <c r="B37" s="3183" t="s">
        <v>3087</v>
      </c>
      <c r="C37" s="3183" t="s">
        <v>3088</v>
      </c>
      <c r="D37" s="3183" t="s">
        <v>3142</v>
      </c>
      <c r="E37" s="3183" t="s">
        <v>3124</v>
      </c>
      <c r="F37" s="3183" t="s">
        <v>3096</v>
      </c>
      <c r="G37" s="3183">
        <v>25406.560000000001</v>
      </c>
      <c r="H37" s="3183">
        <v>96544.93</v>
      </c>
      <c r="I37" s="3183" t="s">
        <v>3127</v>
      </c>
      <c r="J37" s="3183" t="s">
        <v>3125</v>
      </c>
      <c r="K37" s="3183" t="s">
        <v>3126</v>
      </c>
      <c r="L37" s="3183">
        <v>11090.01</v>
      </c>
      <c r="M37" s="3183">
        <v>1148.69</v>
      </c>
      <c r="N37" s="3183">
        <v>0</v>
      </c>
      <c r="O37" s="3183" t="s">
        <v>3146</v>
      </c>
      <c r="P37" s="3183">
        <f t="shared" si="2"/>
        <v>4365</v>
      </c>
    </row>
    <row r="38" spans="1:16">
      <c r="A38" s="3183" t="s">
        <v>3124</v>
      </c>
      <c r="B38" s="3183" t="s">
        <v>3087</v>
      </c>
      <c r="C38" s="3183" t="s">
        <v>3105</v>
      </c>
      <c r="D38" s="3183" t="s">
        <v>3142</v>
      </c>
      <c r="E38" s="3183" t="s">
        <v>3124</v>
      </c>
      <c r="F38" s="3183" t="s">
        <v>3096</v>
      </c>
      <c r="G38" s="3183">
        <v>32786.51</v>
      </c>
      <c r="H38" s="3183">
        <v>124588.7</v>
      </c>
      <c r="I38" s="3183" t="s">
        <v>3127</v>
      </c>
      <c r="J38" s="3183" t="s">
        <v>3125</v>
      </c>
      <c r="K38" s="3183" t="s">
        <v>3126</v>
      </c>
      <c r="L38" s="3183">
        <v>14311.37</v>
      </c>
      <c r="M38" s="3183">
        <v>1148.69</v>
      </c>
      <c r="N38" s="3183">
        <v>0</v>
      </c>
      <c r="O38" s="3183" t="s">
        <v>3151</v>
      </c>
      <c r="P38" s="3183">
        <f t="shared" si="2"/>
        <v>4365</v>
      </c>
    </row>
    <row r="39" spans="1:16">
      <c r="A39" s="3183" t="s">
        <v>3182</v>
      </c>
      <c r="B39" s="3183" t="s">
        <v>3087</v>
      </c>
      <c r="C39" s="3183" t="s">
        <v>3088</v>
      </c>
      <c r="D39" s="3183" t="s">
        <v>3142</v>
      </c>
      <c r="E39" s="3183" t="s">
        <v>3182</v>
      </c>
      <c r="F39" s="3183" t="s">
        <v>3096</v>
      </c>
      <c r="G39" s="3183">
        <v>23861.55</v>
      </c>
      <c r="H39" s="3183">
        <v>73970.8</v>
      </c>
      <c r="I39" s="3183" t="s">
        <v>3187</v>
      </c>
      <c r="J39" s="3183" t="s">
        <v>3184</v>
      </c>
      <c r="K39" s="3183" t="s">
        <v>3185</v>
      </c>
      <c r="L39" s="3183">
        <v>8374.86</v>
      </c>
      <c r="M39" s="3183">
        <v>1132.18</v>
      </c>
      <c r="N39" s="3183">
        <v>0</v>
      </c>
      <c r="O39" s="3183" t="s">
        <v>3146</v>
      </c>
      <c r="P39" s="3183">
        <f t="shared" si="2"/>
        <v>3510</v>
      </c>
    </row>
    <row r="40" spans="1:16">
      <c r="A40" s="3183" t="s">
        <v>3094</v>
      </c>
      <c r="B40" s="3183" t="s">
        <v>3087</v>
      </c>
      <c r="C40" s="3183" t="s">
        <v>3088</v>
      </c>
      <c r="D40" s="3183" t="s">
        <v>3142</v>
      </c>
      <c r="E40" s="3183" t="s">
        <v>3094</v>
      </c>
      <c r="F40" s="3183" t="s">
        <v>3096</v>
      </c>
      <c r="G40" s="3183">
        <v>86365.39</v>
      </c>
      <c r="H40" s="3183">
        <v>444781.8</v>
      </c>
      <c r="I40" s="3183" t="s">
        <v>3102</v>
      </c>
      <c r="J40" s="3183" t="s">
        <v>3075</v>
      </c>
      <c r="K40" s="3183" t="s">
        <v>3097</v>
      </c>
      <c r="L40" s="3183">
        <v>48171.76</v>
      </c>
      <c r="M40" s="3183">
        <v>1083.03</v>
      </c>
      <c r="N40" s="3183">
        <v>0</v>
      </c>
      <c r="O40" s="3183" t="s">
        <v>3146</v>
      </c>
      <c r="P40" s="3183">
        <f t="shared" si="2"/>
        <v>5578</v>
      </c>
    </row>
    <row r="41" spans="1:16">
      <c r="A41" s="3183" t="s">
        <v>3162</v>
      </c>
      <c r="B41" s="3183" t="s">
        <v>3087</v>
      </c>
      <c r="C41" s="3183" t="s">
        <v>3088</v>
      </c>
      <c r="D41" s="3183" t="s">
        <v>3142</v>
      </c>
      <c r="E41" s="3183" t="s">
        <v>3162</v>
      </c>
      <c r="F41" s="3183" t="s">
        <v>3096</v>
      </c>
      <c r="G41" s="3183">
        <v>60201.4</v>
      </c>
      <c r="H41" s="3183">
        <v>167961.9</v>
      </c>
      <c r="I41" s="3183" t="s">
        <v>3163</v>
      </c>
      <c r="J41" s="3183" t="s">
        <v>3153</v>
      </c>
      <c r="K41" s="3183" t="s">
        <v>3164</v>
      </c>
      <c r="L41" s="3183">
        <v>18060</v>
      </c>
      <c r="M41" s="3183">
        <v>1075.24</v>
      </c>
      <c r="N41" s="3183">
        <v>0</v>
      </c>
      <c r="O41" s="3183" t="s">
        <v>3146</v>
      </c>
      <c r="P41" s="3183">
        <f t="shared" si="2"/>
        <v>3000</v>
      </c>
    </row>
    <row r="42" spans="1:16">
      <c r="A42" s="3183" t="s">
        <v>3094</v>
      </c>
      <c r="B42" s="3183" t="s">
        <v>3087</v>
      </c>
      <c r="C42" s="3183" t="s">
        <v>3088</v>
      </c>
      <c r="D42" s="3183" t="s">
        <v>3142</v>
      </c>
      <c r="E42" s="3183" t="s">
        <v>3094</v>
      </c>
      <c r="F42" s="3183" t="s">
        <v>3096</v>
      </c>
      <c r="G42" s="3183">
        <v>71822.94</v>
      </c>
      <c r="H42" s="3183">
        <v>385689.2</v>
      </c>
      <c r="I42" s="3183" t="s">
        <v>3103</v>
      </c>
      <c r="J42" s="3183" t="s">
        <v>3075</v>
      </c>
      <c r="K42" s="3183" t="s">
        <v>3097</v>
      </c>
      <c r="L42" s="3183">
        <v>40060.47</v>
      </c>
      <c r="M42" s="3183">
        <v>1038.67</v>
      </c>
      <c r="N42" s="3183">
        <v>0</v>
      </c>
      <c r="O42" s="3183" t="s">
        <v>3146</v>
      </c>
      <c r="P42" s="3183">
        <f t="shared" si="2"/>
        <v>5578</v>
      </c>
    </row>
    <row r="43" spans="1:16">
      <c r="A43" s="3183" t="s">
        <v>3194</v>
      </c>
      <c r="B43" s="3183" t="s">
        <v>3087</v>
      </c>
      <c r="C43" s="3183" t="s">
        <v>3088</v>
      </c>
      <c r="D43" s="3183" t="s">
        <v>3142</v>
      </c>
      <c r="E43" s="3183" t="s">
        <v>3194</v>
      </c>
      <c r="F43" s="3183" t="s">
        <v>3096</v>
      </c>
      <c r="G43" s="3183">
        <v>29507.75</v>
      </c>
      <c r="H43" s="3183">
        <v>184128.4</v>
      </c>
      <c r="I43" s="3183" t="s">
        <v>3198</v>
      </c>
      <c r="J43" s="3183" t="s">
        <v>3199</v>
      </c>
      <c r="K43" s="3183" t="s">
        <v>3200</v>
      </c>
      <c r="L43" s="3183">
        <v>19089.95</v>
      </c>
      <c r="M43" s="3183">
        <v>1036.76</v>
      </c>
      <c r="N43" s="3183">
        <v>0</v>
      </c>
      <c r="O43" s="3183" t="s">
        <v>3146</v>
      </c>
      <c r="P43" s="3183">
        <f t="shared" si="2"/>
        <v>6469</v>
      </c>
    </row>
    <row r="44" spans="1:16">
      <c r="A44" s="3183" t="s">
        <v>3182</v>
      </c>
      <c r="B44" s="3183" t="s">
        <v>3087</v>
      </c>
      <c r="C44" s="3183" t="s">
        <v>3088</v>
      </c>
      <c r="D44" s="3183" t="s">
        <v>3142</v>
      </c>
      <c r="E44" s="3183" t="s">
        <v>3182</v>
      </c>
      <c r="F44" s="3183" t="s">
        <v>3096</v>
      </c>
      <c r="G44" s="3183">
        <v>19317.259999999998</v>
      </c>
      <c r="H44" s="3183">
        <v>65678.679999999993</v>
      </c>
      <c r="I44" s="3183" t="s">
        <v>3183</v>
      </c>
      <c r="J44" s="3183" t="s">
        <v>3184</v>
      </c>
      <c r="K44" s="3183" t="s">
        <v>3185</v>
      </c>
      <c r="L44" s="3183">
        <v>6781.31</v>
      </c>
      <c r="M44" s="3183">
        <v>1032.5</v>
      </c>
      <c r="N44" s="3183">
        <v>0</v>
      </c>
      <c r="O44" s="3183" t="s">
        <v>3146</v>
      </c>
      <c r="P44" s="3183">
        <f t="shared" si="2"/>
        <v>3510</v>
      </c>
    </row>
    <row r="45" spans="1:16">
      <c r="A45" s="3183" t="s">
        <v>3182</v>
      </c>
      <c r="B45" s="3183" t="s">
        <v>3087</v>
      </c>
      <c r="C45" s="3183" t="s">
        <v>3088</v>
      </c>
      <c r="D45" s="3183" t="s">
        <v>3142</v>
      </c>
      <c r="E45" s="3183" t="s">
        <v>3182</v>
      </c>
      <c r="F45" s="3183" t="s">
        <v>3096</v>
      </c>
      <c r="G45" s="3183">
        <v>23208.85</v>
      </c>
      <c r="H45" s="3183">
        <v>78910.09</v>
      </c>
      <c r="I45" s="3183" t="s">
        <v>3183</v>
      </c>
      <c r="J45" s="3183" t="s">
        <v>3184</v>
      </c>
      <c r="K45" s="3183" t="s">
        <v>3185</v>
      </c>
      <c r="L45" s="3183">
        <v>8145.53</v>
      </c>
      <c r="M45" s="3183">
        <v>1032.25</v>
      </c>
      <c r="N45" s="3183">
        <v>0</v>
      </c>
      <c r="O45" s="3183" t="s">
        <v>3146</v>
      </c>
      <c r="P45" s="3183">
        <f t="shared" si="2"/>
        <v>3510</v>
      </c>
    </row>
    <row r="46" spans="1:16">
      <c r="A46" s="3183" t="s">
        <v>3094</v>
      </c>
      <c r="B46" s="3183" t="s">
        <v>3087</v>
      </c>
      <c r="C46" s="3183" t="s">
        <v>3088</v>
      </c>
      <c r="D46" s="3183" t="s">
        <v>3142</v>
      </c>
      <c r="E46" s="3183" t="s">
        <v>3094</v>
      </c>
      <c r="F46" s="3183" t="s">
        <v>3096</v>
      </c>
      <c r="G46" s="3183">
        <v>34539.54</v>
      </c>
      <c r="H46" s="3183">
        <v>201710.9</v>
      </c>
      <c r="I46" s="3183" t="s">
        <v>3100</v>
      </c>
      <c r="J46" s="3183" t="s">
        <v>3075</v>
      </c>
      <c r="K46" s="3183" t="s">
        <v>3097</v>
      </c>
      <c r="L46" s="3183">
        <v>19265.02</v>
      </c>
      <c r="M46" s="3183">
        <v>955.08</v>
      </c>
      <c r="N46" s="3183">
        <v>0</v>
      </c>
      <c r="O46" s="3183" t="s">
        <v>3146</v>
      </c>
      <c r="P46" s="3183">
        <f t="shared" si="2"/>
        <v>5578</v>
      </c>
    </row>
    <row r="47" spans="1:16">
      <c r="A47" s="3183" t="s">
        <v>3182</v>
      </c>
      <c r="B47" s="3183" t="s">
        <v>3087</v>
      </c>
      <c r="C47" s="3183" t="s">
        <v>3088</v>
      </c>
      <c r="D47" s="3183" t="s">
        <v>3142</v>
      </c>
      <c r="E47" s="3183" t="s">
        <v>3182</v>
      </c>
      <c r="F47" s="3183" t="s">
        <v>3096</v>
      </c>
      <c r="G47" s="3183">
        <v>20561.990000000002</v>
      </c>
      <c r="H47" s="3183">
        <v>76079.360000000001</v>
      </c>
      <c r="I47" s="3183" t="s">
        <v>3191</v>
      </c>
      <c r="J47" s="3183" t="s">
        <v>3184</v>
      </c>
      <c r="K47" s="3183" t="s">
        <v>3185</v>
      </c>
      <c r="L47" s="3183">
        <v>7216.56</v>
      </c>
      <c r="M47" s="3183">
        <v>948.55</v>
      </c>
      <c r="N47" s="3183">
        <v>0</v>
      </c>
      <c r="O47" s="3183" t="s">
        <v>3146</v>
      </c>
      <c r="P47" s="3183">
        <f t="shared" si="2"/>
        <v>3510</v>
      </c>
    </row>
    <row r="48" spans="1:16">
      <c r="A48" s="3183" t="s">
        <v>3086</v>
      </c>
      <c r="B48" s="3183" t="s">
        <v>3087</v>
      </c>
      <c r="C48" s="3183" t="s">
        <v>3088</v>
      </c>
      <c r="D48" s="3183" t="s">
        <v>3142</v>
      </c>
      <c r="E48" s="3183" t="s">
        <v>3086</v>
      </c>
      <c r="F48" s="3183" t="s">
        <v>3090</v>
      </c>
      <c r="G48" s="3183">
        <v>22009.71</v>
      </c>
      <c r="H48" s="3183">
        <v>70431.070000000007</v>
      </c>
      <c r="I48" s="3183" t="s">
        <v>3093</v>
      </c>
      <c r="J48" s="3183" t="s">
        <v>3091</v>
      </c>
      <c r="K48" s="3183" t="s">
        <v>3092</v>
      </c>
      <c r="L48" s="3183">
        <v>6604</v>
      </c>
      <c r="M48" s="3183">
        <v>937.64</v>
      </c>
      <c r="N48" s="3183">
        <v>0</v>
      </c>
      <c r="O48" s="3183" t="s">
        <v>3146</v>
      </c>
      <c r="P48" s="3183">
        <f t="shared" si="2"/>
        <v>3000</v>
      </c>
    </row>
    <row r="49" spans="1:16">
      <c r="A49" s="3183" t="s">
        <v>3086</v>
      </c>
      <c r="B49" s="3183" t="s">
        <v>3087</v>
      </c>
      <c r="C49" s="3183" t="s">
        <v>3088</v>
      </c>
      <c r="D49" s="3183" t="s">
        <v>3142</v>
      </c>
      <c r="E49" s="3183" t="s">
        <v>3086</v>
      </c>
      <c r="F49" s="3183" t="s">
        <v>3090</v>
      </c>
      <c r="G49" s="3183">
        <v>43050.65</v>
      </c>
      <c r="H49" s="3183">
        <v>137762.1</v>
      </c>
      <c r="I49" s="3183" t="s">
        <v>3093</v>
      </c>
      <c r="J49" s="3183" t="s">
        <v>3091</v>
      </c>
      <c r="K49" s="3183" t="s">
        <v>3092</v>
      </c>
      <c r="L49" s="3183">
        <v>12916</v>
      </c>
      <c r="M49" s="3183">
        <v>937.55</v>
      </c>
      <c r="N49" s="3183">
        <v>0</v>
      </c>
      <c r="O49" s="3183" t="s">
        <v>3146</v>
      </c>
      <c r="P49" s="3183">
        <f t="shared" si="2"/>
        <v>3000</v>
      </c>
    </row>
    <row r="50" spans="1:16">
      <c r="A50" s="3183" t="s">
        <v>3182</v>
      </c>
      <c r="B50" s="3183" t="s">
        <v>3087</v>
      </c>
      <c r="C50" s="3183" t="s">
        <v>3088</v>
      </c>
      <c r="D50" s="3183" t="s">
        <v>3142</v>
      </c>
      <c r="E50" s="3183" t="s">
        <v>3182</v>
      </c>
      <c r="F50" s="3183" t="s">
        <v>3096</v>
      </c>
      <c r="G50" s="3183">
        <v>19470.8</v>
      </c>
      <c r="H50" s="3183">
        <v>73989.039999999994</v>
      </c>
      <c r="I50" s="3183" t="s">
        <v>3127</v>
      </c>
      <c r="J50" s="3183" t="s">
        <v>3184</v>
      </c>
      <c r="K50" s="3183" t="s">
        <v>3185</v>
      </c>
      <c r="L50" s="3183">
        <v>6835.14</v>
      </c>
      <c r="M50" s="3183">
        <v>923.79</v>
      </c>
      <c r="N50" s="3183">
        <v>0</v>
      </c>
      <c r="O50" s="3183" t="s">
        <v>3146</v>
      </c>
      <c r="P50" s="3183">
        <f t="shared" si="2"/>
        <v>3510</v>
      </c>
    </row>
    <row r="51" spans="1:16">
      <c r="A51" s="3183" t="s">
        <v>3182</v>
      </c>
      <c r="B51" s="3183" t="s">
        <v>3087</v>
      </c>
      <c r="C51" s="3183" t="s">
        <v>3088</v>
      </c>
      <c r="D51" s="3183" t="s">
        <v>3142</v>
      </c>
      <c r="E51" s="3183" t="s">
        <v>3182</v>
      </c>
      <c r="F51" s="3183" t="s">
        <v>3096</v>
      </c>
      <c r="G51" s="3183">
        <v>19222.55</v>
      </c>
      <c r="H51" s="3183">
        <v>74967.94</v>
      </c>
      <c r="I51" s="3183" t="s">
        <v>3193</v>
      </c>
      <c r="J51" s="3183" t="s">
        <v>3184</v>
      </c>
      <c r="K51" s="3183" t="s">
        <v>3185</v>
      </c>
      <c r="L51" s="3183">
        <v>6748.56</v>
      </c>
      <c r="M51" s="3183">
        <v>900.19</v>
      </c>
      <c r="N51" s="3183">
        <v>0</v>
      </c>
      <c r="O51" s="3183" t="s">
        <v>3146</v>
      </c>
      <c r="P51" s="3183">
        <f t="shared" si="2"/>
        <v>3511</v>
      </c>
    </row>
    <row r="52" spans="1:16">
      <c r="A52" s="3183" t="s">
        <v>3116</v>
      </c>
      <c r="B52" s="3183" t="s">
        <v>3087</v>
      </c>
      <c r="C52" s="3183" t="s">
        <v>3088</v>
      </c>
      <c r="D52" s="3183" t="s">
        <v>3142</v>
      </c>
      <c r="E52" s="3183" t="s">
        <v>3116</v>
      </c>
      <c r="F52" s="3183" t="s">
        <v>3096</v>
      </c>
      <c r="G52" s="3183">
        <v>28857.599999999999</v>
      </c>
      <c r="H52" s="3183">
        <v>109658.9</v>
      </c>
      <c r="I52" s="3183" t="s">
        <v>3127</v>
      </c>
      <c r="J52" s="3183" t="s">
        <v>3184</v>
      </c>
      <c r="K52" s="3183" t="s">
        <v>3189</v>
      </c>
      <c r="L52" s="3183">
        <v>9523.7900000000009</v>
      </c>
      <c r="M52" s="3183">
        <v>868.49</v>
      </c>
      <c r="N52" s="3183">
        <v>0</v>
      </c>
      <c r="O52" s="3183" t="s">
        <v>3146</v>
      </c>
      <c r="P52" s="3183">
        <f t="shared" si="2"/>
        <v>3300</v>
      </c>
    </row>
    <row r="53" spans="1:16">
      <c r="A53" s="3183" t="s">
        <v>3086</v>
      </c>
      <c r="B53" s="3183" t="s">
        <v>3087</v>
      </c>
      <c r="C53" s="3183" t="s">
        <v>3088</v>
      </c>
      <c r="D53" s="3183" t="s">
        <v>3142</v>
      </c>
      <c r="E53" s="3183" t="s">
        <v>3086</v>
      </c>
      <c r="F53" s="3183" t="s">
        <v>3090</v>
      </c>
      <c r="G53" s="3183">
        <v>20249.009999999998</v>
      </c>
      <c r="H53" s="3183">
        <v>70871.53</v>
      </c>
      <c r="I53" s="3183" t="s">
        <v>3089</v>
      </c>
      <c r="J53" s="3183" t="s">
        <v>3091</v>
      </c>
      <c r="K53" s="3183" t="s">
        <v>3092</v>
      </c>
      <c r="L53" s="3183">
        <v>6074</v>
      </c>
      <c r="M53" s="3183">
        <v>857.03</v>
      </c>
      <c r="N53" s="3183">
        <v>0</v>
      </c>
      <c r="O53" s="3183" t="s">
        <v>3146</v>
      </c>
      <c r="P53" s="3183">
        <f t="shared" si="2"/>
        <v>3000</v>
      </c>
    </row>
    <row r="54" spans="1:16">
      <c r="A54" s="3183" t="s">
        <v>3086</v>
      </c>
      <c r="B54" s="3183" t="s">
        <v>3087</v>
      </c>
      <c r="C54" s="3183" t="s">
        <v>3088</v>
      </c>
      <c r="D54" s="3183" t="s">
        <v>3142</v>
      </c>
      <c r="E54" s="3183" t="s">
        <v>3086</v>
      </c>
      <c r="F54" s="3183" t="s">
        <v>3090</v>
      </c>
      <c r="G54" s="3183">
        <v>16556.330000000002</v>
      </c>
      <c r="H54" s="3183">
        <v>57947.16</v>
      </c>
      <c r="I54" s="3183" t="s">
        <v>3089</v>
      </c>
      <c r="J54" s="3183" t="s">
        <v>3091</v>
      </c>
      <c r="K54" s="3183" t="s">
        <v>3092</v>
      </c>
      <c r="L54" s="3183">
        <v>4966</v>
      </c>
      <c r="M54" s="3183">
        <v>856.99</v>
      </c>
      <c r="N54" s="3183">
        <v>0</v>
      </c>
      <c r="O54" s="3183" t="s">
        <v>3146</v>
      </c>
      <c r="P54" s="3183">
        <f t="shared" si="2"/>
        <v>2999</v>
      </c>
    </row>
    <row r="55" spans="1:16">
      <c r="A55" s="3183" t="s">
        <v>3116</v>
      </c>
      <c r="B55" s="3183" t="s">
        <v>3087</v>
      </c>
      <c r="C55" s="3183" t="s">
        <v>3088</v>
      </c>
      <c r="D55" s="3183" t="s">
        <v>3142</v>
      </c>
      <c r="E55" s="3183" t="s">
        <v>3116</v>
      </c>
      <c r="F55" s="3183" t="s">
        <v>3090</v>
      </c>
      <c r="G55" s="3183">
        <v>7296.5</v>
      </c>
      <c r="H55" s="3183">
        <v>23348.799999999999</v>
      </c>
      <c r="I55" s="3183" t="s">
        <v>3093</v>
      </c>
      <c r="J55" s="3183" t="s">
        <v>3169</v>
      </c>
      <c r="K55" s="3183" t="s">
        <v>3170</v>
      </c>
      <c r="L55" s="3183">
        <v>1971</v>
      </c>
      <c r="M55" s="3183">
        <v>844.14</v>
      </c>
      <c r="N55" s="3183">
        <v>0</v>
      </c>
      <c r="O55" s="3183" t="s">
        <v>3146</v>
      </c>
      <c r="P55" s="3183">
        <f t="shared" si="2"/>
        <v>2701</v>
      </c>
    </row>
    <row r="56" spans="1:16">
      <c r="A56" s="3183" t="s">
        <v>3116</v>
      </c>
      <c r="B56" s="3183" t="s">
        <v>3087</v>
      </c>
      <c r="C56" s="3183" t="s">
        <v>3088</v>
      </c>
      <c r="D56" s="3183" t="s">
        <v>3142</v>
      </c>
      <c r="E56" s="3183" t="s">
        <v>3116</v>
      </c>
      <c r="F56" s="3183" t="s">
        <v>3090</v>
      </c>
      <c r="G56" s="3183">
        <v>16194.41</v>
      </c>
      <c r="H56" s="3183">
        <v>51822.11</v>
      </c>
      <c r="I56" s="3183" t="s">
        <v>3093</v>
      </c>
      <c r="J56" s="3183" t="s">
        <v>3169</v>
      </c>
      <c r="K56" s="3183" t="s">
        <v>3170</v>
      </c>
      <c r="L56" s="3183">
        <v>4372.1899999999996</v>
      </c>
      <c r="M56" s="3183">
        <v>843.69</v>
      </c>
      <c r="N56" s="3183">
        <v>0</v>
      </c>
      <c r="O56" s="3183" t="s">
        <v>3146</v>
      </c>
      <c r="P56" s="3183">
        <f t="shared" si="2"/>
        <v>2700</v>
      </c>
    </row>
    <row r="57" spans="1:16">
      <c r="A57" s="3183" t="s">
        <v>3116</v>
      </c>
      <c r="B57" s="3183" t="s">
        <v>3087</v>
      </c>
      <c r="C57" s="3183" t="s">
        <v>3088</v>
      </c>
      <c r="D57" s="3183" t="s">
        <v>3142</v>
      </c>
      <c r="E57" s="3183" t="s">
        <v>3116</v>
      </c>
      <c r="F57" s="3183" t="s">
        <v>3090</v>
      </c>
      <c r="G57" s="3183">
        <v>1241.6400000000001</v>
      </c>
      <c r="H57" s="3183">
        <v>3973.25</v>
      </c>
      <c r="I57" s="3183" t="s">
        <v>3093</v>
      </c>
      <c r="J57" s="3183" t="s">
        <v>3169</v>
      </c>
      <c r="K57" s="3183" t="s">
        <v>3170</v>
      </c>
      <c r="L57" s="3183">
        <v>334.8</v>
      </c>
      <c r="M57" s="3183">
        <v>842.63</v>
      </c>
      <c r="N57" s="3183">
        <v>0</v>
      </c>
      <c r="O57" s="3183" t="s">
        <v>3146</v>
      </c>
      <c r="P57" s="3183">
        <f t="shared" si="2"/>
        <v>2696</v>
      </c>
    </row>
    <row r="58" spans="1:16">
      <c r="A58" s="3183" t="s">
        <v>3116</v>
      </c>
      <c r="B58" s="3183" t="s">
        <v>3087</v>
      </c>
      <c r="C58" s="3183" t="s">
        <v>3088</v>
      </c>
      <c r="D58" s="3183" t="s">
        <v>3142</v>
      </c>
      <c r="E58" s="3183" t="s">
        <v>3116</v>
      </c>
      <c r="F58" s="3183" t="s">
        <v>3090</v>
      </c>
      <c r="G58" s="3183">
        <v>400.79</v>
      </c>
      <c r="H58" s="3183">
        <v>1282.53</v>
      </c>
      <c r="I58" s="3183" t="s">
        <v>3093</v>
      </c>
      <c r="J58" s="3183" t="s">
        <v>3169</v>
      </c>
      <c r="K58" s="3183" t="s">
        <v>3170</v>
      </c>
      <c r="L58" s="3183">
        <v>108</v>
      </c>
      <c r="M58" s="3183">
        <v>842.09</v>
      </c>
      <c r="N58" s="3183">
        <v>0</v>
      </c>
      <c r="O58" s="3183" t="s">
        <v>3146</v>
      </c>
      <c r="P58" s="3183">
        <f t="shared" si="2"/>
        <v>2695</v>
      </c>
    </row>
    <row r="59" spans="1:16">
      <c r="A59" s="3183" t="s">
        <v>3116</v>
      </c>
      <c r="B59" s="3183" t="s">
        <v>3087</v>
      </c>
      <c r="C59" s="3183" t="s">
        <v>3105</v>
      </c>
      <c r="D59" s="3183" t="s">
        <v>3142</v>
      </c>
      <c r="E59" s="3183" t="s">
        <v>3116</v>
      </c>
      <c r="F59" s="3183" t="s">
        <v>3096</v>
      </c>
      <c r="G59" s="3183">
        <v>24276.84</v>
      </c>
      <c r="H59" s="3183">
        <v>97107.36</v>
      </c>
      <c r="I59" s="3183" t="s">
        <v>3188</v>
      </c>
      <c r="J59" s="3183" t="s">
        <v>3184</v>
      </c>
      <c r="K59" s="3183" t="s">
        <v>3189</v>
      </c>
      <c r="L59" s="3183">
        <v>8012.39</v>
      </c>
      <c r="M59" s="3183">
        <v>825.11</v>
      </c>
      <c r="N59" s="3183">
        <v>0</v>
      </c>
      <c r="O59" s="3183" t="s">
        <v>3151</v>
      </c>
      <c r="P59" s="3183">
        <f t="shared" si="2"/>
        <v>3300</v>
      </c>
    </row>
    <row r="60" spans="1:16">
      <c r="A60" s="3183" t="s">
        <v>3208</v>
      </c>
      <c r="B60" s="3183" t="s">
        <v>3087</v>
      </c>
      <c r="C60" s="3183" t="s">
        <v>3088</v>
      </c>
      <c r="D60" s="3183" t="s">
        <v>3142</v>
      </c>
      <c r="E60" s="3183" t="s">
        <v>3208</v>
      </c>
      <c r="F60" s="3183" t="s">
        <v>3096</v>
      </c>
      <c r="G60" s="3183">
        <v>32752.44</v>
      </c>
      <c r="H60" s="3183">
        <v>124459.3</v>
      </c>
      <c r="I60" s="3183" t="s">
        <v>3209</v>
      </c>
      <c r="J60" s="3183" t="s">
        <v>3210</v>
      </c>
      <c r="K60" s="3183" t="s">
        <v>3211</v>
      </c>
      <c r="L60" s="3183">
        <v>9187.2999999999993</v>
      </c>
      <c r="M60" s="3183">
        <v>738.17</v>
      </c>
      <c r="N60" s="3183">
        <v>0</v>
      </c>
      <c r="O60" s="3183" t="s">
        <v>3146</v>
      </c>
      <c r="P60" s="3183">
        <f t="shared" si="2"/>
        <v>2805</v>
      </c>
    </row>
    <row r="61" spans="1:16">
      <c r="A61" s="3183" t="s">
        <v>3094</v>
      </c>
      <c r="B61" s="3183" t="s">
        <v>3087</v>
      </c>
      <c r="C61" s="3183" t="s">
        <v>3088</v>
      </c>
      <c r="D61" s="3183" t="s">
        <v>3142</v>
      </c>
      <c r="E61" s="3183" t="s">
        <v>3094</v>
      </c>
      <c r="F61" s="3183" t="s">
        <v>3096</v>
      </c>
      <c r="G61" s="3183">
        <v>17517.099999999999</v>
      </c>
      <c r="H61" s="3183">
        <v>137334.1</v>
      </c>
      <c r="I61" s="3183" t="s">
        <v>3095</v>
      </c>
      <c r="J61" s="3183" t="s">
        <v>3075</v>
      </c>
      <c r="K61" s="3183" t="s">
        <v>3097</v>
      </c>
      <c r="L61" s="3183">
        <v>9770.4500000000007</v>
      </c>
      <c r="M61" s="3183">
        <v>711.44</v>
      </c>
      <c r="N61" s="3183">
        <v>0</v>
      </c>
      <c r="O61" s="3183" t="s">
        <v>3146</v>
      </c>
      <c r="P61" s="3183">
        <f t="shared" si="2"/>
        <v>5578</v>
      </c>
    </row>
    <row r="62" spans="1:16">
      <c r="A62" s="3183" t="s">
        <v>3116</v>
      </c>
      <c r="B62" s="3183" t="s">
        <v>3087</v>
      </c>
      <c r="C62" s="3183" t="s">
        <v>3088</v>
      </c>
      <c r="D62" s="3183" t="s">
        <v>3142</v>
      </c>
      <c r="E62" s="3183" t="s">
        <v>3116</v>
      </c>
      <c r="F62" s="3183" t="s">
        <v>3096</v>
      </c>
      <c r="G62" s="3183">
        <v>123944.1</v>
      </c>
      <c r="H62" s="3183">
        <v>557748.30000000005</v>
      </c>
      <c r="I62" s="3183" t="s">
        <v>3143</v>
      </c>
      <c r="J62" s="3183" t="s">
        <v>3144</v>
      </c>
      <c r="K62" s="3183" t="s">
        <v>3145</v>
      </c>
      <c r="L62" s="3183">
        <v>37369.910000000003</v>
      </c>
      <c r="M62" s="3183">
        <v>670</v>
      </c>
      <c r="N62" s="3183">
        <v>0</v>
      </c>
      <c r="O62" s="3183" t="s">
        <v>3146</v>
      </c>
      <c r="P62" s="3183">
        <f t="shared" si="2"/>
        <v>3015</v>
      </c>
    </row>
    <row r="63" spans="1:16">
      <c r="A63" s="3183" t="s">
        <v>3116</v>
      </c>
      <c r="B63" s="3183" t="s">
        <v>3087</v>
      </c>
      <c r="C63" s="3183" t="s">
        <v>3088</v>
      </c>
      <c r="D63" s="3183" t="s">
        <v>3142</v>
      </c>
      <c r="E63" s="3183" t="s">
        <v>3116</v>
      </c>
      <c r="F63" s="3183" t="s">
        <v>3096</v>
      </c>
      <c r="G63" s="3183">
        <v>94665.3</v>
      </c>
      <c r="H63" s="3183">
        <v>425993.8</v>
      </c>
      <c r="I63" s="3183" t="s">
        <v>3143</v>
      </c>
      <c r="J63" s="3183" t="s">
        <v>3144</v>
      </c>
      <c r="K63" s="3183" t="s">
        <v>3145</v>
      </c>
      <c r="L63" s="3183">
        <v>28542</v>
      </c>
      <c r="M63" s="3183">
        <v>670</v>
      </c>
      <c r="N63" s="3183">
        <v>0</v>
      </c>
      <c r="O63" s="3183" t="s">
        <v>3146</v>
      </c>
      <c r="P63" s="3183">
        <f t="shared" si="2"/>
        <v>3015</v>
      </c>
    </row>
    <row r="64" spans="1:16">
      <c r="A64" s="3183" t="s">
        <v>3116</v>
      </c>
      <c r="B64" s="3183" t="s">
        <v>3087</v>
      </c>
      <c r="C64" s="3183" t="s">
        <v>3088</v>
      </c>
      <c r="D64" s="3183" t="s">
        <v>3142</v>
      </c>
      <c r="E64" s="3183" t="s">
        <v>3116</v>
      </c>
      <c r="F64" s="3183" t="s">
        <v>3096</v>
      </c>
      <c r="G64" s="3183">
        <v>92846.59</v>
      </c>
      <c r="H64" s="3183">
        <v>417809.7</v>
      </c>
      <c r="I64" s="3183" t="s">
        <v>3143</v>
      </c>
      <c r="J64" s="3183" t="s">
        <v>3144</v>
      </c>
      <c r="K64" s="3183" t="s">
        <v>3145</v>
      </c>
      <c r="L64" s="3183">
        <v>27993.27</v>
      </c>
      <c r="M64" s="3183">
        <v>670</v>
      </c>
      <c r="N64" s="3183">
        <v>0</v>
      </c>
      <c r="O64" s="3183" t="s">
        <v>3146</v>
      </c>
      <c r="P64" s="3183">
        <f t="shared" si="2"/>
        <v>3015</v>
      </c>
    </row>
    <row r="65" spans="1:16">
      <c r="A65" s="3183" t="s">
        <v>3115</v>
      </c>
      <c r="B65" s="3183" t="s">
        <v>3087</v>
      </c>
      <c r="C65" s="3183" t="s">
        <v>3088</v>
      </c>
      <c r="D65" s="3183" t="s">
        <v>3142</v>
      </c>
      <c r="E65" s="3183" t="s">
        <v>3115</v>
      </c>
      <c r="F65" s="3183" t="s">
        <v>3096</v>
      </c>
      <c r="G65" s="3183">
        <v>118552.6</v>
      </c>
      <c r="H65" s="3183">
        <v>533486.9</v>
      </c>
      <c r="I65" s="3183" t="s">
        <v>3143</v>
      </c>
      <c r="J65" s="3183" t="s">
        <v>3153</v>
      </c>
      <c r="K65" s="3183" t="s">
        <v>3154</v>
      </c>
      <c r="L65" s="3183">
        <v>34676.839999999997</v>
      </c>
      <c r="M65" s="3183">
        <v>650</v>
      </c>
      <c r="N65" s="3183">
        <v>0</v>
      </c>
      <c r="O65" s="3183" t="s">
        <v>3146</v>
      </c>
      <c r="P65" s="3183">
        <f t="shared" si="2"/>
        <v>2925</v>
      </c>
    </row>
    <row r="66" spans="1:16">
      <c r="A66" s="3183" t="s">
        <v>3147</v>
      </c>
      <c r="B66" s="3183" t="s">
        <v>3087</v>
      </c>
      <c r="C66" s="3183" t="s">
        <v>3088</v>
      </c>
      <c r="D66" s="3183" t="s">
        <v>3142</v>
      </c>
      <c r="E66" s="3183" t="s">
        <v>3147</v>
      </c>
      <c r="F66" s="3183" t="s">
        <v>3096</v>
      </c>
      <c r="G66" s="3183">
        <v>58641.53</v>
      </c>
      <c r="H66" s="3183">
        <v>117283.1</v>
      </c>
      <c r="I66" s="3183" t="s">
        <v>3148</v>
      </c>
      <c r="J66" s="3183" t="s">
        <v>3149</v>
      </c>
      <c r="K66" s="3183" t="s">
        <v>3150</v>
      </c>
      <c r="L66" s="3183">
        <v>5717.6</v>
      </c>
      <c r="M66" s="3183">
        <v>487.5</v>
      </c>
      <c r="N66" s="3183">
        <v>0</v>
      </c>
      <c r="O66" s="3183" t="s">
        <v>3146</v>
      </c>
      <c r="P66" s="3183">
        <f t="shared" si="2"/>
        <v>975</v>
      </c>
    </row>
  </sheetData>
  <sortState ref="A2:P67">
    <sortCondition descending="1" ref="M1"/>
  </sortState>
  <phoneticPr fontId="23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9"/>
  <sheetViews>
    <sheetView workbookViewId="0">
      <selection activeCell="C10" sqref="C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3"/>
      <c r="C1" s="2105"/>
      <c r="D1" s="2105"/>
      <c r="E1" s="2105"/>
      <c r="F1" s="2105"/>
      <c r="G1" s="2105"/>
      <c r="H1" s="2105"/>
      <c r="I1" s="2105"/>
      <c r="J1" s="2105"/>
      <c r="K1" s="424">
        <f>MATCH(B1,'数据-取费表'!A6:A16,0)+5</f>
        <v>10</v>
      </c>
    </row>
    <row r="2" spans="1:31" s="2042" customFormat="1" ht="18" customHeight="1">
      <c r="A2" s="2102" t="s">
        <v>467</v>
      </c>
      <c r="B2" s="2106">
        <f ca="1">C36</f>
        <v>89921</v>
      </c>
      <c r="C2" s="2105"/>
      <c r="D2" s="2105"/>
      <c r="E2" s="2105"/>
      <c r="F2" s="2105"/>
      <c r="G2" s="2105"/>
      <c r="H2" s="2105"/>
      <c r="I2" s="2105"/>
      <c r="J2" s="2105"/>
      <c r="K2" s="2105"/>
    </row>
    <row r="3" spans="1:31" s="2042" customFormat="1" ht="18" customHeight="1">
      <c r="A3" s="2107" t="s">
        <v>1686</v>
      </c>
      <c r="B3" s="2108">
        <f ca="1">ROUND(B2*10000/IF(B1="",'数据-汇总表'!E3,INDIRECT("'数据-取费表'!K"&amp;$K$1)),0)</f>
        <v>4139</v>
      </c>
      <c r="C3" s="2105"/>
      <c r="D3" s="2105"/>
      <c r="E3" s="2105"/>
      <c r="F3" s="2105"/>
      <c r="G3" s="2105"/>
      <c r="H3" s="2105"/>
      <c r="I3" s="2105"/>
      <c r="J3" s="2105"/>
      <c r="K3" s="2105"/>
    </row>
    <row r="4" spans="1:31" s="2042" customFormat="1" ht="18" customHeight="1">
      <c r="A4" s="428" t="s">
        <v>468</v>
      </c>
      <c r="B4" s="429">
        <f ca="1">ROUND(B2*10000/IF(B1="",'数据-汇总表'!D3,INDIRECT("'数据-取费表'!R"&amp;$K$1)),0)</f>
        <v>21126</v>
      </c>
      <c r="C4" s="430"/>
      <c r="D4" s="424"/>
      <c r="E4" s="424"/>
      <c r="F4" s="424"/>
      <c r="G4" s="424"/>
      <c r="H4" s="424"/>
      <c r="I4" s="424"/>
      <c r="J4" s="424"/>
      <c r="K4" s="424"/>
    </row>
    <row r="5" spans="1:31" s="2042" customFormat="1" ht="18" customHeight="1" thickBot="1">
      <c r="A5" s="431"/>
      <c r="B5" s="432">
        <f ca="1">ROUND(B2/(IF(B1="",'数据-汇总表'!D3,INDIRECT("'数据-取费表'!R"&amp;$K$1))/666.67),0)</f>
        <v>1408</v>
      </c>
      <c r="C5" s="433" t="s">
        <v>469</v>
      </c>
      <c r="D5" s="424"/>
      <c r="E5" s="424"/>
      <c r="F5" s="424"/>
      <c r="G5" s="424"/>
      <c r="H5" s="424"/>
      <c r="I5" s="424"/>
      <c r="J5" s="424"/>
      <c r="K5" s="424"/>
    </row>
    <row r="6" spans="1:31" s="2112" customFormat="1" ht="16.5" customHeight="1">
      <c r="A6" s="2852" t="s">
        <v>1844</v>
      </c>
      <c r="B6" s="2853"/>
      <c r="C6" s="2854">
        <f ca="1">SUM(C10:K10)</f>
        <v>198610</v>
      </c>
      <c r="D6" s="2853"/>
      <c r="E6" s="2853"/>
      <c r="F6" s="2853"/>
      <c r="G6" s="2853"/>
      <c r="H6" s="2853"/>
      <c r="I6" s="2853"/>
      <c r="J6" s="2853"/>
      <c r="K6" s="2855"/>
      <c r="L6" s="3180"/>
    </row>
    <row r="7" spans="1:31" s="2114" customFormat="1" ht="15">
      <c r="A7" s="2856" t="s">
        <v>470</v>
      </c>
      <c r="B7" s="2857" t="s">
        <v>471</v>
      </c>
      <c r="C7" s="438" t="s">
        <v>3222</v>
      </c>
      <c r="D7" s="438" t="s">
        <v>3058</v>
      </c>
      <c r="E7" s="438" t="s">
        <v>3046</v>
      </c>
      <c r="F7" s="438" t="s">
        <v>3251</v>
      </c>
      <c r="G7" s="438"/>
      <c r="H7" s="438"/>
      <c r="I7" s="438"/>
      <c r="J7" s="438"/>
      <c r="K7" s="439"/>
      <c r="L7" s="2113">
        <f ca="1">结果表!G19/'剩余法-待开发'!C6</f>
        <v>0.40492925834550125</v>
      </c>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4" t="s">
        <v>1847</v>
      </c>
      <c r="B8" s="260" t="s">
        <v>472</v>
      </c>
      <c r="C8" s="2858">
        <f>'不动产比较法-住宅'!C49</f>
        <v>11070</v>
      </c>
      <c r="D8" s="2858">
        <f ca="1">不动产收益法!B3</f>
        <v>20788</v>
      </c>
      <c r="E8" s="2858">
        <f>'不动产比较法-车位'!B3</f>
        <v>4155</v>
      </c>
      <c r="F8" s="3211">
        <v>0</v>
      </c>
      <c r="G8" s="2858"/>
      <c r="H8" s="2858"/>
      <c r="I8" s="2858"/>
      <c r="J8" s="2858"/>
      <c r="K8" s="2859"/>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4" t="s">
        <v>1848</v>
      </c>
      <c r="B9" s="260" t="s">
        <v>473</v>
      </c>
      <c r="C9" s="443">
        <f>SUMIF('数据-汇总表'!$C19:$C33,'剩余法-待开发'!C7,'数据-汇总表'!$E19:$E33)</f>
        <v>154834</v>
      </c>
      <c r="D9" s="443">
        <f>SUMIF('数据-汇总表'!$C19:$C33,'剩余法-待开发'!D7,'数据-汇总表'!$E19:$E33)</f>
        <v>2119</v>
      </c>
      <c r="E9" s="443">
        <f>SUMIF('数据-汇总表'!$C19:$C33,'剩余法-待开发'!E7,'数据-汇总表'!$E19:$E33)</f>
        <v>54885</v>
      </c>
      <c r="F9" s="443">
        <f>SUMIF('数据-汇总表'!$C19:$C33,'剩余法-待开发'!F7,'数据-汇总表'!$E19:$E33)</f>
        <v>3000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0" t="s">
        <v>1849</v>
      </c>
      <c r="B10" s="2846" t="s">
        <v>474</v>
      </c>
      <c r="C10" s="3053">
        <f>'不动产比较法-住宅'!B2</f>
        <v>171401</v>
      </c>
      <c r="D10" s="3053">
        <f ca="1">不动产收益法!B2</f>
        <v>4405</v>
      </c>
      <c r="E10" s="3053">
        <f>'不动产比较法-车位'!B2</f>
        <v>22804</v>
      </c>
      <c r="F10" s="3212">
        <v>0</v>
      </c>
      <c r="G10" s="2861"/>
      <c r="H10" s="2861"/>
      <c r="I10" s="2861"/>
      <c r="J10" s="2861"/>
      <c r="K10" s="2862"/>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3" t="s">
        <v>1845</v>
      </c>
      <c r="B11" s="2853"/>
      <c r="C11" s="2853"/>
      <c r="D11" s="2853"/>
      <c r="E11" s="2853"/>
      <c r="F11" s="2853"/>
      <c r="G11" s="2853"/>
      <c r="H11" s="2853"/>
      <c r="I11" s="2853"/>
      <c r="J11" s="2853"/>
      <c r="K11" s="2855"/>
    </row>
    <row r="12" spans="1:31" s="2086" customFormat="1" ht="13.5" customHeight="1">
      <c r="A12" s="2864" t="s">
        <v>470</v>
      </c>
      <c r="B12" s="2836" t="s">
        <v>471</v>
      </c>
      <c r="C12" s="2865" t="s">
        <v>475</v>
      </c>
      <c r="D12" s="2832" t="s">
        <v>476</v>
      </c>
      <c r="E12" s="2832" t="s">
        <v>477</v>
      </c>
      <c r="F12" s="2832" t="s">
        <v>478</v>
      </c>
      <c r="G12" s="2836"/>
      <c r="H12" s="2837"/>
      <c r="I12" s="2837"/>
      <c r="J12" s="2837"/>
      <c r="K12" s="2838"/>
    </row>
    <row r="13" spans="1:31" s="2117" customFormat="1" ht="13.5" customHeight="1">
      <c r="A13" s="2866" t="s">
        <v>1850</v>
      </c>
      <c r="B13" s="2867" t="s">
        <v>479</v>
      </c>
      <c r="C13" s="452">
        <f ca="1">IF(B1="",'数据-取费表'!P16,INDIRECT("'数据-取费表'!p"&amp;$K$1)+INDIRECT("'数据-取费表'!t"&amp;$K$1))</f>
        <v>50748</v>
      </c>
      <c r="D13" s="2868"/>
      <c r="E13" s="2869"/>
      <c r="F13" s="2870"/>
      <c r="G13" s="2836"/>
      <c r="H13" s="2837"/>
      <c r="I13" s="2837"/>
      <c r="J13" s="2837"/>
      <c r="K13" s="2838"/>
    </row>
    <row r="14" spans="1:31" s="2117" customFormat="1" ht="13.5" customHeight="1">
      <c r="A14" s="2866" t="s">
        <v>1851</v>
      </c>
      <c r="B14" s="2867" t="s">
        <v>480</v>
      </c>
      <c r="C14" s="52">
        <f ca="1">ROUND(C13*F14,0)</f>
        <v>1522</v>
      </c>
      <c r="D14" s="2868"/>
      <c r="E14" s="2869"/>
      <c r="F14" s="2871">
        <f>'数据-取费表'!B33</f>
        <v>0.03</v>
      </c>
      <c r="G14" s="2836" t="s">
        <v>481</v>
      </c>
      <c r="H14" s="2837"/>
      <c r="I14" s="2837"/>
      <c r="J14" s="2837"/>
      <c r="K14" s="2838"/>
    </row>
    <row r="15" spans="1:31" s="2117" customFormat="1" ht="13.5" customHeight="1">
      <c r="A15" s="2866" t="s">
        <v>1852</v>
      </c>
      <c r="B15" s="2867" t="s">
        <v>482</v>
      </c>
      <c r="C15" s="52">
        <f ca="1">ROUND(IF(B1="",SUMIF('数据-取费表'!C:C,"住宅",'数据-取费表'!P:P)*F15,IF(INDIRECT("'数据-取费表'!c"&amp;$K$1)="住宅",INDIRECT("'数据-取费表'!P"&amp;$K$1)*F15,0)),0)</f>
        <v>1089</v>
      </c>
      <c r="D15" s="2868"/>
      <c r="E15" s="2869"/>
      <c r="F15" s="2871">
        <f>'数据-取费表'!B34</f>
        <v>0.03</v>
      </c>
      <c r="G15" s="2836" t="s">
        <v>483</v>
      </c>
      <c r="H15" s="2837"/>
      <c r="I15" s="2837"/>
      <c r="J15" s="2837"/>
      <c r="K15" s="2838"/>
    </row>
    <row r="16" spans="1:31" s="2118" customFormat="1" ht="13.5" customHeight="1">
      <c r="A16" s="2866" t="s">
        <v>1853</v>
      </c>
      <c r="B16" s="2867" t="s">
        <v>484</v>
      </c>
      <c r="C16" s="52">
        <f ca="1">ROUND(D16*E16/10000,0)</f>
        <v>4345</v>
      </c>
      <c r="D16" s="2868">
        <f ca="1">IF(B1="",'数据-汇总表'!E3,INDIRECT("'数据-取费表'!K"&amp;$K$1)+INDIRECT("'数据-取费表'!S"&amp;$K$1))</f>
        <v>217232</v>
      </c>
      <c r="E16" s="52">
        <f>'数据-取费表'!B35</f>
        <v>200</v>
      </c>
      <c r="F16" s="2871"/>
      <c r="G16" s="2836"/>
      <c r="H16" s="2837"/>
      <c r="I16" s="2837"/>
      <c r="J16" s="2837"/>
      <c r="K16" s="2838"/>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6" t="s">
        <v>1854</v>
      </c>
      <c r="B17" s="2867" t="s">
        <v>485</v>
      </c>
      <c r="C17" s="2872">
        <f ca="1">ROUND(C13*F17,0)</f>
        <v>761</v>
      </c>
      <c r="D17" s="477"/>
      <c r="E17" s="2872"/>
      <c r="F17" s="2873">
        <f>'数据-取费表'!B36</f>
        <v>1.4999999999999999E-2</v>
      </c>
      <c r="G17" s="260" t="s">
        <v>486</v>
      </c>
      <c r="H17" s="2839"/>
      <c r="I17" s="2839"/>
      <c r="J17" s="2839"/>
      <c r="K17" s="278"/>
    </row>
    <row r="18" spans="1:14" s="2117" customFormat="1" ht="13.5" customHeight="1">
      <c r="A18" s="2874" t="s">
        <v>1855</v>
      </c>
      <c r="B18" s="2875" t="s">
        <v>487</v>
      </c>
      <c r="C18" s="2876">
        <f ca="1">SUM(C13:C17)</f>
        <v>58465</v>
      </c>
      <c r="D18" s="2877"/>
      <c r="E18" s="470"/>
      <c r="F18" s="470"/>
      <c r="G18" s="2840" t="s">
        <v>2434</v>
      </c>
      <c r="H18" s="2841"/>
      <c r="I18" s="2841"/>
      <c r="J18" s="2841"/>
      <c r="K18" s="2842"/>
    </row>
    <row r="19" spans="1:14" s="2117" customFormat="1" ht="13.5" customHeight="1">
      <c r="A19" s="2874" t="s">
        <v>1856</v>
      </c>
      <c r="B19" s="2875" t="s">
        <v>488</v>
      </c>
      <c r="C19" s="2832">
        <f ca="1">ROUND(D19*E19/10000,0)</f>
        <v>0</v>
      </c>
      <c r="D19" s="2878">
        <f ca="1">D16</f>
        <v>217232</v>
      </c>
      <c r="E19" s="2832">
        <f>'数据-取费表'!B32</f>
        <v>0</v>
      </c>
      <c r="F19" s="470"/>
      <c r="G19" s="2836" t="s">
        <v>489</v>
      </c>
      <c r="H19" s="2837"/>
      <c r="I19" s="2841"/>
      <c r="J19" s="2841"/>
      <c r="K19" s="2842"/>
    </row>
    <row r="20" spans="1:14" s="2117" customFormat="1" ht="13.5" customHeight="1">
      <c r="A20" s="2874" t="s">
        <v>1857</v>
      </c>
      <c r="B20" s="2875" t="s">
        <v>490</v>
      </c>
      <c r="C20" s="2832">
        <f ca="1">C21+C22-IF(B1="",'数据-取费表'!B29,IF(G20="已全部缴纳",C21+C22,H20))</f>
        <v>2213</v>
      </c>
      <c r="D20" s="2878"/>
      <c r="E20" s="2832"/>
      <c r="F20" s="2879"/>
      <c r="G20" s="3113"/>
      <c r="H20" s="2834"/>
      <c r="I20" s="2835" t="s">
        <v>2659</v>
      </c>
      <c r="J20" s="2841"/>
      <c r="K20" s="2842"/>
    </row>
    <row r="21" spans="1:14" s="2117" customFormat="1" ht="13.5" customHeight="1">
      <c r="A21" s="2866" t="s">
        <v>1858</v>
      </c>
      <c r="B21" s="2867" t="s">
        <v>491</v>
      </c>
      <c r="C21" s="52">
        <f ca="1">ROUND(D21*E21/10000,0)</f>
        <v>1263</v>
      </c>
      <c r="D21" s="2868">
        <f ca="1">IF(B1="",'数据-汇总表'!E5,IF(INDIRECT("'数据-取费表'!c"&amp;$K$1)="住宅",INDIRECT("'数据-取费表'!k"&amp;$K$1),0))</f>
        <v>157834</v>
      </c>
      <c r="E21" s="52">
        <f>'数据-取费表'!B27</f>
        <v>80</v>
      </c>
      <c r="F21" s="2871"/>
      <c r="G21" s="25"/>
      <c r="H21" s="50"/>
      <c r="I21" s="50"/>
      <c r="J21" s="50"/>
      <c r="K21" s="2843"/>
    </row>
    <row r="22" spans="1:14" s="2117" customFormat="1" ht="13.5" customHeight="1">
      <c r="A22" s="2866" t="s">
        <v>1859</v>
      </c>
      <c r="B22" s="2867" t="s">
        <v>492</v>
      </c>
      <c r="C22" s="52">
        <f ca="1">ROUND(D22*E22/10000,0)</f>
        <v>950</v>
      </c>
      <c r="D22" s="2868">
        <f ca="1">IF(B1="",'数据-汇总表'!E6,IF(INDIRECT("'数据-取费表'!c"&amp;$K$1)="住宅",INDIRECT("'数据-取费表'!s"&amp;$K$1),INDIRECT("'数据-取费表'!k"&amp;$K$1)+INDIRECT("'数据-取费表'!s"&amp;$K$1)))</f>
        <v>59398</v>
      </c>
      <c r="E22" s="52">
        <f>'数据-取费表'!B28</f>
        <v>160</v>
      </c>
      <c r="F22" s="2871"/>
      <c r="G22" s="25"/>
      <c r="H22" s="50"/>
      <c r="I22" s="50"/>
      <c r="J22" s="50"/>
      <c r="K22" s="2843"/>
    </row>
    <row r="23" spans="1:14" s="2117" customFormat="1" ht="13.5" customHeight="1">
      <c r="A23" s="2874" t="s">
        <v>1860</v>
      </c>
      <c r="B23" s="3059" t="s">
        <v>2842</v>
      </c>
      <c r="C23" s="2876">
        <f ca="1">ROUND((C18+C19+C20)*F23,0)</f>
        <v>910</v>
      </c>
      <c r="D23" s="470"/>
      <c r="E23" s="470"/>
      <c r="F23" s="2880">
        <f>'数据-取费表'!B37</f>
        <v>1.4999999999999999E-2</v>
      </c>
      <c r="G23" s="2836" t="s">
        <v>2435</v>
      </c>
      <c r="H23" s="2837"/>
      <c r="I23" s="2837"/>
      <c r="J23" s="2837"/>
      <c r="K23" s="2838"/>
      <c r="L23" s="2119"/>
      <c r="M23" s="2119"/>
      <c r="N23" s="2119"/>
    </row>
    <row r="24" spans="1:14" s="2117" customFormat="1" ht="13.5" customHeight="1">
      <c r="A24" s="2874" t="s">
        <v>1861</v>
      </c>
      <c r="B24" s="3059" t="s">
        <v>2845</v>
      </c>
      <c r="C24" s="2876">
        <f ca="1">ROUND(C6*F24,0)</f>
        <v>2979</v>
      </c>
      <c r="D24" s="477"/>
      <c r="E24" s="475"/>
      <c r="F24" s="2880">
        <f>'数据-取费表'!B38</f>
        <v>1.4999999999999999E-2</v>
      </c>
      <c r="G24" s="2845" t="s">
        <v>499</v>
      </c>
      <c r="H24" s="2839"/>
      <c r="I24" s="2839"/>
      <c r="J24" s="2839"/>
      <c r="K24" s="278"/>
      <c r="L24" s="2119"/>
      <c r="M24" s="2119"/>
      <c r="N24" s="2119"/>
    </row>
    <row r="25" spans="1:14" s="2120" customFormat="1" ht="13.5" customHeight="1">
      <c r="A25" s="2874" t="s">
        <v>1862</v>
      </c>
      <c r="B25" s="3059" t="s">
        <v>2843</v>
      </c>
      <c r="C25" s="469">
        <f>ROUND(F25/(1+'数据-取费表'!C42),4)</f>
        <v>2.9000000000000001E-2</v>
      </c>
      <c r="D25" s="464" t="s">
        <v>2837</v>
      </c>
      <c r="E25" s="471"/>
      <c r="F25" s="2880">
        <f>'数据-取费表'!B48+'数据-取费表'!B49</f>
        <v>3.0499999999999999E-2</v>
      </c>
      <c r="G25" s="2844" t="s">
        <v>2292</v>
      </c>
      <c r="H25" s="2837"/>
      <c r="I25" s="2837"/>
      <c r="J25" s="2837"/>
      <c r="K25" s="2838"/>
    </row>
    <row r="26" spans="1:14" s="2119" customFormat="1" ht="13.5" customHeight="1">
      <c r="A26" s="2874" t="s">
        <v>1863</v>
      </c>
      <c r="B26" s="3060" t="s">
        <v>2844</v>
      </c>
      <c r="C26" s="2881">
        <f ca="1">C28</f>
        <v>3067</v>
      </c>
      <c r="D26" s="469">
        <f ca="1">C27</f>
        <v>0.10009999999999999</v>
      </c>
      <c r="E26" s="471" t="s">
        <v>495</v>
      </c>
      <c r="F26" s="473">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21" customFormat="1" ht="13.5" customHeight="1">
      <c r="A27" s="804" t="s">
        <v>1858</v>
      </c>
      <c r="B27" s="2882" t="s">
        <v>496</v>
      </c>
      <c r="C27" s="2883">
        <f ca="1">ROUND(IF('数据-取费表'!B22&lt;=1,(1+C25)*F26*'数据-取费表'!B24,(1+C25)*(POWER((1+F26),'数据-取费表'!B24)-1)),4)</f>
        <v>0.10009999999999999</v>
      </c>
      <c r="D27" s="474"/>
      <c r="E27" s="475"/>
      <c r="F27" s="476"/>
      <c r="G27" s="2594" t="str">
        <f>IF('数据-取费表'!B22&lt;=1,"（1+取得税费率/(1+5%)）×年利率×建设期","（1+取得税费率）/(1+5%)×((1+年利率)^建设期-1)")</f>
        <v>（1+取得税费率）/(1+5%)×((1+年利率)^建设期-1)</v>
      </c>
      <c r="H27" s="2839"/>
      <c r="I27" s="2839"/>
      <c r="J27" s="2839"/>
      <c r="K27" s="278"/>
    </row>
    <row r="28" spans="1:14" s="2121" customFormat="1" ht="13.5" customHeight="1">
      <c r="A28" s="804" t="s">
        <v>1859</v>
      </c>
      <c r="B28" s="2882" t="s">
        <v>2846</v>
      </c>
      <c r="C28" s="2884">
        <f ca="1">ROUND(IF('数据-取费表'!B22&lt;=1,(C18+C19+C20+C23+C24)*F26*'数据-取费表'!B24/2,(C18+C19+C20+C23+C24)*(POWER((1+F26),'数据-取费表'!B24/2)-1)),0)</f>
        <v>3067</v>
      </c>
      <c r="D28" s="474"/>
      <c r="E28" s="475"/>
      <c r="F28" s="476"/>
      <c r="G28" s="2594" t="str">
        <f>IF('数据-取费表'!B22&lt;=1,"（1）-（4）项×年利率×建设期÷2","（1）-（4）项×((1+年利率)^(建设期÷2)-1)")</f>
        <v>（1）-（4）项×((1+年利率)^(建设期÷2)-1)</v>
      </c>
      <c r="H28" s="2839"/>
      <c r="I28" s="2839"/>
      <c r="J28" s="2839"/>
      <c r="K28" s="278"/>
    </row>
    <row r="29" spans="1:14" s="2121" customFormat="1" ht="13.5" customHeight="1">
      <c r="A29" s="2885" t="s">
        <v>1864</v>
      </c>
      <c r="B29" s="2875" t="s">
        <v>497</v>
      </c>
      <c r="C29" s="2876">
        <f ca="1">ROUND(C6*F29/(1+'数据-取费表'!C42),0)</f>
        <v>10593</v>
      </c>
      <c r="D29" s="470"/>
      <c r="E29" s="470"/>
      <c r="F29" s="3061">
        <f>'数据-取费表'!B41</f>
        <v>5.6000000000000001E-2</v>
      </c>
      <c r="G29" s="2845" t="s">
        <v>498</v>
      </c>
      <c r="H29" s="2837"/>
      <c r="I29" s="2837"/>
      <c r="J29" s="2837"/>
      <c r="K29" s="2838"/>
    </row>
    <row r="30" spans="1:14" s="2122" customFormat="1" ht="13.5" customHeight="1">
      <c r="A30" s="1635" t="s">
        <v>1865</v>
      </c>
      <c r="B30" s="2886" t="s">
        <v>500</v>
      </c>
      <c r="C30" s="2881">
        <f ca="1">C31</f>
        <v>78227</v>
      </c>
      <c r="D30" s="479">
        <f ca="1">C32</f>
        <v>0.12909999999999999</v>
      </c>
      <c r="E30" s="471" t="s">
        <v>495</v>
      </c>
      <c r="F30" s="473"/>
      <c r="G30" s="2836" t="s">
        <v>501</v>
      </c>
      <c r="H30" s="2837"/>
      <c r="I30" s="2837"/>
      <c r="J30" s="2837"/>
      <c r="K30" s="2838"/>
    </row>
    <row r="31" spans="1:14" s="2121" customFormat="1" ht="13.5" customHeight="1">
      <c r="A31" s="804" t="s">
        <v>1858</v>
      </c>
      <c r="B31" s="2882"/>
      <c r="C31" s="452">
        <f ca="1">C18+C19+C20+C23+C24+C26+C29</f>
        <v>78227</v>
      </c>
      <c r="D31" s="474"/>
      <c r="E31" s="475"/>
      <c r="F31" s="476"/>
      <c r="G31" s="260"/>
      <c r="H31" s="2839"/>
      <c r="I31" s="2839"/>
      <c r="J31" s="2839"/>
      <c r="K31" s="278"/>
    </row>
    <row r="32" spans="1:14" s="2121" customFormat="1" ht="13.5" customHeight="1">
      <c r="A32" s="804" t="s">
        <v>1859</v>
      </c>
      <c r="B32" s="2882"/>
      <c r="C32" s="52">
        <f ca="1">ROUND(C25+D26,4)</f>
        <v>0.12909999999999999</v>
      </c>
      <c r="D32" s="474"/>
      <c r="E32" s="475"/>
      <c r="F32" s="476"/>
      <c r="G32" s="260"/>
      <c r="H32" s="2839"/>
      <c r="I32" s="2839"/>
      <c r="J32" s="2839"/>
      <c r="K32" s="278"/>
    </row>
    <row r="33" spans="1:11" s="2123" customFormat="1" ht="13.5" customHeight="1">
      <c r="A33" s="3058" t="s">
        <v>2841</v>
      </c>
      <c r="B33" s="3056" t="s">
        <v>2839</v>
      </c>
      <c r="C33" s="480">
        <f ca="1">C35</f>
        <v>7748</v>
      </c>
      <c r="D33" s="469">
        <f ca="1">C34</f>
        <v>0.1235</v>
      </c>
      <c r="E33" s="471" t="s">
        <v>495</v>
      </c>
      <c r="F33" s="481">
        <f ca="1">IF(B1="",'数据-取费表'!Q16,INDIRECT("'数据-取费表'!q"&amp;$K$1))</f>
        <v>0.12</v>
      </c>
      <c r="G33" s="2840"/>
      <c r="H33" s="2841"/>
      <c r="I33" s="2841"/>
      <c r="J33" s="2841"/>
      <c r="K33" s="2842"/>
    </row>
    <row r="34" spans="1:11" s="2124" customFormat="1" ht="13.5" customHeight="1">
      <c r="A34" s="377" t="s">
        <v>1858</v>
      </c>
      <c r="B34" s="2887" t="s">
        <v>502</v>
      </c>
      <c r="C34" s="474">
        <f ca="1">ROUND((1+C25)*F33,4)</f>
        <v>0.1235</v>
      </c>
      <c r="D34" s="474"/>
      <c r="E34" s="475"/>
      <c r="F34" s="482"/>
      <c r="G34" s="260" t="s">
        <v>2293</v>
      </c>
      <c r="H34" s="2839"/>
      <c r="I34" s="2839"/>
      <c r="J34" s="2839"/>
      <c r="K34" s="278"/>
    </row>
    <row r="35" spans="1:11" s="2124" customFormat="1" ht="13.5" customHeight="1" thickBot="1">
      <c r="A35" s="1636" t="s">
        <v>1859</v>
      </c>
      <c r="B35" s="3057" t="s">
        <v>2847</v>
      </c>
      <c r="C35" s="1628">
        <f ca="1">ROUND((C18+C19+C20+C23+C24)*F33,0)</f>
        <v>7748</v>
      </c>
      <c r="D35" s="1629"/>
      <c r="E35" s="2888"/>
      <c r="F35" s="1630"/>
      <c r="G35" s="2846"/>
      <c r="H35" s="2847"/>
      <c r="I35" s="2847"/>
      <c r="J35" s="2847"/>
      <c r="K35" s="2848"/>
    </row>
    <row r="36" spans="1:11" s="2086" customFormat="1" ht="13.5" customHeight="1" thickBot="1">
      <c r="A36" s="283" t="s">
        <v>1846</v>
      </c>
      <c r="B36" s="2850"/>
      <c r="C36" s="2889">
        <f ca="1">ROUND((C6-C30-C33)/(1+D30+D33),0)</f>
        <v>89921</v>
      </c>
      <c r="D36" s="2850"/>
      <c r="E36" s="2850"/>
      <c r="F36" s="2850"/>
      <c r="G36" s="2849" t="s">
        <v>2848</v>
      </c>
      <c r="H36" s="2850"/>
      <c r="I36" s="2850"/>
      <c r="J36" s="2850"/>
      <c r="K36" s="2851"/>
    </row>
    <row r="38" spans="1:11" ht="12.75" customHeight="1"/>
    <row r="39" spans="1:11">
      <c r="B39" s="2115" t="s">
        <v>3072</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3" t="s">
        <v>466</v>
      </c>
      <c r="B1" s="2833"/>
      <c r="C1" s="2105"/>
      <c r="D1" s="2105"/>
      <c r="E1" s="2105"/>
      <c r="F1" s="2105"/>
      <c r="G1" s="2105"/>
      <c r="H1" s="2105"/>
      <c r="I1" s="2105"/>
      <c r="J1" s="2105"/>
      <c r="K1" s="424">
        <f>MATCH(B1,'数据-取费表'!A6:A16,0)+5</f>
        <v>10</v>
      </c>
    </row>
    <row r="2" spans="1:41" s="2042" customFormat="1" ht="18" customHeight="1">
      <c r="A2" s="425" t="s">
        <v>467</v>
      </c>
      <c r="B2" s="426">
        <f ca="1">C32</f>
        <v>0</v>
      </c>
      <c r="C2" s="2105"/>
      <c r="D2" s="2105"/>
      <c r="E2" s="2105"/>
      <c r="F2" s="2105"/>
      <c r="G2" s="2105"/>
      <c r="H2" s="2105"/>
      <c r="I2" s="2105"/>
      <c r="J2" s="2105"/>
      <c r="K2" s="2105"/>
    </row>
    <row r="3" spans="1:41" s="2042" customFormat="1" ht="18" customHeight="1">
      <c r="A3" s="1379" t="s">
        <v>1686</v>
      </c>
      <c r="B3" s="427">
        <f ca="1">ROUND(B2*10000/IF(B1="",'数据-汇总表'!E3,INDIRECT("'数据-取费表'!K"&amp;$K$1)),0)</f>
        <v>0</v>
      </c>
      <c r="C3" s="2105"/>
      <c r="D3" s="2105"/>
      <c r="E3" s="2105"/>
      <c r="F3" s="2105"/>
      <c r="G3" s="2105"/>
      <c r="H3" s="2105"/>
      <c r="I3" s="2105"/>
      <c r="J3" s="2105"/>
      <c r="K3" s="2105"/>
    </row>
    <row r="4" spans="1:41" s="2042" customFormat="1" ht="18" customHeight="1">
      <c r="A4" s="428" t="s">
        <v>468</v>
      </c>
      <c r="B4" s="429">
        <f ca="1">ROUND(B2*10000/IF(B1="",'数据-汇总表'!D3,INDIRECT("'数据-取费表'!R"&amp;$K$1)),0)</f>
        <v>0</v>
      </c>
      <c r="C4" s="2062"/>
      <c r="D4" s="2105"/>
      <c r="E4" s="2105"/>
      <c r="F4" s="2105"/>
      <c r="G4" s="2105"/>
      <c r="H4" s="2105"/>
      <c r="I4" s="2105"/>
      <c r="J4" s="2105"/>
      <c r="K4" s="2105"/>
    </row>
    <row r="5" spans="1:41" s="2042" customFormat="1" ht="18" customHeight="1" thickBot="1">
      <c r="A5" s="431"/>
      <c r="B5" s="432">
        <f ca="1">ROUND(B2/(IF(B1="",'数据-汇总表'!D3,INDIRECT("'数据-取费表'!R"&amp;$K$1))/666.67),0)</f>
        <v>0</v>
      </c>
      <c r="C5" s="433" t="s">
        <v>469</v>
      </c>
      <c r="D5" s="2105"/>
      <c r="E5" s="2105"/>
      <c r="F5" s="2105"/>
      <c r="G5" s="2105"/>
      <c r="H5" s="2105"/>
      <c r="I5" s="2105"/>
      <c r="J5" s="2105"/>
      <c r="K5" s="2105"/>
    </row>
    <row r="6" spans="1:41" s="2112" customFormat="1" ht="16.5" customHeight="1">
      <c r="A6" s="434" t="s">
        <v>2660</v>
      </c>
      <c r="B6" s="435"/>
      <c r="C6" s="1623">
        <f>SUM(C10:K10)</f>
        <v>0</v>
      </c>
      <c r="D6" s="2110"/>
      <c r="E6" s="2110"/>
      <c r="F6" s="2110"/>
      <c r="G6" s="2110"/>
      <c r="H6" s="2110"/>
      <c r="I6" s="2110"/>
      <c r="J6" s="2110"/>
      <c r="K6" s="2111"/>
    </row>
    <row r="7" spans="1:41" s="2114" customFormat="1" ht="15">
      <c r="A7" s="436" t="s">
        <v>470</v>
      </c>
      <c r="B7" s="437" t="s">
        <v>471</v>
      </c>
      <c r="C7" s="438"/>
      <c r="D7" s="438"/>
      <c r="E7" s="438"/>
      <c r="F7" s="438"/>
      <c r="G7" s="438"/>
      <c r="H7" s="438"/>
      <c r="I7" s="438"/>
      <c r="J7" s="438"/>
      <c r="K7" s="439"/>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40" t="s">
        <v>472</v>
      </c>
      <c r="C8" s="441"/>
      <c r="D8" s="441"/>
      <c r="E8" s="441"/>
      <c r="F8" s="441"/>
      <c r="G8" s="441"/>
      <c r="H8" s="441"/>
      <c r="I8" s="441"/>
      <c r="J8" s="441"/>
      <c r="K8" s="442"/>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6" t="s">
        <v>470</v>
      </c>
      <c r="B12" s="446" t="s">
        <v>471</v>
      </c>
      <c r="C12" s="447" t="s">
        <v>475</v>
      </c>
      <c r="D12" s="448" t="s">
        <v>476</v>
      </c>
      <c r="E12" s="448" t="s">
        <v>477</v>
      </c>
      <c r="F12" s="448" t="s">
        <v>478</v>
      </c>
      <c r="G12" s="446"/>
      <c r="H12" s="449"/>
      <c r="I12" s="449"/>
      <c r="J12" s="449"/>
      <c r="K12" s="450"/>
    </row>
    <row r="13" spans="1:41" s="2117" customFormat="1" ht="13.5" customHeight="1">
      <c r="A13" s="1633" t="s">
        <v>1850</v>
      </c>
      <c r="B13" s="451" t="s">
        <v>479</v>
      </c>
      <c r="C13" s="452">
        <f ca="1">IF(B1="",'数据-取费表'!M16,INDIRECT("'数据-取费表'!M"&amp;$K$1)+INDIRECT("'数据-取费表'!t"&amp;$K$1))</f>
        <v>50748</v>
      </c>
      <c r="D13" s="453"/>
      <c r="E13" s="367"/>
      <c r="F13" s="454"/>
      <c r="G13" s="446"/>
      <c r="H13" s="449"/>
      <c r="I13" s="449"/>
      <c r="J13" s="449"/>
      <c r="K13" s="450"/>
    </row>
    <row r="14" spans="1:41" s="2117" customFormat="1" ht="13.5" customHeight="1">
      <c r="A14" s="1633" t="s">
        <v>1851</v>
      </c>
      <c r="B14" s="451" t="s">
        <v>480</v>
      </c>
      <c r="C14" s="52">
        <f ca="1">ROUND(C13*F14,0)</f>
        <v>1522</v>
      </c>
      <c r="D14" s="453"/>
      <c r="E14" s="367"/>
      <c r="F14" s="455">
        <f>'数据-取费表'!B33</f>
        <v>0.03</v>
      </c>
      <c r="G14" s="446" t="s">
        <v>503</v>
      </c>
      <c r="H14" s="449"/>
      <c r="I14" s="449"/>
      <c r="J14" s="449"/>
      <c r="K14" s="450"/>
    </row>
    <row r="15" spans="1:41" s="2117" customFormat="1" ht="13.5" customHeight="1">
      <c r="A15" s="1633" t="s">
        <v>1852</v>
      </c>
      <c r="B15" s="451" t="s">
        <v>482</v>
      </c>
      <c r="C15" s="52">
        <f ca="1">ROUND(IF(B1="",SUMIF('数据-取费表'!C:C,"住宅",'数据-取费表'!M:M)*F15,IF(INDIRECT("'数据-取费表'!c"&amp;$K$1)="住宅",INDIRECT("'数据-取费表'!M"&amp;$K$1)*F15,0)),0)</f>
        <v>1089</v>
      </c>
      <c r="D15" s="453"/>
      <c r="E15" s="367"/>
      <c r="F15" s="455">
        <f>'数据-取费表'!B34</f>
        <v>0.03</v>
      </c>
      <c r="G15" s="446" t="s">
        <v>503</v>
      </c>
      <c r="H15" s="449"/>
      <c r="I15" s="449"/>
      <c r="J15" s="449"/>
      <c r="K15" s="450"/>
    </row>
    <row r="16" spans="1:41" s="2118" customFormat="1" ht="13.5" customHeight="1">
      <c r="A16" s="1633" t="s">
        <v>1853</v>
      </c>
      <c r="B16" s="451" t="s">
        <v>484</v>
      </c>
      <c r="C16" s="52">
        <f ca="1">ROUND(D16*E16/10000,0)</f>
        <v>4345</v>
      </c>
      <c r="D16" s="453">
        <f ca="1">IF(B1="",'数据-汇总表'!E3,INDIRECT("'数据-取费表'!K"&amp;$K$1)+INDIRECT("'数据-取费表'!S"&amp;$K$1))</f>
        <v>217232</v>
      </c>
      <c r="E16" s="52">
        <f>'数据-取费表'!B35</f>
        <v>200</v>
      </c>
      <c r="F16" s="455"/>
      <c r="G16" s="446"/>
      <c r="H16" s="449"/>
      <c r="I16" s="449"/>
      <c r="J16" s="449"/>
      <c r="K16" s="450"/>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51" t="s">
        <v>485</v>
      </c>
      <c r="C17" s="456">
        <f ca="1">ROUND(C13*F17,0)</f>
        <v>761</v>
      </c>
      <c r="D17" s="457"/>
      <c r="E17" s="456"/>
      <c r="F17" s="458">
        <f>'数据-取费表'!B36</f>
        <v>1.4999999999999999E-2</v>
      </c>
      <c r="G17" s="446" t="s">
        <v>503</v>
      </c>
      <c r="H17" s="459"/>
      <c r="I17" s="459"/>
      <c r="J17" s="459"/>
      <c r="K17" s="460"/>
    </row>
    <row r="18" spans="1:14" s="2120" customFormat="1" ht="13.5" customHeight="1">
      <c r="A18" s="1634" t="s">
        <v>1855</v>
      </c>
      <c r="B18" s="461" t="s">
        <v>487</v>
      </c>
      <c r="C18" s="462">
        <f ca="1">SUM(C13:C17)</f>
        <v>58465</v>
      </c>
      <c r="D18" s="463"/>
      <c r="E18" s="464"/>
      <c r="F18" s="464"/>
      <c r="G18" s="1326" t="s">
        <v>2436</v>
      </c>
      <c r="H18" s="449"/>
      <c r="I18" s="449"/>
      <c r="J18" s="449"/>
      <c r="K18" s="450"/>
    </row>
    <row r="19" spans="1:14" s="2120" customFormat="1" ht="13.5" customHeight="1">
      <c r="A19" s="1634" t="s">
        <v>1856</v>
      </c>
      <c r="B19" s="461" t="s">
        <v>493</v>
      </c>
      <c r="C19" s="462">
        <f ca="1">ROUND(C18*F19,0)</f>
        <v>877</v>
      </c>
      <c r="D19" s="464"/>
      <c r="E19" s="464"/>
      <c r="F19" s="468">
        <f>'数据-取费表'!B37</f>
        <v>1.4999999999999999E-2</v>
      </c>
      <c r="G19" s="446" t="s">
        <v>504</v>
      </c>
      <c r="H19" s="449"/>
      <c r="I19" s="449"/>
      <c r="J19" s="449"/>
      <c r="K19" s="450"/>
      <c r="L19" s="2122"/>
      <c r="M19" s="2122"/>
      <c r="N19" s="2122"/>
    </row>
    <row r="20" spans="1:14" s="2120" customFormat="1" ht="13.5" customHeight="1">
      <c r="A20" s="1634" t="s">
        <v>1857</v>
      </c>
      <c r="B20" s="461" t="s">
        <v>505</v>
      </c>
      <c r="C20" s="3054">
        <f>F20</f>
        <v>1.4999999999999999E-2</v>
      </c>
      <c r="D20" s="471" t="s">
        <v>506</v>
      </c>
      <c r="E20" s="471"/>
      <c r="F20" s="488">
        <f>'数据-取费表'!B38</f>
        <v>1.4999999999999999E-2</v>
      </c>
      <c r="G20" s="1326" t="s">
        <v>507</v>
      </c>
      <c r="H20" s="449"/>
      <c r="I20" s="449"/>
      <c r="J20" s="449"/>
      <c r="K20" s="450"/>
      <c r="L20" s="2122"/>
      <c r="M20" s="2122"/>
      <c r="N20" s="2122"/>
    </row>
    <row r="21" spans="1:14" s="2122" customFormat="1" ht="13.5" customHeight="1">
      <c r="A21" s="1634" t="s">
        <v>1860</v>
      </c>
      <c r="B21" s="463" t="s">
        <v>494</v>
      </c>
      <c r="C21" s="472">
        <f ca="1">C22</f>
        <v>2819</v>
      </c>
      <c r="D21" s="469">
        <f ca="1">C23</f>
        <v>6.9999999999999999E-4</v>
      </c>
      <c r="E21" s="471" t="s">
        <v>508</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9" t="s">
        <v>2458</v>
      </c>
    </row>
    <row r="22" spans="1:14" s="2121" customFormat="1" ht="13.5" customHeight="1">
      <c r="A22" s="1633" t="s">
        <v>1850</v>
      </c>
      <c r="B22" s="1327" t="s">
        <v>2439</v>
      </c>
      <c r="C22" s="489">
        <f ca="1">ROUND(IF('数据-取费表'!B22&lt;=1,(C18+C19)*F21*'数据-取费表'!B20/2,(C18+C19)*(POWER((1+F21),'数据-取费表'!B20/2)-1)),0)</f>
        <v>2819</v>
      </c>
      <c r="D22" s="474"/>
      <c r="E22" s="475"/>
      <c r="F22" s="476"/>
      <c r="G22" s="2589" t="str">
        <f>IF('数据-取费表'!B22&lt;=1,"((1)+(2))×年利率×建设期÷2","((1)+(2))×((1+年利率)^(建设期÷2)-1)")</f>
        <v>((1)+(2))×((1+年利率)^(建设期÷2)-1)</v>
      </c>
      <c r="H22" s="459"/>
      <c r="I22" s="459"/>
      <c r="J22" s="459"/>
      <c r="K22" s="460"/>
    </row>
    <row r="23" spans="1:14" s="2121" customFormat="1" ht="13.5" customHeight="1">
      <c r="A23" s="1633" t="s">
        <v>1851</v>
      </c>
      <c r="B23" s="1327" t="s">
        <v>509</v>
      </c>
      <c r="C23" s="490">
        <f ca="1">ROUND(IF('数据-取费表'!B22&lt;=1,F20*F21*'数据-取费表'!B20/2,F20*(POWER((1+F21),'数据-取费表'!B20/2)-1)),4)</f>
        <v>6.9999999999999999E-4</v>
      </c>
      <c r="D23" s="474"/>
      <c r="E23" s="475"/>
      <c r="F23" s="476"/>
      <c r="G23" s="2589" t="str">
        <f>IF('数据-取费表'!B22&lt;=1,"销售费用率×年利率×建设期÷2","销售费用率×((1+年利率)^(建设期÷2)-1)")</f>
        <v>销售费用率×((1+年利率)^(建设期÷2)-1)</v>
      </c>
      <c r="H23" s="459"/>
      <c r="I23" s="459"/>
      <c r="J23" s="459"/>
      <c r="K23" s="460"/>
    </row>
    <row r="24" spans="1:14" s="2121" customFormat="1" ht="13.5" customHeight="1">
      <c r="A24" s="1634" t="s">
        <v>1861</v>
      </c>
      <c r="B24" s="3056" t="s">
        <v>2840</v>
      </c>
      <c r="C24" s="480">
        <f ca="1">C25</f>
        <v>7121</v>
      </c>
      <c r="D24" s="491">
        <f ca="1">C26</f>
        <v>1.8E-3</v>
      </c>
      <c r="E24" s="471" t="s">
        <v>508</v>
      </c>
      <c r="F24" s="481">
        <f ca="1">IF(B1="",'数据-取费表'!Q16,INDIRECT("'数据-取费表'!q"&amp;$K$1))</f>
        <v>0.12</v>
      </c>
      <c r="G24" s="446"/>
      <c r="H24" s="449"/>
      <c r="I24" s="449"/>
      <c r="J24" s="449"/>
      <c r="K24" s="450"/>
    </row>
    <row r="25" spans="1:14" s="2121" customFormat="1" ht="13.5" customHeight="1">
      <c r="A25" s="1633" t="s">
        <v>1850</v>
      </c>
      <c r="B25" s="1327" t="s">
        <v>2440</v>
      </c>
      <c r="C25" s="492">
        <f ca="1">ROUND((C18+C19)*F24,0)</f>
        <v>7121</v>
      </c>
      <c r="D25" s="474"/>
      <c r="E25" s="475"/>
      <c r="F25" s="482"/>
      <c r="G25" s="1325" t="s">
        <v>2437</v>
      </c>
      <c r="H25" s="459"/>
      <c r="I25" s="459"/>
      <c r="J25" s="459"/>
      <c r="K25" s="460"/>
    </row>
    <row r="26" spans="1:14" s="2121" customFormat="1" ht="13.5" customHeight="1">
      <c r="A26" s="1633" t="s">
        <v>1851</v>
      </c>
      <c r="B26" s="1327" t="s">
        <v>510</v>
      </c>
      <c r="C26" s="493">
        <f ca="1">ROUND(F20*F24,4)</f>
        <v>1.8E-3</v>
      </c>
      <c r="D26" s="474"/>
      <c r="E26" s="483"/>
      <c r="F26" s="482"/>
      <c r="G26" s="1325" t="s">
        <v>511</v>
      </c>
      <c r="H26" s="459"/>
      <c r="I26" s="459"/>
      <c r="J26" s="459"/>
      <c r="K26" s="460"/>
    </row>
    <row r="27" spans="1:14" s="2121" customFormat="1" ht="13.5" customHeight="1">
      <c r="A27" s="1637" t="s">
        <v>1869</v>
      </c>
      <c r="B27" s="461" t="s">
        <v>512</v>
      </c>
      <c r="C27" s="3055">
        <f>ROUND(F27/(1+'数据-取费表'!C42),4)</f>
        <v>5.33E-2</v>
      </c>
      <c r="D27" s="464" t="s">
        <v>2838</v>
      </c>
      <c r="E27" s="464"/>
      <c r="F27" s="468">
        <f>'数据-取费表'!B41</f>
        <v>5.6000000000000001E-2</v>
      </c>
      <c r="G27" s="1961" t="s">
        <v>2294</v>
      </c>
      <c r="H27" s="449"/>
      <c r="I27" s="449"/>
      <c r="J27" s="449"/>
      <c r="K27" s="450"/>
    </row>
    <row r="28" spans="1:14" s="2122" customFormat="1" ht="13.5" customHeight="1">
      <c r="A28" s="1637" t="s">
        <v>1870</v>
      </c>
      <c r="B28" s="478" t="s">
        <v>513</v>
      </c>
      <c r="C28" s="472">
        <f ca="1">ROUND((C18+C19+C21+C24)/(1-C20-D21-D24-C27),0)</f>
        <v>74561</v>
      </c>
      <c r="D28" s="479"/>
      <c r="E28" s="471"/>
      <c r="F28" s="473"/>
      <c r="G28" s="1326" t="s">
        <v>2438</v>
      </c>
      <c r="H28" s="449"/>
      <c r="I28" s="449"/>
      <c r="J28" s="449"/>
      <c r="K28" s="450"/>
    </row>
    <row r="29" spans="1:14" s="2122" customFormat="1" ht="13.5" customHeight="1">
      <c r="A29" s="1637" t="s">
        <v>1871</v>
      </c>
      <c r="B29" s="478" t="s">
        <v>514</v>
      </c>
      <c r="C29" s="494">
        <f ca="1">IF(B1="",'数据-取费表'!N16,INDIRECT("'数据-取费表'!N"&amp;$K$1))</f>
        <v>0</v>
      </c>
      <c r="D29" s="495"/>
      <c r="E29" s="496"/>
      <c r="F29" s="497"/>
      <c r="G29" s="446"/>
      <c r="H29" s="449"/>
      <c r="I29" s="449"/>
      <c r="J29" s="449"/>
      <c r="K29" s="450"/>
    </row>
    <row r="30" spans="1:14" s="2122" customFormat="1" ht="13.5" customHeight="1">
      <c r="A30" s="445">
        <v>2</v>
      </c>
      <c r="B30" s="478" t="s">
        <v>515</v>
      </c>
      <c r="C30" s="499">
        <f ca="1">ROUND(C28*C29,0)</f>
        <v>0</v>
      </c>
      <c r="D30" s="495"/>
      <c r="E30" s="500"/>
      <c r="F30" s="501"/>
      <c r="G30" s="1328" t="s">
        <v>516</v>
      </c>
      <c r="H30" s="498"/>
      <c r="I30" s="498"/>
      <c r="J30" s="449"/>
      <c r="K30" s="450"/>
    </row>
    <row r="31" spans="1:14" s="2127" customFormat="1" ht="13.5" customHeight="1">
      <c r="A31" s="2504" t="s">
        <v>1867</v>
      </c>
      <c r="B31" s="1329"/>
      <c r="C31" s="502">
        <f>ROUND(C6*F31/(1+'数据-取费表'!C42),0)</f>
        <v>0</v>
      </c>
      <c r="D31" s="1330"/>
      <c r="E31" s="1330"/>
      <c r="F31" s="503">
        <f>'数据-取费表'!B41</f>
        <v>5.6000000000000001E-2</v>
      </c>
      <c r="G31" s="1331"/>
      <c r="H31" s="1331"/>
      <c r="I31" s="1331"/>
      <c r="J31" s="1332"/>
      <c r="K31" s="1333"/>
    </row>
    <row r="32" spans="1:14" s="2086" customFormat="1" ht="13.5" customHeight="1" thickBot="1">
      <c r="A32" s="484" t="s">
        <v>1868</v>
      </c>
      <c r="B32" s="485"/>
      <c r="C32" s="486">
        <f ca="1">IF('数据-取费表'!B20&lt;=1,(C6-C30-C31)/(1+F21*'数据-取费表'!B20+F24)/(1+'数据-取费表'!B48+'数据-取费表'!B49),(C6-C30-C31)/(1+(POWER((1+F21),'数据-取费表'!B20)-1)+F24)/(1+'数据-取费表'!B48+'数据-取费表'!B49))</f>
        <v>0</v>
      </c>
      <c r="D32" s="485"/>
      <c r="E32" s="485"/>
      <c r="F32" s="485"/>
      <c r="G32" s="2505" t="s">
        <v>2459</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517</v>
      </c>
      <c r="B1" s="505"/>
      <c r="C1" s="506" t="s">
        <v>598</v>
      </c>
      <c r="D1" s="507" t="s">
        <v>519</v>
      </c>
      <c r="E1" s="738"/>
      <c r="F1" s="739"/>
      <c r="G1" s="738"/>
      <c r="H1" s="738"/>
      <c r="I1" s="738"/>
      <c r="J1" s="738"/>
      <c r="K1" s="740"/>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467</v>
      </c>
      <c r="B2" s="510"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1687</v>
      </c>
      <c r="B3" s="512"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30"/>
      <c r="AC3" s="430"/>
    </row>
    <row r="4" spans="1:29" s="1335" customFormat="1" ht="28.5" customHeight="1">
      <c r="A4" s="513" t="s">
        <v>521</v>
      </c>
      <c r="B4" s="429"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0"/>
    </row>
    <row r="5" spans="1:29" s="1335" customFormat="1" ht="28.5" customHeight="1" thickBot="1">
      <c r="A5" s="431"/>
      <c r="B5" s="432" t="e">
        <f>ROUND(B2/('数据-汇总表'!D3/666.67),0)</f>
        <v>#DIV/0!</v>
      </c>
      <c r="C5" s="433"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30"/>
    </row>
    <row r="6" spans="1:29" ht="15">
      <c r="A6" s="514" t="s">
        <v>522</v>
      </c>
      <c r="B6" s="515"/>
      <c r="C6" s="3265" t="s">
        <v>523</v>
      </c>
      <c r="D6" s="3266"/>
      <c r="E6" s="3267" t="s">
        <v>524</v>
      </c>
      <c r="F6" s="3268"/>
      <c r="G6" s="3265" t="s">
        <v>525</v>
      </c>
      <c r="H6" s="3266"/>
      <c r="I6" s="3265" t="s">
        <v>526</v>
      </c>
      <c r="J6" s="3266"/>
      <c r="K6" s="516" t="s">
        <v>527</v>
      </c>
      <c r="L6" s="2134"/>
      <c r="M6" s="2135"/>
      <c r="N6" s="2135"/>
      <c r="O6" s="2135"/>
      <c r="P6" s="3269" t="s">
        <v>528</v>
      </c>
      <c r="Q6" s="3270"/>
      <c r="R6" s="3255" t="s">
        <v>524</v>
      </c>
      <c r="S6" s="3256"/>
      <c r="T6" s="3255" t="s">
        <v>525</v>
      </c>
      <c r="U6" s="3256"/>
      <c r="V6" s="3254" t="s">
        <v>526</v>
      </c>
      <c r="W6" s="3254"/>
      <c r="X6" s="1567"/>
      <c r="Y6" s="3255" t="s">
        <v>528</v>
      </c>
      <c r="Z6" s="3256"/>
      <c r="AA6" s="3261" t="s">
        <v>524</v>
      </c>
      <c r="AB6" s="3262" t="s">
        <v>525</v>
      </c>
      <c r="AC6" s="3261" t="s">
        <v>526</v>
      </c>
    </row>
    <row r="7" spans="1:29" ht="15">
      <c r="A7" s="517"/>
      <c r="B7" s="518"/>
      <c r="C7" s="3275" t="s">
        <v>2937</v>
      </c>
      <c r="D7" s="3276"/>
      <c r="E7" s="3436" t="s">
        <v>2938</v>
      </c>
      <c r="F7" s="3437"/>
      <c r="G7" s="3275" t="s">
        <v>2939</v>
      </c>
      <c r="H7" s="3276"/>
      <c r="I7" s="3275" t="s">
        <v>2940</v>
      </c>
      <c r="J7" s="3276"/>
      <c r="K7" s="516"/>
      <c r="L7" s="2134"/>
      <c r="M7" s="2135"/>
      <c r="N7" s="2135"/>
      <c r="O7" s="2135"/>
      <c r="P7" s="3271"/>
      <c r="Q7" s="3272"/>
      <c r="R7" s="3257"/>
      <c r="S7" s="3258"/>
      <c r="T7" s="3257"/>
      <c r="U7" s="3258"/>
      <c r="V7" s="3254"/>
      <c r="W7" s="3254"/>
      <c r="X7" s="1567"/>
      <c r="Y7" s="3257"/>
      <c r="Z7" s="3258"/>
      <c r="AA7" s="3262"/>
      <c r="AB7" s="3262"/>
      <c r="AC7" s="3262"/>
    </row>
    <row r="8" spans="1:29" ht="15.75" thickBot="1">
      <c r="A8" s="519"/>
      <c r="B8" s="520"/>
      <c r="C8" s="3281" t="s">
        <v>2941</v>
      </c>
      <c r="D8" s="3282"/>
      <c r="E8" s="3434" t="s">
        <v>2941</v>
      </c>
      <c r="F8" s="3435"/>
      <c r="G8" s="3281" t="s">
        <v>2941</v>
      </c>
      <c r="H8" s="3282"/>
      <c r="I8" s="3281" t="s">
        <v>2941</v>
      </c>
      <c r="J8" s="3282"/>
      <c r="K8" s="516" t="s">
        <v>529</v>
      </c>
      <c r="L8" s="2134"/>
      <c r="M8" s="2135"/>
      <c r="N8" s="2135"/>
      <c r="O8" s="2135"/>
      <c r="P8" s="3273"/>
      <c r="Q8" s="3274"/>
      <c r="R8" s="3257"/>
      <c r="S8" s="3258"/>
      <c r="T8" s="3259"/>
      <c r="U8" s="3260"/>
      <c r="V8" s="3254"/>
      <c r="W8" s="3254"/>
      <c r="X8" s="1567"/>
      <c r="Y8" s="3259"/>
      <c r="Z8" s="3260"/>
      <c r="AA8" s="3263"/>
      <c r="AB8" s="3263"/>
      <c r="AC8" s="3263"/>
    </row>
    <row r="9" spans="1:29" s="1219" customFormat="1" ht="15.75" thickBot="1">
      <c r="A9" s="2936"/>
      <c r="B9" s="2943" t="s">
        <v>530</v>
      </c>
      <c r="C9" s="521">
        <f>'数据-取费表'!B2</f>
        <v>43187</v>
      </c>
      <c r="D9" s="522">
        <v>100</v>
      </c>
      <c r="E9" s="523"/>
      <c r="F9" s="524">
        <f>SUMIF(67:67,YEAR(E9)&amp;"-"&amp;INT((MONTH(E9)+2)/3),68:68)</f>
        <v>0</v>
      </c>
      <c r="G9" s="525"/>
      <c r="H9" s="522">
        <f>SUMIF(67:67,YEAR(G9)&amp;"-"&amp;INT((MONTH(G9)+2)/3),68:68)</f>
        <v>0</v>
      </c>
      <c r="I9" s="525"/>
      <c r="J9" s="522">
        <f>SUMIF(67:67,YEAR(I9)&amp;"-"&amp;INT((MONTH(I9)+2)/3),68:68)</f>
        <v>0</v>
      </c>
      <c r="K9" s="526"/>
      <c r="L9" s="2136"/>
      <c r="M9" s="2137"/>
      <c r="N9" s="2137"/>
      <c r="O9" s="2137"/>
      <c r="P9" s="3251" t="s">
        <v>531</v>
      </c>
      <c r="Q9" s="3264"/>
      <c r="R9" s="1568" t="s">
        <v>8</v>
      </c>
      <c r="S9" s="1569">
        <f t="shared" ref="S9:S17" si="0">F9</f>
        <v>0</v>
      </c>
      <c r="T9" s="1568" t="s">
        <v>8</v>
      </c>
      <c r="U9" s="1569">
        <f t="shared" ref="U9:U17" si="1">H9</f>
        <v>0</v>
      </c>
      <c r="V9" s="1568" t="s">
        <v>8</v>
      </c>
      <c r="W9" s="1569">
        <f t="shared" ref="W9:W17" si="2">J9</f>
        <v>0</v>
      </c>
      <c r="X9" s="1570"/>
      <c r="Y9" s="3251" t="s">
        <v>531</v>
      </c>
      <c r="Z9" s="3252"/>
      <c r="AA9" s="1571" t="e">
        <f>D9/F9</f>
        <v>#DIV/0!</v>
      </c>
      <c r="AB9" s="1571" t="e">
        <f>D9/H9</f>
        <v>#DIV/0!</v>
      </c>
      <c r="AC9" s="1571" t="e">
        <f>D9/J9</f>
        <v>#DIV/0!</v>
      </c>
    </row>
    <row r="10" spans="1:29" s="1219" customFormat="1" ht="15.75" thickBot="1">
      <c r="A10" s="2937"/>
      <c r="B10" s="2944"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6"/>
      <c r="M10" s="2137"/>
      <c r="N10" s="2137"/>
      <c r="O10" s="2137"/>
      <c r="P10" s="3251" t="s">
        <v>534</v>
      </c>
      <c r="Q10" s="3252"/>
      <c r="R10" s="1568" t="s">
        <v>8</v>
      </c>
      <c r="S10" s="1569">
        <f t="shared" si="0"/>
        <v>0</v>
      </c>
      <c r="T10" s="1568" t="s">
        <v>8</v>
      </c>
      <c r="U10" s="1569">
        <f t="shared" si="1"/>
        <v>0</v>
      </c>
      <c r="V10" s="1568" t="s">
        <v>8</v>
      </c>
      <c r="W10" s="1569">
        <f t="shared" si="2"/>
        <v>0</v>
      </c>
      <c r="X10" s="1570"/>
      <c r="Y10" s="3251" t="s">
        <v>534</v>
      </c>
      <c r="Z10" s="3252"/>
      <c r="AA10" s="1571" t="e">
        <f t="shared" ref="AA10:AA42" si="3">D10/F10</f>
        <v>#DIV/0!</v>
      </c>
      <c r="AB10" s="1571" t="e">
        <f t="shared" ref="AB10:AB42" si="4">D10/H10</f>
        <v>#DIV/0!</v>
      </c>
      <c r="AC10" s="1571" t="e">
        <f t="shared" ref="AC10:AC42" si="5">D10/J10</f>
        <v>#DIV/0!</v>
      </c>
    </row>
    <row r="11" spans="1:29" s="1219" customFormat="1" ht="15">
      <c r="A11" s="2938"/>
      <c r="B11" s="2945" t="s">
        <v>2764</v>
      </c>
      <c r="C11" s="528"/>
      <c r="D11" s="253">
        <v>100</v>
      </c>
      <c r="E11" s="528"/>
      <c r="F11" s="253">
        <f>SUMIF(72:72,E11,73:73)-SUMIF(72:72,C11,73:73)+100</f>
        <v>100</v>
      </c>
      <c r="G11" s="528"/>
      <c r="H11" s="253">
        <f>SUMIF(72:72,G11,73:73)-SUMIF(72:72,C11,73:73)+100</f>
        <v>100</v>
      </c>
      <c r="I11" s="528"/>
      <c r="J11" s="253">
        <f>SUMIF(72:72,I11,73:73)-SUMIF(72:72,C11,73:73)+100</f>
        <v>100</v>
      </c>
      <c r="K11" s="526"/>
      <c r="L11" s="2136"/>
      <c r="M11" s="2137"/>
      <c r="N11" s="2137"/>
      <c r="O11" s="2138"/>
      <c r="P11" s="3241" t="s">
        <v>536</v>
      </c>
      <c r="Q11" s="1150" t="str">
        <f t="shared" ref="Q11:Q17" si="6">B11</f>
        <v>用途</v>
      </c>
      <c r="R11" s="1568" t="s">
        <v>8</v>
      </c>
      <c r="S11" s="1569">
        <f t="shared" si="0"/>
        <v>100</v>
      </c>
      <c r="T11" s="1568" t="s">
        <v>8</v>
      </c>
      <c r="U11" s="1569">
        <f t="shared" si="1"/>
        <v>100</v>
      </c>
      <c r="V11" s="1568" t="s">
        <v>8</v>
      </c>
      <c r="W11" s="1569">
        <f t="shared" si="2"/>
        <v>100</v>
      </c>
      <c r="X11" s="1570"/>
      <c r="Y11" s="3253" t="s">
        <v>537</v>
      </c>
      <c r="Z11" s="1149" t="str">
        <f t="shared" ref="Z11:Z17" si="7">Q11</f>
        <v>用途</v>
      </c>
      <c r="AA11" s="1571">
        <f t="shared" si="3"/>
        <v>1</v>
      </c>
      <c r="AB11" s="1571">
        <f t="shared" si="4"/>
        <v>1</v>
      </c>
      <c r="AC11" s="1571">
        <f t="shared" si="5"/>
        <v>1</v>
      </c>
    </row>
    <row r="12" spans="1:29" s="1337" customFormat="1" ht="27">
      <c r="A12" s="2939"/>
      <c r="B12" s="2944" t="s">
        <v>2765</v>
      </c>
      <c r="C12" s="530"/>
      <c r="D12" s="254">
        <v>100</v>
      </c>
      <c r="E12" s="530"/>
      <c r="F12" s="254">
        <f>ROUND(100/'数据-取费表'!G16,0)</f>
        <v>100</v>
      </c>
      <c r="G12" s="530"/>
      <c r="H12" s="254">
        <f>ROUND(100/'数据-取费表'!G16,0)</f>
        <v>100</v>
      </c>
      <c r="I12" s="530"/>
      <c r="J12" s="254">
        <f>ROUND(100/'数据-取费表'!G16,0)</f>
        <v>100</v>
      </c>
      <c r="K12" s="532"/>
      <c r="L12" s="2139"/>
      <c r="M12" s="2179"/>
      <c r="N12" s="2179"/>
      <c r="O12" s="2140"/>
      <c r="P12" s="3241"/>
      <c r="Q12" s="1150" t="str">
        <f t="shared" si="6"/>
        <v>土地使用年限（年）</v>
      </c>
      <c r="R12" s="1568" t="s">
        <v>8</v>
      </c>
      <c r="S12" s="1569">
        <f t="shared" si="0"/>
        <v>100</v>
      </c>
      <c r="T12" s="1568" t="s">
        <v>8</v>
      </c>
      <c r="U12" s="1569">
        <f t="shared" si="1"/>
        <v>100</v>
      </c>
      <c r="V12" s="1568" t="s">
        <v>8</v>
      </c>
      <c r="W12" s="1569">
        <f t="shared" si="2"/>
        <v>100</v>
      </c>
      <c r="X12" s="1570"/>
      <c r="Y12" s="3253"/>
      <c r="Z12" s="1149" t="str">
        <f t="shared" si="7"/>
        <v>土地使用年限（年）</v>
      </c>
      <c r="AA12" s="1571">
        <f t="shared" si="3"/>
        <v>1</v>
      </c>
      <c r="AB12" s="1571">
        <f t="shared" si="4"/>
        <v>1</v>
      </c>
      <c r="AC12" s="1571">
        <f t="shared" si="5"/>
        <v>1</v>
      </c>
    </row>
    <row r="13" spans="1:29" ht="15">
      <c r="A13" s="2940"/>
      <c r="B13" s="2944" t="s">
        <v>2766</v>
      </c>
      <c r="C13" s="534"/>
      <c r="D13" s="254">
        <v>100</v>
      </c>
      <c r="E13" s="534"/>
      <c r="F13" s="254" t="e">
        <f>LOOKUP(E13,77:77,78:78)-LOOKUP(C13,77:77,78:78)+100</f>
        <v>#N/A</v>
      </c>
      <c r="G13" s="535"/>
      <c r="H13" s="254" t="e">
        <f>LOOKUP(G13,77:77,78:78)-LOOKUP(C13,77:77,78:78)+100</f>
        <v>#N/A</v>
      </c>
      <c r="I13" s="534"/>
      <c r="J13" s="254" t="e">
        <f>LOOKUP(I13,77:77,78:78)-LOOKUP(C13,77:77,78:78)+100</f>
        <v>#N/A</v>
      </c>
      <c r="K13" s="536"/>
      <c r="L13" s="2141"/>
      <c r="M13" s="2135"/>
      <c r="N13" s="2135"/>
      <c r="O13" s="2142"/>
      <c r="P13" s="3241"/>
      <c r="Q13" s="1150" t="str">
        <f t="shared" si="6"/>
        <v>容积率</v>
      </c>
      <c r="R13" s="1568" t="s">
        <v>8</v>
      </c>
      <c r="S13" s="1569" t="e">
        <f t="shared" si="0"/>
        <v>#N/A</v>
      </c>
      <c r="T13" s="1568" t="s">
        <v>8</v>
      </c>
      <c r="U13" s="1569" t="e">
        <f t="shared" si="1"/>
        <v>#N/A</v>
      </c>
      <c r="V13" s="1568" t="s">
        <v>8</v>
      </c>
      <c r="W13" s="1569" t="e">
        <f t="shared" si="2"/>
        <v>#N/A</v>
      </c>
      <c r="X13" s="1570"/>
      <c r="Y13" s="3253"/>
      <c r="Z13" s="1149" t="str">
        <f t="shared" si="7"/>
        <v>容积率</v>
      </c>
      <c r="AA13" s="1571" t="e">
        <f t="shared" si="3"/>
        <v>#N/A</v>
      </c>
      <c r="AB13" s="1571" t="e">
        <f t="shared" si="4"/>
        <v>#N/A</v>
      </c>
      <c r="AC13" s="1571" t="e">
        <f t="shared" si="5"/>
        <v>#N/A</v>
      </c>
    </row>
    <row r="14" spans="1:29" s="1219" customFormat="1" ht="15">
      <c r="A14" s="2941"/>
      <c r="B14" s="2947">
        <v>111</v>
      </c>
      <c r="C14" s="530"/>
      <c r="D14" s="539">
        <v>100</v>
      </c>
      <c r="E14" s="542"/>
      <c r="F14" s="254">
        <f>SUMIF(79:79,E14,80:80)-SUMIF(79:79,C14,80:80)+100</f>
        <v>100</v>
      </c>
      <c r="G14" s="543"/>
      <c r="H14" s="254">
        <f>SUMIF(79:79,G14,80:80)-SUMIF(79:79,C14,80:80)+100</f>
        <v>100</v>
      </c>
      <c r="I14" s="542"/>
      <c r="J14" s="254">
        <f>SUMIF(79:79,I14,80:80)-SUMIF(79:79,C14,80:80)+100</f>
        <v>100</v>
      </c>
      <c r="K14" s="532"/>
      <c r="L14" s="2136"/>
      <c r="M14" s="2137"/>
      <c r="N14" s="2137"/>
      <c r="O14" s="2138"/>
      <c r="P14" s="3241"/>
      <c r="Q14" s="1150">
        <f t="shared" si="6"/>
        <v>111</v>
      </c>
      <c r="R14" s="1568" t="s">
        <v>8</v>
      </c>
      <c r="S14" s="1569">
        <f t="shared" si="0"/>
        <v>100</v>
      </c>
      <c r="T14" s="1568" t="s">
        <v>8</v>
      </c>
      <c r="U14" s="1569">
        <f t="shared" si="1"/>
        <v>100</v>
      </c>
      <c r="V14" s="1568" t="s">
        <v>8</v>
      </c>
      <c r="W14" s="1569">
        <f t="shared" si="2"/>
        <v>100</v>
      </c>
      <c r="X14" s="1570"/>
      <c r="Y14" s="3253"/>
      <c r="Z14" s="1149">
        <f t="shared" si="7"/>
        <v>111</v>
      </c>
      <c r="AA14" s="1571">
        <f>D14/F14</f>
        <v>1</v>
      </c>
      <c r="AB14" s="1571">
        <f>D14/H14</f>
        <v>1</v>
      </c>
      <c r="AC14" s="1571">
        <f>D14/J14</f>
        <v>1</v>
      </c>
    </row>
    <row r="15" spans="1:29" ht="15">
      <c r="A15" s="2941"/>
      <c r="B15" s="2947">
        <v>111</v>
      </c>
      <c r="C15" s="540"/>
      <c r="D15" s="541">
        <v>100</v>
      </c>
      <c r="E15" s="542"/>
      <c r="F15" s="254">
        <f>SUMIF(81:81,E15,82:82)-SUMIF(81:81,C15,82:82)+100</f>
        <v>100</v>
      </c>
      <c r="G15" s="543"/>
      <c r="H15" s="541">
        <f>SUMIF(81:81,G15,82:82)-SUMIF(81:81,C15,82:82)+100</f>
        <v>100</v>
      </c>
      <c r="I15" s="542"/>
      <c r="J15" s="541">
        <f>SUMIF(81:81,I15,82:82)-SUMIF(81:81,C15,82:82)+100</f>
        <v>100</v>
      </c>
      <c r="K15" s="532"/>
      <c r="L15" s="2143"/>
      <c r="M15" s="2135"/>
      <c r="N15" s="2135"/>
      <c r="O15" s="2142"/>
      <c r="P15" s="3241"/>
      <c r="Q15" s="1150">
        <f t="shared" si="6"/>
        <v>111</v>
      </c>
      <c r="R15" s="1568" t="s">
        <v>8</v>
      </c>
      <c r="S15" s="1569">
        <f t="shared" si="0"/>
        <v>100</v>
      </c>
      <c r="T15" s="1568" t="s">
        <v>8</v>
      </c>
      <c r="U15" s="1569">
        <f t="shared" si="1"/>
        <v>100</v>
      </c>
      <c r="V15" s="1568" t="s">
        <v>8</v>
      </c>
      <c r="W15" s="1569">
        <f t="shared" si="2"/>
        <v>100</v>
      </c>
      <c r="X15" s="1570"/>
      <c r="Y15" s="3253"/>
      <c r="Z15" s="1149">
        <f t="shared" si="7"/>
        <v>111</v>
      </c>
      <c r="AA15" s="1571">
        <f t="shared" si="3"/>
        <v>1</v>
      </c>
      <c r="AB15" s="1571">
        <f t="shared" si="4"/>
        <v>1</v>
      </c>
      <c r="AC15" s="1571">
        <f t="shared" si="5"/>
        <v>1</v>
      </c>
    </row>
    <row r="16" spans="1:29" ht="15.75" thickBot="1">
      <c r="A16" s="2942"/>
      <c r="B16" s="2948">
        <v>111</v>
      </c>
      <c r="C16" s="546"/>
      <c r="D16" s="547">
        <v>100</v>
      </c>
      <c r="E16" s="542"/>
      <c r="F16" s="547">
        <f>SUMIF(83:83,E16,84:84)-SUMIF(83:83,C16,84:84)+100</f>
        <v>100</v>
      </c>
      <c r="G16" s="543"/>
      <c r="H16" s="547">
        <f>SUMIF(83:83,G16,84:84)-SUMIF(83:83,C16,84:84)+100</f>
        <v>100</v>
      </c>
      <c r="I16" s="542"/>
      <c r="J16" s="547">
        <f>SUMIF(83:83,I16,84:84)-SUMIF(83:83,C16,84:84)+100</f>
        <v>100</v>
      </c>
      <c r="K16" s="532"/>
      <c r="L16" s="2143"/>
      <c r="M16" s="2135"/>
      <c r="N16" s="2135"/>
      <c r="O16" s="2142"/>
      <c r="P16" s="3241"/>
      <c r="Q16" s="1150">
        <f t="shared" si="6"/>
        <v>111</v>
      </c>
      <c r="R16" s="1568" t="s">
        <v>8</v>
      </c>
      <c r="S16" s="1569">
        <f t="shared" si="0"/>
        <v>100</v>
      </c>
      <c r="T16" s="1568" t="s">
        <v>8</v>
      </c>
      <c r="U16" s="1569">
        <f t="shared" si="1"/>
        <v>100</v>
      </c>
      <c r="V16" s="1568" t="s">
        <v>8</v>
      </c>
      <c r="W16" s="1569">
        <f t="shared" si="2"/>
        <v>100</v>
      </c>
      <c r="X16" s="1570"/>
      <c r="Y16" s="3253"/>
      <c r="Z16" s="1149">
        <f t="shared" si="7"/>
        <v>111</v>
      </c>
      <c r="AA16" s="1571">
        <f t="shared" si="3"/>
        <v>1</v>
      </c>
      <c r="AB16" s="1571">
        <f t="shared" si="4"/>
        <v>1</v>
      </c>
      <c r="AC16" s="1571">
        <f t="shared" si="5"/>
        <v>1</v>
      </c>
    </row>
    <row r="17" spans="1:29" ht="57">
      <c r="A17" s="2934" t="s">
        <v>2762</v>
      </c>
      <c r="B17" s="165" t="s">
        <v>599</v>
      </c>
      <c r="C17" s="920"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3"/>
      <c r="M17" s="2135"/>
      <c r="N17" s="2135"/>
      <c r="O17" s="2142"/>
      <c r="P17" s="3246" t="s">
        <v>541</v>
      </c>
      <c r="Q17" s="1572" t="str">
        <f t="shared" si="6"/>
        <v>产业集聚程度</v>
      </c>
      <c r="R17" s="1573" t="s">
        <v>8</v>
      </c>
      <c r="S17" s="1574">
        <f t="shared" si="0"/>
        <v>100</v>
      </c>
      <c r="T17" s="1573" t="s">
        <v>8</v>
      </c>
      <c r="U17" s="1574">
        <f t="shared" si="1"/>
        <v>100</v>
      </c>
      <c r="V17" s="1573" t="s">
        <v>8</v>
      </c>
      <c r="W17" s="1574">
        <f t="shared" si="2"/>
        <v>100</v>
      </c>
      <c r="X17" s="1567"/>
      <c r="Y17" s="3246" t="s">
        <v>541</v>
      </c>
      <c r="Z17" s="1575" t="str">
        <f t="shared" si="7"/>
        <v>产业集聚程度</v>
      </c>
      <c r="AA17" s="1576">
        <f t="shared" si="3"/>
        <v>1</v>
      </c>
      <c r="AB17" s="1576">
        <f t="shared" si="4"/>
        <v>1</v>
      </c>
      <c r="AC17" s="1576">
        <f t="shared" si="5"/>
        <v>1</v>
      </c>
    </row>
    <row r="18" spans="1:29" ht="15">
      <c r="A18" s="533"/>
      <c r="B18" s="870"/>
      <c r="C18" s="577"/>
      <c r="D18" s="556"/>
      <c r="E18" s="555"/>
      <c r="F18" s="556"/>
      <c r="G18" s="555"/>
      <c r="H18" s="560"/>
      <c r="I18" s="555"/>
      <c r="J18" s="556"/>
      <c r="K18" s="532"/>
      <c r="L18" s="2143"/>
      <c r="M18" s="2135"/>
      <c r="N18" s="2135"/>
      <c r="O18" s="2142"/>
      <c r="P18" s="3247"/>
      <c r="Q18" s="1572"/>
      <c r="R18" s="1573"/>
      <c r="S18" s="1574"/>
      <c r="T18" s="1573"/>
      <c r="U18" s="1574"/>
      <c r="V18" s="1573"/>
      <c r="W18" s="1574"/>
      <c r="X18" s="1567"/>
      <c r="Y18" s="3247"/>
      <c r="Z18" s="1575"/>
      <c r="AA18" s="1576">
        <v>1</v>
      </c>
      <c r="AB18" s="1576">
        <v>1</v>
      </c>
      <c r="AC18" s="1576">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3"/>
      <c r="M19" s="2135"/>
      <c r="N19" s="2135"/>
      <c r="O19" s="2142"/>
      <c r="P19" s="3247"/>
      <c r="Q19" s="1572" t="str">
        <f>B19</f>
        <v>交通便捷度</v>
      </c>
      <c r="R19" s="1573" t="s">
        <v>8</v>
      </c>
      <c r="S19" s="1574">
        <f>F19</f>
        <v>100</v>
      </c>
      <c r="T19" s="1573" t="s">
        <v>8</v>
      </c>
      <c r="U19" s="1574">
        <f>H19</f>
        <v>100</v>
      </c>
      <c r="V19" s="1573" t="s">
        <v>8</v>
      </c>
      <c r="W19" s="1574">
        <f>J19</f>
        <v>100</v>
      </c>
      <c r="X19" s="1567"/>
      <c r="Y19" s="3247"/>
      <c r="Z19" s="1575" t="str">
        <f>Q19</f>
        <v>交通便捷度</v>
      </c>
      <c r="AA19" s="1576">
        <f t="shared" si="3"/>
        <v>1</v>
      </c>
      <c r="AB19" s="1576">
        <f t="shared" si="4"/>
        <v>1</v>
      </c>
      <c r="AC19" s="1576">
        <f t="shared" si="5"/>
        <v>1</v>
      </c>
    </row>
    <row r="20" spans="1:29" ht="15">
      <c r="A20" s="533"/>
      <c r="B20" s="921"/>
      <c r="C20" s="577"/>
      <c r="D20" s="556"/>
      <c r="E20" s="557"/>
      <c r="F20" s="556"/>
      <c r="G20" s="557"/>
      <c r="H20" s="556"/>
      <c r="I20" s="559"/>
      <c r="J20" s="556"/>
      <c r="K20" s="532"/>
      <c r="L20" s="2143"/>
      <c r="M20" s="2135"/>
      <c r="N20" s="2135"/>
      <c r="O20" s="2142"/>
      <c r="P20" s="3247"/>
      <c r="Q20" s="1572"/>
      <c r="R20" s="1573"/>
      <c r="S20" s="1574"/>
      <c r="T20" s="1573"/>
      <c r="U20" s="1574"/>
      <c r="V20" s="1573"/>
      <c r="W20" s="1574"/>
      <c r="X20" s="1567"/>
      <c r="Y20" s="3247"/>
      <c r="Z20" s="1575"/>
      <c r="AA20" s="1576">
        <v>1</v>
      </c>
      <c r="AB20" s="1576">
        <v>1</v>
      </c>
      <c r="AC20" s="1576">
        <v>1</v>
      </c>
    </row>
    <row r="21" spans="1:29" ht="27">
      <c r="A21" s="517"/>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7"/>
      <c r="L21" s="2143"/>
      <c r="M21" s="2135"/>
      <c r="N21" s="2135"/>
      <c r="O21" s="2142"/>
      <c r="P21" s="3247"/>
      <c r="Q21" s="1572" t="str">
        <f t="shared" ref="Q21:Q35" si="8">B21</f>
        <v>区域土地利用方向</v>
      </c>
      <c r="R21" s="1573" t="s">
        <v>8</v>
      </c>
      <c r="S21" s="1574">
        <f>F21</f>
        <v>100</v>
      </c>
      <c r="T21" s="1573" t="s">
        <v>8</v>
      </c>
      <c r="U21" s="1574">
        <f>H21</f>
        <v>100</v>
      </c>
      <c r="V21" s="1573" t="s">
        <v>8</v>
      </c>
      <c r="W21" s="1574">
        <f>J21</f>
        <v>100</v>
      </c>
      <c r="X21" s="1567"/>
      <c r="Y21" s="3247"/>
      <c r="Z21" s="1575" t="str">
        <f>Q21</f>
        <v>区域土地利用方向</v>
      </c>
      <c r="AA21" s="1576">
        <f t="shared" si="3"/>
        <v>1</v>
      </c>
      <c r="AB21" s="1576">
        <f t="shared" si="4"/>
        <v>1</v>
      </c>
      <c r="AC21" s="1576">
        <f t="shared" si="5"/>
        <v>1</v>
      </c>
    </row>
    <row r="22" spans="1:29" ht="15">
      <c r="A22" s="517"/>
      <c r="B22" s="596"/>
      <c r="C22" s="577"/>
      <c r="D22" s="556"/>
      <c r="E22" s="557"/>
      <c r="F22" s="558"/>
      <c r="G22" s="559"/>
      <c r="H22" s="558"/>
      <c r="I22" s="559"/>
      <c r="J22" s="558"/>
      <c r="K22" s="1347"/>
      <c r="L22" s="2143"/>
      <c r="M22" s="2135"/>
      <c r="N22" s="2135"/>
      <c r="O22" s="2142"/>
      <c r="P22" s="3247"/>
      <c r="Q22" s="1572"/>
      <c r="R22" s="1573"/>
      <c r="S22" s="1574"/>
      <c r="T22" s="1573"/>
      <c r="U22" s="1574"/>
      <c r="V22" s="1573"/>
      <c r="W22" s="1574"/>
      <c r="X22" s="1567"/>
      <c r="Y22" s="3247"/>
      <c r="Z22" s="1575"/>
      <c r="AA22" s="1576"/>
      <c r="AB22" s="1576"/>
      <c r="AC22" s="1576"/>
    </row>
    <row r="23" spans="1:29" ht="71.25">
      <c r="A23" s="517"/>
      <c r="B23" s="921"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3"/>
      <c r="M23" s="2135"/>
      <c r="N23" s="2135"/>
      <c r="O23" s="2142"/>
      <c r="P23" s="3247"/>
      <c r="Q23" s="1572" t="str">
        <f t="shared" si="8"/>
        <v>环境状况</v>
      </c>
      <c r="R23" s="1573" t="s">
        <v>8</v>
      </c>
      <c r="S23" s="1574">
        <f>F23</f>
        <v>100</v>
      </c>
      <c r="T23" s="1573" t="s">
        <v>8</v>
      </c>
      <c r="U23" s="1574">
        <f>H23</f>
        <v>100</v>
      </c>
      <c r="V23" s="1573" t="s">
        <v>8</v>
      </c>
      <c r="W23" s="1574">
        <f>J23</f>
        <v>100</v>
      </c>
      <c r="X23" s="1567"/>
      <c r="Y23" s="3247"/>
      <c r="Z23" s="1575" t="str">
        <f>Q23</f>
        <v>环境状况</v>
      </c>
      <c r="AA23" s="1576">
        <f t="shared" si="3"/>
        <v>1</v>
      </c>
      <c r="AB23" s="1576">
        <f t="shared" si="4"/>
        <v>1</v>
      </c>
      <c r="AC23" s="1576">
        <f t="shared" si="5"/>
        <v>1</v>
      </c>
    </row>
    <row r="24" spans="1:29" ht="15">
      <c r="A24" s="517"/>
      <c r="B24" s="596"/>
      <c r="C24" s="577"/>
      <c r="D24" s="556"/>
      <c r="E24" s="555"/>
      <c r="F24" s="556"/>
      <c r="G24" s="555"/>
      <c r="H24" s="556"/>
      <c r="I24" s="577"/>
      <c r="J24" s="556"/>
      <c r="K24" s="532"/>
      <c r="L24" s="2143"/>
      <c r="M24" s="2135"/>
      <c r="N24" s="2135"/>
      <c r="O24" s="2142"/>
      <c r="P24" s="3247"/>
      <c r="Q24" s="1572"/>
      <c r="R24" s="1573"/>
      <c r="S24" s="1574"/>
      <c r="T24" s="1573"/>
      <c r="U24" s="1574"/>
      <c r="V24" s="1573"/>
      <c r="W24" s="1574"/>
      <c r="X24" s="1567"/>
      <c r="Y24" s="3247"/>
      <c r="Z24" s="1575"/>
      <c r="AA24" s="1576">
        <v>1</v>
      </c>
      <c r="AB24" s="1576">
        <v>1</v>
      </c>
      <c r="AC24" s="1576">
        <v>1</v>
      </c>
    </row>
    <row r="25" spans="1:29" s="1219" customFormat="1" ht="42.75">
      <c r="A25" s="578"/>
      <c r="B25" s="2615" t="s">
        <v>2554</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6"/>
      <c r="M25" s="2137"/>
      <c r="N25" s="2137"/>
      <c r="O25" s="2138"/>
      <c r="P25" s="3247"/>
      <c r="Q25" s="1150" t="str">
        <f t="shared" si="8"/>
        <v>公共配套设施</v>
      </c>
      <c r="R25" s="1568" t="s">
        <v>8</v>
      </c>
      <c r="S25" s="1569">
        <f>F25</f>
        <v>100</v>
      </c>
      <c r="T25" s="1568" t="s">
        <v>8</v>
      </c>
      <c r="U25" s="1569">
        <f>H25</f>
        <v>100</v>
      </c>
      <c r="V25" s="1568" t="s">
        <v>8</v>
      </c>
      <c r="W25" s="1569">
        <f>J25</f>
        <v>100</v>
      </c>
      <c r="X25" s="1570"/>
      <c r="Y25" s="3247"/>
      <c r="Z25" s="1149" t="str">
        <f>Q25</f>
        <v>公共配套设施</v>
      </c>
      <c r="AA25" s="1576">
        <f>D25/F25</f>
        <v>1</v>
      </c>
      <c r="AB25" s="1576">
        <f>D25/H25</f>
        <v>1</v>
      </c>
      <c r="AC25" s="1576">
        <f>D25/J25</f>
        <v>1</v>
      </c>
    </row>
    <row r="26" spans="1:29" s="1219" customFormat="1" ht="15">
      <c r="A26" s="578"/>
      <c r="B26" s="596"/>
      <c r="C26" s="2614"/>
      <c r="D26" s="556"/>
      <c r="E26" s="555"/>
      <c r="F26" s="556"/>
      <c r="G26" s="555"/>
      <c r="H26" s="556"/>
      <c r="I26" s="577"/>
      <c r="J26" s="556"/>
      <c r="K26" s="532"/>
      <c r="L26" s="2136"/>
      <c r="M26" s="2137"/>
      <c r="N26" s="2137"/>
      <c r="O26" s="2138"/>
      <c r="P26" s="3247"/>
      <c r="Q26" s="1150"/>
      <c r="R26" s="1568"/>
      <c r="S26" s="1569"/>
      <c r="T26" s="1568"/>
      <c r="U26" s="1569"/>
      <c r="V26" s="1568"/>
      <c r="W26" s="1569"/>
      <c r="X26" s="1570"/>
      <c r="Y26" s="3247"/>
      <c r="Z26" s="1149"/>
      <c r="AA26" s="1571">
        <v>1</v>
      </c>
      <c r="AB26" s="1571">
        <v>1</v>
      </c>
      <c r="AC26" s="1571">
        <v>1</v>
      </c>
    </row>
    <row r="27" spans="1:29" s="1219" customFormat="1" ht="28.5">
      <c r="A27" s="578"/>
      <c r="B27" s="2615" t="s">
        <v>2555</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6"/>
      <c r="M27" s="2137"/>
      <c r="N27" s="2137"/>
      <c r="O27" s="2138"/>
      <c r="P27" s="3247"/>
      <c r="Q27" s="2600" t="str">
        <f>B27</f>
        <v>基础设施水平</v>
      </c>
      <c r="R27" s="1568" t="s">
        <v>8</v>
      </c>
      <c r="S27" s="1569">
        <f>F27</f>
        <v>100</v>
      </c>
      <c r="T27" s="1568" t="s">
        <v>8</v>
      </c>
      <c r="U27" s="1569">
        <f>H27</f>
        <v>100</v>
      </c>
      <c r="V27" s="1568" t="s">
        <v>8</v>
      </c>
      <c r="W27" s="1569">
        <f>J27</f>
        <v>100</v>
      </c>
      <c r="X27" s="1570"/>
      <c r="Y27" s="3247"/>
      <c r="Z27" s="2597" t="str">
        <f>Q27</f>
        <v>基础设施水平</v>
      </c>
      <c r="AA27" s="1576">
        <f>D27/F27</f>
        <v>1</v>
      </c>
      <c r="AB27" s="1576">
        <f>D27/H27</f>
        <v>1</v>
      </c>
      <c r="AC27" s="1576">
        <f>D27/J27</f>
        <v>1</v>
      </c>
    </row>
    <row r="28" spans="1:29" s="1219" customFormat="1" ht="15">
      <c r="A28" s="578"/>
      <c r="B28" s="596"/>
      <c r="C28" s="2614"/>
      <c r="D28" s="556"/>
      <c r="E28" s="580"/>
      <c r="F28" s="556"/>
      <c r="G28" s="580"/>
      <c r="H28" s="556"/>
      <c r="I28" s="580"/>
      <c r="J28" s="556"/>
      <c r="K28" s="532"/>
      <c r="L28" s="2136"/>
      <c r="M28" s="2137"/>
      <c r="N28" s="2137"/>
      <c r="O28" s="2138"/>
      <c r="P28" s="3247"/>
      <c r="Q28" s="2600"/>
      <c r="R28" s="1568"/>
      <c r="S28" s="1569"/>
      <c r="T28" s="1568"/>
      <c r="U28" s="1569"/>
      <c r="V28" s="1568"/>
      <c r="W28" s="1569"/>
      <c r="X28" s="1570"/>
      <c r="Y28" s="3247"/>
      <c r="Z28" s="2597"/>
      <c r="AA28" s="1571">
        <v>1</v>
      </c>
      <c r="AB28" s="1571">
        <v>1</v>
      </c>
      <c r="AC28" s="1571">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3"/>
      <c r="M29" s="2135"/>
      <c r="N29" s="2135"/>
      <c r="O29" s="2142"/>
      <c r="P29" s="3247"/>
      <c r="Q29" s="1572" t="str">
        <f t="shared" si="8"/>
        <v>临街状况</v>
      </c>
      <c r="R29" s="1573" t="s">
        <v>8</v>
      </c>
      <c r="S29" s="1574">
        <f t="shared" ref="S29:S42" si="9">F29</f>
        <v>100</v>
      </c>
      <c r="T29" s="1573" t="s">
        <v>8</v>
      </c>
      <c r="U29" s="1574">
        <f t="shared" ref="U29:U42" si="10">H29</f>
        <v>100</v>
      </c>
      <c r="V29" s="1573" t="s">
        <v>8</v>
      </c>
      <c r="W29" s="1574">
        <f t="shared" ref="W29:W42" si="11">J29</f>
        <v>100</v>
      </c>
      <c r="X29" s="1567"/>
      <c r="Y29" s="3247"/>
      <c r="Z29" s="1575" t="str">
        <f t="shared" ref="Z29:Z42" si="12">Q29</f>
        <v>临街状况</v>
      </c>
      <c r="AA29" s="1576">
        <f t="shared" si="3"/>
        <v>1</v>
      </c>
      <c r="AB29" s="1576">
        <f t="shared" si="4"/>
        <v>1</v>
      </c>
      <c r="AC29" s="1576">
        <f t="shared" si="5"/>
        <v>1</v>
      </c>
    </row>
    <row r="30" spans="1:29" ht="27">
      <c r="A30" s="533"/>
      <c r="B30" s="921" t="s">
        <v>549</v>
      </c>
      <c r="C30" s="2617">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3"/>
      <c r="M30" s="2135"/>
      <c r="N30" s="2135"/>
      <c r="O30" s="2142"/>
      <c r="P30" s="3247"/>
      <c r="Q30" s="1572" t="str">
        <f t="shared" si="8"/>
        <v>毗邻道路的类型与等级</v>
      </c>
      <c r="R30" s="1573" t="s">
        <v>8</v>
      </c>
      <c r="S30" s="1574">
        <f t="shared" si="9"/>
        <v>100</v>
      </c>
      <c r="T30" s="1573" t="s">
        <v>8</v>
      </c>
      <c r="U30" s="1574">
        <f t="shared" si="10"/>
        <v>100</v>
      </c>
      <c r="V30" s="1573" t="s">
        <v>8</v>
      </c>
      <c r="W30" s="1574">
        <f t="shared" si="11"/>
        <v>100</v>
      </c>
      <c r="X30" s="1567"/>
      <c r="Y30" s="3247"/>
      <c r="Z30" s="1575" t="str">
        <f t="shared" si="12"/>
        <v>毗邻道路的类型与等级</v>
      </c>
      <c r="AA30" s="1576">
        <f t="shared" si="3"/>
        <v>1</v>
      </c>
      <c r="AB30" s="1576">
        <f t="shared" si="4"/>
        <v>1</v>
      </c>
      <c r="AC30" s="1576">
        <f t="shared" si="5"/>
        <v>1</v>
      </c>
    </row>
    <row r="31" spans="1:29" ht="15">
      <c r="A31" s="533"/>
      <c r="B31" s="596"/>
      <c r="C31" s="577"/>
      <c r="D31" s="556"/>
      <c r="E31" s="555"/>
      <c r="F31" s="556"/>
      <c r="G31" s="555"/>
      <c r="H31" s="556"/>
      <c r="I31" s="577"/>
      <c r="J31" s="556"/>
      <c r="K31" s="582"/>
      <c r="L31" s="2143"/>
      <c r="M31" s="2135"/>
      <c r="N31" s="2135"/>
      <c r="O31" s="2142"/>
      <c r="P31" s="3247"/>
      <c r="Q31" s="1572"/>
      <c r="R31" s="1573"/>
      <c r="S31" s="1574"/>
      <c r="T31" s="1573"/>
      <c r="U31" s="1574"/>
      <c r="V31" s="1573"/>
      <c r="W31" s="1574"/>
      <c r="X31" s="1567"/>
      <c r="Y31" s="3247"/>
      <c r="Z31" s="1575"/>
      <c r="AA31" s="1576">
        <v>1</v>
      </c>
      <c r="AB31" s="1576">
        <v>1</v>
      </c>
      <c r="AC31" s="1576">
        <v>1</v>
      </c>
    </row>
    <row r="32" spans="1:29" ht="15">
      <c r="A32" s="533"/>
      <c r="B32" s="529" t="s">
        <v>550</v>
      </c>
      <c r="C32" s="2618">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3"/>
      <c r="M32" s="2135"/>
      <c r="N32" s="2135"/>
      <c r="O32" s="2142"/>
      <c r="P32" s="3247"/>
      <c r="Q32" s="1572" t="str">
        <f t="shared" si="8"/>
        <v>土地级别</v>
      </c>
      <c r="R32" s="1573" t="s">
        <v>8</v>
      </c>
      <c r="S32" s="1574">
        <f t="shared" si="9"/>
        <v>100</v>
      </c>
      <c r="T32" s="1573" t="s">
        <v>8</v>
      </c>
      <c r="U32" s="1574">
        <f t="shared" si="10"/>
        <v>100</v>
      </c>
      <c r="V32" s="1573" t="s">
        <v>8</v>
      </c>
      <c r="W32" s="1574">
        <f t="shared" si="11"/>
        <v>100</v>
      </c>
      <c r="X32" s="1567"/>
      <c r="Y32" s="3247"/>
      <c r="Z32" s="1575" t="str">
        <f t="shared" si="12"/>
        <v>土地级别</v>
      </c>
      <c r="AA32" s="1576">
        <f t="shared" si="3"/>
        <v>1</v>
      </c>
      <c r="AB32" s="1576">
        <f t="shared" si="4"/>
        <v>1</v>
      </c>
      <c r="AC32" s="1576">
        <f t="shared" si="5"/>
        <v>1</v>
      </c>
    </row>
    <row r="33" spans="1:29" ht="15">
      <c r="A33" s="517"/>
      <c r="B33" s="877">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3"/>
      <c r="M33" s="2135"/>
      <c r="N33" s="2135"/>
      <c r="O33" s="2142"/>
      <c r="P33" s="3247"/>
      <c r="Q33" s="1572">
        <f t="shared" si="8"/>
        <v>111</v>
      </c>
      <c r="R33" s="1573" t="s">
        <v>8</v>
      </c>
      <c r="S33" s="1574">
        <f t="shared" si="9"/>
        <v>100</v>
      </c>
      <c r="T33" s="1573" t="s">
        <v>8</v>
      </c>
      <c r="U33" s="1574">
        <f t="shared" si="10"/>
        <v>100</v>
      </c>
      <c r="V33" s="1573" t="s">
        <v>8</v>
      </c>
      <c r="W33" s="1574">
        <f t="shared" si="11"/>
        <v>100</v>
      </c>
      <c r="X33" s="1567"/>
      <c r="Y33" s="3247"/>
      <c r="Z33" s="1575">
        <f t="shared" si="12"/>
        <v>111</v>
      </c>
      <c r="AA33" s="1576">
        <f t="shared" si="3"/>
        <v>1</v>
      </c>
      <c r="AB33" s="1576">
        <f t="shared" si="4"/>
        <v>1</v>
      </c>
      <c r="AC33" s="1576">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3"/>
      <c r="M34" s="2135"/>
      <c r="N34" s="2135"/>
      <c r="O34" s="2142"/>
      <c r="P34" s="3248" t="s">
        <v>551</v>
      </c>
      <c r="Q34" s="1572">
        <f t="shared" si="8"/>
        <v>111</v>
      </c>
      <c r="R34" s="1573" t="s">
        <v>8</v>
      </c>
      <c r="S34" s="1574">
        <f t="shared" si="9"/>
        <v>100</v>
      </c>
      <c r="T34" s="1573" t="s">
        <v>8</v>
      </c>
      <c r="U34" s="1574">
        <f t="shared" si="10"/>
        <v>100</v>
      </c>
      <c r="V34" s="1573" t="s">
        <v>8</v>
      </c>
      <c r="W34" s="1574">
        <f t="shared" si="11"/>
        <v>100</v>
      </c>
      <c r="X34" s="1567"/>
      <c r="Y34" s="3249" t="s">
        <v>551</v>
      </c>
      <c r="Z34" s="1575">
        <f t="shared" si="12"/>
        <v>111</v>
      </c>
      <c r="AA34" s="1576">
        <f t="shared" si="3"/>
        <v>1</v>
      </c>
      <c r="AB34" s="1576">
        <f t="shared" si="4"/>
        <v>1</v>
      </c>
      <c r="AC34" s="1576">
        <f t="shared" si="5"/>
        <v>1</v>
      </c>
    </row>
    <row r="35" spans="1:29" s="1338" customFormat="1" ht="15.75" thickBot="1">
      <c r="A35" s="590"/>
      <c r="B35" s="2616">
        <v>111</v>
      </c>
      <c r="C35" s="594"/>
      <c r="D35" s="255">
        <v>100</v>
      </c>
      <c r="E35" s="742"/>
      <c r="F35" s="547">
        <f>SUMIF(107:107,E35,108:108)-SUMIF(107:107,C35,108:108)+100</f>
        <v>100</v>
      </c>
      <c r="G35" s="742"/>
      <c r="H35" s="547">
        <f>SUMIF(107:107,G35,108:108)-SUMIF(107:107,C35,108:108)+100</f>
        <v>100</v>
      </c>
      <c r="I35" s="594"/>
      <c r="J35" s="547">
        <f>SUMIF(107:107,I35,108:108)-SUMIF(107:107,C35,108:108)+100</f>
        <v>100</v>
      </c>
      <c r="K35" s="582"/>
      <c r="L35" s="2141"/>
      <c r="M35" s="2172"/>
      <c r="N35" s="2172"/>
      <c r="O35" s="2144"/>
      <c r="P35" s="3249"/>
      <c r="Q35" s="1572">
        <f t="shared" si="8"/>
        <v>111</v>
      </c>
      <c r="R35" s="1577" t="s">
        <v>8</v>
      </c>
      <c r="S35" s="1578">
        <f t="shared" si="9"/>
        <v>100</v>
      </c>
      <c r="T35" s="1577" t="s">
        <v>8</v>
      </c>
      <c r="U35" s="1578">
        <f t="shared" si="10"/>
        <v>100</v>
      </c>
      <c r="V35" s="1577" t="s">
        <v>8</v>
      </c>
      <c r="W35" s="1578">
        <f t="shared" si="11"/>
        <v>100</v>
      </c>
      <c r="X35" s="1579"/>
      <c r="Y35" s="3249"/>
      <c r="Z35" s="1580">
        <f t="shared" si="12"/>
        <v>111</v>
      </c>
      <c r="AA35" s="1576">
        <f t="shared" si="3"/>
        <v>1</v>
      </c>
      <c r="AB35" s="1576">
        <f t="shared" si="4"/>
        <v>1</v>
      </c>
      <c r="AC35" s="1576">
        <f t="shared" si="5"/>
        <v>1</v>
      </c>
    </row>
    <row r="36" spans="1:29" ht="15">
      <c r="A36" s="2931" t="s">
        <v>2763</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3"/>
      <c r="M36" s="2135"/>
      <c r="N36" s="2135"/>
      <c r="O36" s="2142"/>
      <c r="P36" s="3249"/>
      <c r="Q36" s="1572" t="str">
        <f>B36</f>
        <v>宗地面积</v>
      </c>
      <c r="R36" s="1573" t="s">
        <v>8</v>
      </c>
      <c r="S36" s="1574" t="e">
        <f t="shared" si="9"/>
        <v>#N/A</v>
      </c>
      <c r="T36" s="1573" t="s">
        <v>8</v>
      </c>
      <c r="U36" s="1574" t="e">
        <f t="shared" si="10"/>
        <v>#N/A</v>
      </c>
      <c r="V36" s="1573" t="s">
        <v>8</v>
      </c>
      <c r="W36" s="1574" t="e">
        <f t="shared" si="11"/>
        <v>#N/A</v>
      </c>
      <c r="X36" s="1567"/>
      <c r="Y36" s="3249"/>
      <c r="Z36" s="1575" t="str">
        <f t="shared" si="12"/>
        <v>宗地面积</v>
      </c>
      <c r="AA36" s="1576" t="e">
        <f t="shared" si="3"/>
        <v>#N/A</v>
      </c>
      <c r="AB36" s="1576" t="e">
        <f t="shared" si="4"/>
        <v>#N/A</v>
      </c>
      <c r="AC36" s="1576" t="e">
        <f t="shared" si="5"/>
        <v>#N/A</v>
      </c>
    </row>
    <row r="37" spans="1:29" ht="15">
      <c r="A37" s="595"/>
      <c r="B37" s="529"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3"/>
      <c r="M37" s="2135"/>
      <c r="N37" s="2135"/>
      <c r="O37" s="2142"/>
      <c r="P37" s="3249"/>
      <c r="Q37" s="1572" t="str">
        <f t="shared" ref="Q37:Q42" si="13">B37</f>
        <v>宗地形状</v>
      </c>
      <c r="R37" s="1573" t="s">
        <v>8</v>
      </c>
      <c r="S37" s="1574">
        <f t="shared" si="9"/>
        <v>100</v>
      </c>
      <c r="T37" s="1573" t="s">
        <v>8</v>
      </c>
      <c r="U37" s="1574">
        <f t="shared" si="10"/>
        <v>100</v>
      </c>
      <c r="V37" s="1573" t="s">
        <v>8</v>
      </c>
      <c r="W37" s="1574">
        <f t="shared" si="11"/>
        <v>100</v>
      </c>
      <c r="X37" s="1567"/>
      <c r="Y37" s="3249"/>
      <c r="Z37" s="1575" t="str">
        <f t="shared" si="12"/>
        <v>宗地形状</v>
      </c>
      <c r="AA37" s="1576">
        <f t="shared" si="3"/>
        <v>1</v>
      </c>
      <c r="AB37" s="1576">
        <f t="shared" si="4"/>
        <v>1</v>
      </c>
      <c r="AC37" s="1576">
        <f t="shared" si="5"/>
        <v>1</v>
      </c>
    </row>
    <row r="38" spans="1:29" s="1219" customFormat="1" ht="15">
      <c r="A38" s="601"/>
      <c r="B38" s="1896" t="s">
        <v>2428</v>
      </c>
      <c r="C38" s="602"/>
      <c r="D38" s="254">
        <v>100</v>
      </c>
      <c r="E38" s="602"/>
      <c r="F38" s="541">
        <f>SUMIF(114:114,E38,115:115)-SUMIF(114:114,C38,115:115)+100</f>
        <v>100</v>
      </c>
      <c r="G38" s="602"/>
      <c r="H38" s="541">
        <f>SUMIF(114:114,G38,115:115)-SUMIF(114:114,C38,115:115)+100</f>
        <v>100</v>
      </c>
      <c r="I38" s="602"/>
      <c r="J38" s="541">
        <f>SUMIF(114:114,I38,115:115)-SUMIF(114:114,C38,115:115)+100</f>
        <v>100</v>
      </c>
      <c r="K38" s="585"/>
      <c r="L38" s="2136"/>
      <c r="M38" s="2137"/>
      <c r="N38" s="2137"/>
      <c r="O38" s="2138"/>
      <c r="P38" s="3249"/>
      <c r="Q38" s="1572" t="str">
        <f t="shared" si="13"/>
        <v>宗地开发程度</v>
      </c>
      <c r="R38" s="1568" t="s">
        <v>8</v>
      </c>
      <c r="S38" s="1569">
        <f t="shared" si="9"/>
        <v>100</v>
      </c>
      <c r="T38" s="1568" t="s">
        <v>8</v>
      </c>
      <c r="U38" s="1569">
        <f t="shared" si="10"/>
        <v>100</v>
      </c>
      <c r="V38" s="1568" t="s">
        <v>8</v>
      </c>
      <c r="W38" s="1569">
        <f t="shared" si="11"/>
        <v>100</v>
      </c>
      <c r="X38" s="1570"/>
      <c r="Y38" s="3249"/>
      <c r="Z38" s="1149" t="str">
        <f t="shared" si="12"/>
        <v>宗地开发程度</v>
      </c>
      <c r="AA38" s="1571">
        <f t="shared" si="3"/>
        <v>1</v>
      </c>
      <c r="AB38" s="1571">
        <f t="shared" si="4"/>
        <v>1</v>
      </c>
      <c r="AC38" s="1571">
        <f t="shared" si="5"/>
        <v>1</v>
      </c>
    </row>
    <row r="39" spans="1:29" ht="15">
      <c r="A39" s="595"/>
      <c r="B39" s="529"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249" t="s">
        <v>602</v>
      </c>
      <c r="Q39" s="1572" t="str">
        <f t="shared" si="13"/>
        <v>工程地质条件</v>
      </c>
      <c r="R39" s="1573" t="s">
        <v>8</v>
      </c>
      <c r="S39" s="1574">
        <f t="shared" si="9"/>
        <v>100</v>
      </c>
      <c r="T39" s="1573" t="s">
        <v>8</v>
      </c>
      <c r="U39" s="1574">
        <f t="shared" si="10"/>
        <v>100</v>
      </c>
      <c r="V39" s="1573" t="s">
        <v>8</v>
      </c>
      <c r="W39" s="1574">
        <f t="shared" si="11"/>
        <v>100</v>
      </c>
      <c r="X39" s="1567"/>
      <c r="Y39" s="3249" t="s">
        <v>602</v>
      </c>
      <c r="Z39" s="1575" t="str">
        <f t="shared" si="12"/>
        <v>工程地质条件</v>
      </c>
      <c r="AA39" s="1576">
        <f t="shared" si="3"/>
        <v>1</v>
      </c>
      <c r="AB39" s="1576">
        <f t="shared" si="4"/>
        <v>1</v>
      </c>
      <c r="AC39" s="1576">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3"/>
      <c r="M40" s="2135"/>
      <c r="N40" s="2135"/>
      <c r="O40" s="2142"/>
      <c r="P40" s="3249"/>
      <c r="Q40" s="1572">
        <f t="shared" si="13"/>
        <v>111</v>
      </c>
      <c r="R40" s="1573" t="s">
        <v>8</v>
      </c>
      <c r="S40" s="1574">
        <f t="shared" si="9"/>
        <v>100</v>
      </c>
      <c r="T40" s="1573" t="s">
        <v>8</v>
      </c>
      <c r="U40" s="1574">
        <f t="shared" si="10"/>
        <v>100</v>
      </c>
      <c r="V40" s="1573" t="s">
        <v>8</v>
      </c>
      <c r="W40" s="1574">
        <f t="shared" si="11"/>
        <v>100</v>
      </c>
      <c r="X40" s="1567"/>
      <c r="Y40" s="3249"/>
      <c r="Z40" s="1575">
        <f t="shared" si="12"/>
        <v>111</v>
      </c>
      <c r="AA40" s="1576">
        <f t="shared" si="3"/>
        <v>1</v>
      </c>
      <c r="AB40" s="1576">
        <f t="shared" si="4"/>
        <v>1</v>
      </c>
      <c r="AC40" s="1576">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3"/>
      <c r="M41" s="2135"/>
      <c r="N41" s="2135"/>
      <c r="O41" s="2142"/>
      <c r="P41" s="3249"/>
      <c r="Q41" s="1572">
        <f t="shared" si="13"/>
        <v>111</v>
      </c>
      <c r="R41" s="1573" t="s">
        <v>8</v>
      </c>
      <c r="S41" s="1574">
        <f t="shared" si="9"/>
        <v>100</v>
      </c>
      <c r="T41" s="1573" t="s">
        <v>8</v>
      </c>
      <c r="U41" s="1574">
        <f t="shared" si="10"/>
        <v>100</v>
      </c>
      <c r="V41" s="1573" t="s">
        <v>8</v>
      </c>
      <c r="W41" s="1574">
        <f t="shared" si="11"/>
        <v>100</v>
      </c>
      <c r="X41" s="1567"/>
      <c r="Y41" s="3249"/>
      <c r="Z41" s="1575">
        <f t="shared" si="12"/>
        <v>111</v>
      </c>
      <c r="AA41" s="1576">
        <f t="shared" si="3"/>
        <v>1</v>
      </c>
      <c r="AB41" s="1576">
        <f t="shared" si="4"/>
        <v>1</v>
      </c>
      <c r="AC41" s="1576">
        <f t="shared" si="5"/>
        <v>1</v>
      </c>
    </row>
    <row r="42" spans="1:29" s="1338" customFormat="1" ht="15.75" thickBot="1">
      <c r="A42" s="604"/>
      <c r="B42" s="603">
        <v>111</v>
      </c>
      <c r="C42" s="605"/>
      <c r="D42" s="255">
        <v>100</v>
      </c>
      <c r="E42" s="543"/>
      <c r="F42" s="547">
        <f>SUMIF(122:122,E42,123:123)-SUMIF(122:122,C42,123:123)+100</f>
        <v>100</v>
      </c>
      <c r="G42" s="543"/>
      <c r="H42" s="547">
        <f>SUMIF(122:122,G42,123:123)-SUMIF(122:122,C42,123:123)+100</f>
        <v>100</v>
      </c>
      <c r="I42" s="542"/>
      <c r="J42" s="547">
        <f>SUMIF(122:122,I42,123:123)-SUMIF(122:122,C42,123:123)+100</f>
        <v>100</v>
      </c>
      <c r="K42" s="607"/>
      <c r="L42" s="2141"/>
      <c r="M42" s="2172"/>
      <c r="N42" s="2172"/>
      <c r="O42" s="2144"/>
      <c r="P42" s="3249"/>
      <c r="Q42" s="1572">
        <f t="shared" si="13"/>
        <v>111</v>
      </c>
      <c r="R42" s="1577" t="s">
        <v>8</v>
      </c>
      <c r="S42" s="1578">
        <f t="shared" si="9"/>
        <v>100</v>
      </c>
      <c r="T42" s="1577" t="s">
        <v>8</v>
      </c>
      <c r="U42" s="1578">
        <f t="shared" si="10"/>
        <v>100</v>
      </c>
      <c r="V42" s="1577" t="s">
        <v>8</v>
      </c>
      <c r="W42" s="1578">
        <f t="shared" si="11"/>
        <v>100</v>
      </c>
      <c r="X42" s="1579"/>
      <c r="Y42" s="3249"/>
      <c r="Z42" s="1580">
        <f t="shared" si="12"/>
        <v>111</v>
      </c>
      <c r="AA42" s="1576">
        <f t="shared" si="3"/>
        <v>1</v>
      </c>
      <c r="AB42" s="1576">
        <f t="shared" si="4"/>
        <v>1</v>
      </c>
      <c r="AC42" s="1576">
        <f t="shared" si="5"/>
        <v>1</v>
      </c>
    </row>
    <row r="43" spans="1:29" ht="15">
      <c r="A43" s="608" t="s">
        <v>557</v>
      </c>
      <c r="B43" s="609" t="s">
        <v>2942</v>
      </c>
      <c r="C43" s="610" t="s">
        <v>1</v>
      </c>
      <c r="D43" s="611"/>
      <c r="E43" s="612"/>
      <c r="F43" s="613"/>
      <c r="G43" s="614"/>
      <c r="H43" s="615"/>
      <c r="I43" s="612"/>
      <c r="J43" s="615"/>
      <c r="K43" s="1339"/>
      <c r="L43" s="2145"/>
      <c r="M43" s="2135"/>
      <c r="N43" s="2135"/>
      <c r="O43" s="2146"/>
      <c r="P43" s="3241" t="str">
        <f>A43</f>
        <v>成交单价</v>
      </c>
      <c r="Q43" s="3241"/>
      <c r="R43" s="3254">
        <f>E43</f>
        <v>0</v>
      </c>
      <c r="S43" s="3254"/>
      <c r="T43" s="3254">
        <f>G43</f>
        <v>0</v>
      </c>
      <c r="U43" s="3254"/>
      <c r="V43" s="3254">
        <f>I43</f>
        <v>0</v>
      </c>
      <c r="W43" s="3254"/>
      <c r="X43" s="1559"/>
      <c r="Y43" s="1581"/>
      <c r="Z43" s="1559"/>
      <c r="AA43" s="1559"/>
      <c r="AB43" s="1559"/>
      <c r="AC43" s="1559"/>
    </row>
    <row r="44" spans="1:29" ht="15.75" thickBot="1">
      <c r="A44" s="616" t="s">
        <v>2701</v>
      </c>
      <c r="B44" s="617"/>
      <c r="C44" s="618" t="e">
        <f>R45</f>
        <v>#DIV/0!</v>
      </c>
      <c r="D44" s="619"/>
      <c r="E44" s="618" t="e">
        <f>R44</f>
        <v>#DIV/0!</v>
      </c>
      <c r="F44" s="620"/>
      <c r="G44" s="621" t="e">
        <f>T44</f>
        <v>#DIV/0!</v>
      </c>
      <c r="H44" s="619"/>
      <c r="I44" s="618" t="e">
        <f>V44</f>
        <v>#DIV/0!</v>
      </c>
      <c r="J44" s="619"/>
      <c r="K44" s="1340"/>
      <c r="L44" s="2145"/>
      <c r="M44" s="2135"/>
      <c r="N44" s="2135"/>
      <c r="O44" s="2146"/>
      <c r="P44" s="3241" t="str">
        <f>A44</f>
        <v>比较价格（元/平方米）</v>
      </c>
      <c r="Q44" s="3241"/>
      <c r="R44" s="3429" t="e">
        <f>ROUND(PRODUCT(R43,AA9:AA42),0)</f>
        <v>#DIV/0!</v>
      </c>
      <c r="S44" s="3429"/>
      <c r="T44" s="3429" t="e">
        <f>ROUND(PRODUCT(T43,AB9:AB42),0)</f>
        <v>#DIV/0!</v>
      </c>
      <c r="U44" s="3429"/>
      <c r="V44" s="3429" t="e">
        <f>ROUND(PRODUCT(V43,AC9:AC42),0)</f>
        <v>#DIV/0!</v>
      </c>
      <c r="W44" s="3429"/>
      <c r="X44" s="1559"/>
      <c r="Y44" s="1559"/>
      <c r="Z44" s="1559"/>
      <c r="AA44" s="1559"/>
      <c r="AB44" s="1559"/>
      <c r="AC44" s="1559"/>
    </row>
    <row r="45" spans="1:29" ht="15.75" thickBot="1">
      <c r="A45" s="622" t="s">
        <v>2943</v>
      </c>
      <c r="B45" s="623"/>
      <c r="C45" s="624" t="e">
        <f>R45</f>
        <v>#DIV/0!</v>
      </c>
      <c r="D45" s="624"/>
      <c r="E45" s="624"/>
      <c r="F45" s="624"/>
      <c r="G45" s="624"/>
      <c r="H45" s="624"/>
      <c r="I45" s="624"/>
      <c r="J45" s="624"/>
      <c r="K45" s="1341"/>
      <c r="L45" s="2145"/>
      <c r="M45" s="2135"/>
      <c r="N45" s="2135"/>
      <c r="O45" s="2146"/>
      <c r="P45" s="3243" t="str">
        <f>A45</f>
        <v>估价对象XX用房的比较价格（楼面单价，元/平方米）</v>
      </c>
      <c r="Q45" s="3244"/>
      <c r="R45" s="3430" t="e">
        <f>ROUND(AVERAGE(R44:V44),0)</f>
        <v>#DIV/0!</v>
      </c>
      <c r="S45" s="3430"/>
      <c r="T45" s="3430"/>
      <c r="U45" s="3430"/>
      <c r="V45" s="3430"/>
      <c r="W45" s="343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0" t="s">
        <v>561</v>
      </c>
      <c r="B52" s="631" t="s">
        <v>562</v>
      </c>
      <c r="C52" s="1560" t="s">
        <v>1726</v>
      </c>
      <c r="D52" s="2228" t="s">
        <v>2296</v>
      </c>
      <c r="E52" s="632" t="s">
        <v>563</v>
      </c>
      <c r="F52" s="1952" t="s">
        <v>564</v>
      </c>
      <c r="G52" s="3438" t="s">
        <v>2287</v>
      </c>
      <c r="H52" s="3439"/>
      <c r="I52" s="1953" t="s">
        <v>1949</v>
      </c>
      <c r="J52" s="1555" t="str">
        <f>项目基本情况!F41</f>
        <v>云南省昆明市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4" t="s">
        <v>565</v>
      </c>
      <c r="B53" s="635" t="e">
        <f>C45</f>
        <v>#DIV/0!</v>
      </c>
      <c r="C53" s="636">
        <v>1</v>
      </c>
      <c r="D53" s="2229">
        <v>1</v>
      </c>
      <c r="E53" s="636">
        <f>'数据-汇总表'!E8+'数据-汇总表'!E9</f>
        <v>159953</v>
      </c>
      <c r="F53" s="1951" t="e">
        <f t="shared" ref="F53:F62" si="14">ROUND(B53*E53/10000,0)</f>
        <v>#DIV/0!</v>
      </c>
      <c r="G53" s="3440"/>
      <c r="H53" s="344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8" t="s">
        <v>566</v>
      </c>
      <c r="B54" s="639" t="e">
        <f>ROUND($C$45*C54*D54,0)</f>
        <v>#DIV/0!</v>
      </c>
      <c r="C54" s="380">
        <f t="shared" ref="C54:C62" si="15">IF($C$52="北京市系数",I54,J54)</f>
        <v>0</v>
      </c>
      <c r="D54" s="2230">
        <v>0.25</v>
      </c>
      <c r="E54" s="640"/>
      <c r="F54" s="1951" t="e">
        <f t="shared" si="14"/>
        <v>#DIV/0!</v>
      </c>
      <c r="G54" s="3442"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8" t="s">
        <v>567</v>
      </c>
      <c r="B55" s="639" t="e">
        <f t="shared" ref="B55:B62" si="16">ROUND($C$45*C55*D55,0)</f>
        <v>#DIV/0!</v>
      </c>
      <c r="C55" s="380">
        <f t="shared" si="15"/>
        <v>0</v>
      </c>
      <c r="D55" s="2230">
        <v>0.25</v>
      </c>
      <c r="E55" s="640"/>
      <c r="F55" s="1951" t="e">
        <f t="shared" si="14"/>
        <v>#DIV/0!</v>
      </c>
      <c r="G55" s="344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8" t="s">
        <v>568</v>
      </c>
      <c r="B56" s="639" t="e">
        <f t="shared" si="16"/>
        <v>#DIV/0!</v>
      </c>
      <c r="C56" s="380">
        <f t="shared" si="15"/>
        <v>0</v>
      </c>
      <c r="D56" s="2230">
        <v>0.25</v>
      </c>
      <c r="E56" s="640"/>
      <c r="F56" s="1951" t="e">
        <f t="shared" si="14"/>
        <v>#DIV/0!</v>
      </c>
      <c r="G56" s="344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8" t="s">
        <v>569</v>
      </c>
      <c r="B57" s="639" t="e">
        <f t="shared" si="16"/>
        <v>#DIV/0!</v>
      </c>
      <c r="C57" s="380">
        <f t="shared" si="15"/>
        <v>0</v>
      </c>
      <c r="D57" s="2230">
        <v>0.25</v>
      </c>
      <c r="E57" s="640"/>
      <c r="F57" s="1951" t="e">
        <f t="shared" si="14"/>
        <v>#DIV/0!</v>
      </c>
      <c r="G57" s="344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2331</v>
      </c>
      <c r="B58" s="639" t="e">
        <f t="shared" si="16"/>
        <v>#DIV/0!</v>
      </c>
      <c r="C58" s="380">
        <f t="shared" si="15"/>
        <v>0</v>
      </c>
      <c r="D58" s="2230">
        <v>0.25</v>
      </c>
      <c r="E58" s="642">
        <f>'数据-汇总表'!E11</f>
        <v>0</v>
      </c>
      <c r="F58" s="1951" t="e">
        <f t="shared" si="14"/>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8" t="s">
        <v>570</v>
      </c>
      <c r="B59" s="639" t="e">
        <f t="shared" si="16"/>
        <v>#DIV/0!</v>
      </c>
      <c r="C59" s="380">
        <f t="shared" si="15"/>
        <v>0</v>
      </c>
      <c r="D59" s="2230">
        <v>0.25</v>
      </c>
      <c r="E59" s="642">
        <f>'数据-汇总表'!E12</f>
        <v>0</v>
      </c>
      <c r="F59" s="1951" t="e">
        <f t="shared" si="14"/>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8" t="s">
        <v>571</v>
      </c>
      <c r="B60" s="639" t="e">
        <f t="shared" si="16"/>
        <v>#DIV/0!</v>
      </c>
      <c r="C60" s="380">
        <f t="shared" si="15"/>
        <v>0</v>
      </c>
      <c r="D60" s="2230">
        <v>0.25</v>
      </c>
      <c r="E60" s="642">
        <f>'数据-汇总表'!E13</f>
        <v>54885</v>
      </c>
      <c r="F60" s="1951" t="e">
        <f t="shared" si="14"/>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8" t="s">
        <v>572</v>
      </c>
      <c r="B61" s="639" t="e">
        <f t="shared" si="16"/>
        <v>#DIV/0!</v>
      </c>
      <c r="C61" s="380">
        <f t="shared" si="15"/>
        <v>0</v>
      </c>
      <c r="D61" s="2230">
        <v>0.25</v>
      </c>
      <c r="E61" s="642">
        <f>'数据-汇总表'!E14</f>
        <v>0</v>
      </c>
      <c r="F61" s="1951" t="e">
        <f t="shared" si="14"/>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8" t="s">
        <v>573</v>
      </c>
      <c r="B62" s="639" t="e">
        <f t="shared" si="16"/>
        <v>#DIV/0!</v>
      </c>
      <c r="C62" s="380">
        <f t="shared" si="15"/>
        <v>0</v>
      </c>
      <c r="D62" s="2230">
        <v>0.25</v>
      </c>
      <c r="E62" s="642">
        <f>'数据-汇总表'!E15</f>
        <v>0</v>
      </c>
      <c r="F62" s="1951" t="e">
        <f t="shared" si="14"/>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3" t="s">
        <v>574</v>
      </c>
      <c r="B63" s="644" t="s">
        <v>17</v>
      </c>
      <c r="C63" s="644" t="s">
        <v>18</v>
      </c>
      <c r="D63" s="644" t="s">
        <v>2297</v>
      </c>
      <c r="E63" s="644">
        <f>IF(B43="楼面地价",SUM(E53:E62),'数据-汇总表'!D3)</f>
        <v>42563.17</v>
      </c>
      <c r="F63" s="645"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4" t="str">
        <f>YEAR(C9)&amp;"-"&amp;MONTH(C9)&amp;"-1"</f>
        <v>2018-3-1</v>
      </c>
      <c r="D65" s="2823">
        <f>EDATE(C65,-3)</f>
        <v>43070</v>
      </c>
      <c r="E65" s="2823">
        <f t="shared" ref="E65:N65" si="17">EDATE(D65,-3)</f>
        <v>42979</v>
      </c>
      <c r="F65" s="2823">
        <f t="shared" si="17"/>
        <v>42887</v>
      </c>
      <c r="G65" s="2823">
        <f t="shared" si="17"/>
        <v>42795</v>
      </c>
      <c r="H65" s="2823">
        <f t="shared" si="17"/>
        <v>42705</v>
      </c>
      <c r="I65" s="2823">
        <f t="shared" si="17"/>
        <v>42614</v>
      </c>
      <c r="J65" s="2823">
        <f t="shared" si="17"/>
        <v>42522</v>
      </c>
      <c r="K65" s="2823">
        <f t="shared" si="17"/>
        <v>42430</v>
      </c>
      <c r="L65" s="2823">
        <f t="shared" si="17"/>
        <v>42339</v>
      </c>
      <c r="M65" s="2823">
        <f t="shared" si="17"/>
        <v>42248</v>
      </c>
      <c r="N65" s="2823">
        <f t="shared" si="17"/>
        <v>42156</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0" t="s">
        <v>2539</v>
      </c>
      <c r="B67" s="647"/>
      <c r="C67" s="2818" t="str">
        <f>YEAR(C65)&amp;"-"&amp;ROUNDUP(MONTH(C65)/3,0)</f>
        <v>2018-1</v>
      </c>
      <c r="D67" s="2825" t="str">
        <f t="shared" ref="D67:N67" si="18">YEAR(D65)&amp;"-"&amp;ROUNDUP(MONTH(D65)/3,0)</f>
        <v>2017-4</v>
      </c>
      <c r="E67" s="2825" t="str">
        <f t="shared" si="18"/>
        <v>2017-3</v>
      </c>
      <c r="F67" s="2825" t="str">
        <f t="shared" si="18"/>
        <v>2017-2</v>
      </c>
      <c r="G67" s="2825" t="str">
        <f t="shared" si="18"/>
        <v>2017-1</v>
      </c>
      <c r="H67" s="2825" t="str">
        <f t="shared" si="18"/>
        <v>2016-4</v>
      </c>
      <c r="I67" s="2825" t="str">
        <f t="shared" si="18"/>
        <v>2016-3</v>
      </c>
      <c r="J67" s="2825" t="str">
        <f t="shared" si="18"/>
        <v>2016-2</v>
      </c>
      <c r="K67" s="2825" t="str">
        <f t="shared" si="18"/>
        <v>2016-1</v>
      </c>
      <c r="L67" s="2825" t="str">
        <f t="shared" si="18"/>
        <v>2015-4</v>
      </c>
      <c r="M67" s="2825" t="str">
        <f t="shared" si="18"/>
        <v>2015-3</v>
      </c>
      <c r="N67" s="2825" t="str">
        <f t="shared" si="18"/>
        <v>2015-2</v>
      </c>
      <c r="O67" s="2160"/>
      <c r="P67" s="2161"/>
      <c r="Q67" s="2162"/>
      <c r="R67" s="2162"/>
      <c r="S67" s="2162"/>
      <c r="T67" s="2162"/>
      <c r="U67" s="2162"/>
      <c r="V67" s="2162"/>
      <c r="W67" s="2162"/>
      <c r="X67" s="2162"/>
      <c r="Y67" s="2162"/>
      <c r="Z67" s="2162"/>
      <c r="AA67" s="2162"/>
      <c r="AB67" s="2162"/>
      <c r="AC67" s="2162"/>
    </row>
    <row r="68" spans="1:29" s="1219" customFormat="1" ht="27.75" customHeight="1">
      <c r="A68" s="2822" t="s">
        <v>2657</v>
      </c>
      <c r="B68" s="481" t="str">
        <f>"北京市平均增长率"&amp;TEXT(基准地价!P24,"0.00%")</f>
        <v>北京市平均增长率0.00%</v>
      </c>
      <c r="C68" s="893">
        <v>100</v>
      </c>
      <c r="D68" s="731"/>
      <c r="E68" s="731"/>
      <c r="F68" s="731"/>
      <c r="G68" s="731"/>
      <c r="H68" s="731"/>
      <c r="I68" s="731"/>
      <c r="J68" s="731"/>
      <c r="K68" s="731"/>
      <c r="L68" s="731"/>
      <c r="M68" s="2816"/>
      <c r="N68" s="2817"/>
      <c r="O68" s="2163"/>
      <c r="P68" s="2159"/>
      <c r="Q68" s="1994"/>
      <c r="R68" s="1994"/>
      <c r="S68" s="1994"/>
      <c r="T68" s="1994"/>
      <c r="U68" s="1994"/>
      <c r="V68" s="1994"/>
      <c r="W68" s="1994"/>
      <c r="X68" s="1994"/>
      <c r="Y68" s="1994"/>
      <c r="Z68" s="1994"/>
      <c r="AA68" s="1994"/>
      <c r="AB68" s="1994"/>
      <c r="AC68" s="1994"/>
    </row>
    <row r="69" spans="1:29" s="1219" customFormat="1" ht="15.75" thickBot="1">
      <c r="A69" s="654" t="s">
        <v>576</v>
      </c>
      <c r="B69" s="655"/>
      <c r="C69" s="2814"/>
      <c r="D69" s="2815"/>
      <c r="E69" s="2815"/>
      <c r="F69" s="2815"/>
      <c r="G69" s="2815"/>
      <c r="H69" s="2815"/>
      <c r="I69" s="2815"/>
      <c r="J69" s="2815"/>
      <c r="K69" s="2815"/>
      <c r="L69" s="2815"/>
      <c r="M69" s="2815"/>
      <c r="N69" s="2815"/>
      <c r="O69" s="2163"/>
      <c r="P69" s="2159"/>
      <c r="Q69" s="2159"/>
      <c r="R69" s="1994"/>
      <c r="S69" s="1994"/>
      <c r="T69" s="1994"/>
      <c r="U69" s="1994"/>
      <c r="V69" s="1994"/>
      <c r="W69" s="1994"/>
      <c r="X69" s="1994"/>
      <c r="Y69" s="1994"/>
      <c r="Z69" s="1994"/>
      <c r="AA69" s="1994"/>
      <c r="AB69" s="1994"/>
      <c r="AC69" s="1994"/>
    </row>
    <row r="70" spans="1:29" s="1219" customFormat="1" ht="15">
      <c r="A70" s="660" t="s">
        <v>532</v>
      </c>
      <c r="B70" s="649"/>
      <c r="C70" s="661" t="s">
        <v>577</v>
      </c>
      <c r="D70" s="662"/>
      <c r="E70" s="662"/>
      <c r="F70" s="662"/>
      <c r="G70" s="662"/>
      <c r="H70" s="662"/>
      <c r="I70" s="662"/>
      <c r="J70" s="662"/>
      <c r="K70" s="662"/>
      <c r="L70" s="663"/>
      <c r="M70" s="664"/>
      <c r="N70" s="2163"/>
      <c r="O70" s="2163"/>
      <c r="P70" s="2164"/>
      <c r="Q70" s="2159"/>
      <c r="R70" s="1994"/>
      <c r="S70" s="1994"/>
      <c r="T70" s="1994"/>
      <c r="U70" s="1994"/>
      <c r="V70" s="1994"/>
      <c r="W70" s="1994"/>
      <c r="X70" s="1994"/>
      <c r="Y70" s="1994"/>
      <c r="Z70" s="1994"/>
      <c r="AA70" s="1994"/>
      <c r="AB70" s="1994"/>
      <c r="AC70" s="1994"/>
    </row>
    <row r="71" spans="1:29" s="1219" customFormat="1" ht="15.75" thickBot="1">
      <c r="A71" s="660"/>
      <c r="B71" s="649"/>
      <c r="C71" s="650">
        <v>100</v>
      </c>
      <c r="D71" s="651"/>
      <c r="E71" s="651"/>
      <c r="F71" s="651"/>
      <c r="G71" s="651"/>
      <c r="H71" s="651"/>
      <c r="I71" s="651"/>
      <c r="J71" s="651"/>
      <c r="K71" s="651"/>
      <c r="L71" s="651"/>
      <c r="M71" s="653"/>
      <c r="N71" s="2163"/>
      <c r="O71" s="2163"/>
      <c r="P71" s="2159"/>
      <c r="Q71" s="2159"/>
      <c r="R71" s="1994"/>
      <c r="S71" s="1994"/>
      <c r="T71" s="1994"/>
      <c r="U71" s="1994"/>
      <c r="V71" s="1994"/>
      <c r="W71" s="1994"/>
      <c r="X71" s="1994"/>
      <c r="Y71" s="1994"/>
      <c r="Z71" s="1994"/>
      <c r="AA71" s="1994"/>
      <c r="AB71" s="1994"/>
      <c r="AC71" s="1994"/>
    </row>
    <row r="72" spans="1:29">
      <c r="A72" s="665" t="s">
        <v>578</v>
      </c>
      <c r="B72" s="666" t="s">
        <v>535</v>
      </c>
      <c r="C72" s="599"/>
      <c r="D72" s="599"/>
      <c r="E72" s="599"/>
      <c r="F72" s="599"/>
      <c r="G72" s="599"/>
      <c r="H72" s="599"/>
      <c r="I72" s="599"/>
      <c r="J72" s="599"/>
      <c r="K72" s="667"/>
      <c r="L72" s="668"/>
      <c r="M72" s="669"/>
      <c r="N72" s="2165"/>
      <c r="O72" s="2165"/>
      <c r="P72" s="2166"/>
      <c r="Q72" s="2159"/>
      <c r="R72" s="2146"/>
      <c r="S72" s="2146"/>
      <c r="T72" s="2146"/>
      <c r="U72" s="2146"/>
      <c r="V72" s="2146"/>
      <c r="W72" s="2146"/>
      <c r="X72" s="2146"/>
      <c r="Y72" s="2146"/>
      <c r="Z72" s="2146"/>
      <c r="AA72" s="2146"/>
      <c r="AB72" s="2146"/>
      <c r="AC72" s="2146"/>
    </row>
    <row r="73" spans="1:29" ht="15.75" thickBot="1">
      <c r="A73" s="670"/>
      <c r="B73" s="671"/>
      <c r="C73" s="672"/>
      <c r="D73" s="672"/>
      <c r="E73" s="672"/>
      <c r="F73" s="672"/>
      <c r="G73" s="672"/>
      <c r="H73" s="672"/>
      <c r="I73" s="672"/>
      <c r="J73" s="672"/>
      <c r="K73" s="672"/>
      <c r="L73" s="672"/>
      <c r="M73" s="673"/>
      <c r="N73" s="2167"/>
      <c r="O73" s="2167"/>
      <c r="P73" s="2166"/>
      <c r="Q73" s="2159"/>
      <c r="R73" s="2146"/>
      <c r="S73" s="2146"/>
      <c r="T73" s="2146"/>
      <c r="U73" s="2146"/>
      <c r="V73" s="2146"/>
      <c r="W73" s="2146"/>
      <c r="X73" s="2146"/>
      <c r="Y73" s="2146"/>
      <c r="Z73" s="2146"/>
      <c r="AA73" s="2146"/>
      <c r="AB73" s="2146"/>
      <c r="AC73" s="2146"/>
    </row>
    <row r="74" spans="1:29" ht="27.75" thickTop="1">
      <c r="A74" s="670"/>
      <c r="B74" s="674" t="s">
        <v>538</v>
      </c>
      <c r="C74" s="675"/>
      <c r="D74" s="675"/>
      <c r="E74" s="675"/>
      <c r="F74" s="675"/>
      <c r="G74" s="675"/>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c r="D75" s="680"/>
      <c r="E75" s="680"/>
      <c r="F75" s="680"/>
      <c r="G75" s="680"/>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682" t="s">
        <v>539</v>
      </c>
      <c r="C76" s="683" t="str">
        <f>C77&amp;"（含）"&amp;"-"&amp;D77</f>
        <v>（含）-</v>
      </c>
      <c r="D76" s="683" t="str">
        <f t="shared" ref="D76:L76" si="19">D77&amp;"（含）"&amp;"-"&amp;E77</f>
        <v>（含）-</v>
      </c>
      <c r="E76" s="683" t="str">
        <f t="shared" si="19"/>
        <v>（含）-</v>
      </c>
      <c r="F76" s="683" t="str">
        <f t="shared" si="19"/>
        <v>（含）-</v>
      </c>
      <c r="G76" s="683" t="str">
        <f t="shared" si="19"/>
        <v>（含）-</v>
      </c>
      <c r="H76" s="683" t="str">
        <f t="shared" si="19"/>
        <v>（含）-</v>
      </c>
      <c r="I76" s="683" t="str">
        <f t="shared" si="19"/>
        <v>（含）-</v>
      </c>
      <c r="J76" s="683" t="str">
        <f t="shared" si="19"/>
        <v>（含）-</v>
      </c>
      <c r="K76" s="683" t="str">
        <f t="shared" si="19"/>
        <v>（含）-</v>
      </c>
      <c r="L76" s="683" t="str">
        <f t="shared" si="19"/>
        <v>（含）-</v>
      </c>
      <c r="M76" s="556"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0"/>
      <c r="B77" s="684"/>
      <c r="C77" s="542"/>
      <c r="D77" s="542"/>
      <c r="E77" s="542"/>
      <c r="F77" s="542"/>
      <c r="G77" s="542"/>
      <c r="H77" s="542"/>
      <c r="I77" s="542"/>
      <c r="J77" s="542"/>
      <c r="K77" s="685"/>
      <c r="L77" s="686"/>
      <c r="M77" s="687"/>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80">
        <v>100</v>
      </c>
      <c r="D78" s="680">
        <f>IF($B$43="单位面积地价",C78+$K13,C78-$K13)</f>
        <v>100</v>
      </c>
      <c r="E78" s="680">
        <f t="shared" ref="E78:M78" si="20">IF($B$43="单位面积地价",D78+$K13,D78-$K13)</f>
        <v>100</v>
      </c>
      <c r="F78" s="680">
        <f t="shared" si="20"/>
        <v>100</v>
      </c>
      <c r="G78" s="680">
        <f t="shared" si="20"/>
        <v>100</v>
      </c>
      <c r="H78" s="680">
        <f t="shared" si="20"/>
        <v>100</v>
      </c>
      <c r="I78" s="680">
        <f t="shared" si="20"/>
        <v>100</v>
      </c>
      <c r="J78" s="680">
        <f t="shared" si="20"/>
        <v>100</v>
      </c>
      <c r="K78" s="680">
        <f t="shared" si="20"/>
        <v>100</v>
      </c>
      <c r="L78" s="680">
        <f t="shared" si="20"/>
        <v>100</v>
      </c>
      <c r="M78" s="680">
        <f t="shared" si="20"/>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8"/>
      <c r="B79" s="674">
        <f>B14</f>
        <v>111</v>
      </c>
      <c r="C79" s="689"/>
      <c r="D79" s="689"/>
      <c r="E79" s="689"/>
      <c r="F79" s="689"/>
      <c r="G79" s="689"/>
      <c r="H79" s="690"/>
      <c r="I79" s="690"/>
      <c r="J79" s="690"/>
      <c r="K79" s="690"/>
      <c r="L79" s="691"/>
      <c r="M79" s="692"/>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8"/>
      <c r="B80" s="679"/>
      <c r="C80" s="693"/>
      <c r="D80" s="672"/>
      <c r="E80" s="672"/>
      <c r="F80" s="672"/>
      <c r="G80" s="672"/>
      <c r="H80" s="672"/>
      <c r="I80" s="672"/>
      <c r="J80" s="672"/>
      <c r="K80" s="672"/>
      <c r="L80" s="672"/>
      <c r="M80" s="673"/>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8"/>
      <c r="B81" s="674">
        <f>B15</f>
        <v>111</v>
      </c>
      <c r="C81" s="689"/>
      <c r="D81" s="689"/>
      <c r="E81" s="689"/>
      <c r="F81" s="689"/>
      <c r="G81" s="689"/>
      <c r="H81" s="690"/>
      <c r="I81" s="690"/>
      <c r="J81" s="690"/>
      <c r="K81" s="690"/>
      <c r="L81" s="691"/>
      <c r="M81" s="692"/>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8"/>
      <c r="B82" s="679"/>
      <c r="C82" s="693"/>
      <c r="D82" s="693"/>
      <c r="E82" s="693"/>
      <c r="F82" s="693"/>
      <c r="G82" s="693"/>
      <c r="H82" s="694"/>
      <c r="I82" s="694"/>
      <c r="J82" s="694"/>
      <c r="K82" s="694"/>
      <c r="L82" s="694"/>
      <c r="M82" s="695"/>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8"/>
      <c r="B83" s="682">
        <f>B16</f>
        <v>111</v>
      </c>
      <c r="C83" s="662"/>
      <c r="D83" s="662"/>
      <c r="E83" s="662"/>
      <c r="F83" s="662"/>
      <c r="G83" s="662"/>
      <c r="H83" s="696"/>
      <c r="I83" s="696"/>
      <c r="J83" s="696"/>
      <c r="K83" s="696"/>
      <c r="L83" s="697"/>
      <c r="M83" s="698"/>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9"/>
      <c r="B84" s="700"/>
      <c r="C84" s="701"/>
      <c r="D84" s="701"/>
      <c r="E84" s="701"/>
      <c r="F84" s="701"/>
      <c r="G84" s="701"/>
      <c r="H84" s="702"/>
      <c r="I84" s="702"/>
      <c r="J84" s="702"/>
      <c r="K84" s="702"/>
      <c r="L84" s="702"/>
      <c r="M84" s="703"/>
      <c r="N84" s="2168"/>
      <c r="O84" s="2168"/>
      <c r="P84" s="2169"/>
      <c r="Q84" s="2170"/>
      <c r="R84" s="2171"/>
      <c r="S84" s="2171"/>
      <c r="T84" s="2171"/>
      <c r="U84" s="2171"/>
      <c r="V84" s="2171"/>
      <c r="W84" s="2171"/>
      <c r="X84" s="2171"/>
      <c r="Y84" s="2171"/>
      <c r="Z84" s="2171"/>
      <c r="AA84" s="2171"/>
      <c r="AB84" s="2171"/>
      <c r="AC84" s="2171"/>
    </row>
    <row r="85" spans="1:29">
      <c r="A85" s="665" t="s">
        <v>540</v>
      </c>
      <c r="B85" s="666" t="s">
        <v>603</v>
      </c>
      <c r="C85" s="704" t="s">
        <v>580</v>
      </c>
      <c r="D85" s="704" t="s">
        <v>581</v>
      </c>
      <c r="E85" s="704" t="s">
        <v>582</v>
      </c>
      <c r="F85" s="704" t="s">
        <v>583</v>
      </c>
      <c r="G85" s="704" t="s">
        <v>584</v>
      </c>
      <c r="H85" s="705"/>
      <c r="I85" s="705"/>
      <c r="J85" s="705"/>
      <c r="K85" s="706"/>
      <c r="L85" s="707"/>
      <c r="M85" s="708"/>
      <c r="N85" s="2165"/>
      <c r="O85" s="2165"/>
      <c r="P85" s="2175"/>
      <c r="Q85" s="2159"/>
      <c r="R85" s="2146"/>
      <c r="S85" s="2146"/>
      <c r="T85" s="2146"/>
      <c r="U85" s="2146"/>
      <c r="V85" s="2146"/>
      <c r="W85" s="2146"/>
      <c r="X85" s="2146"/>
      <c r="Y85" s="2146"/>
      <c r="Z85" s="2146"/>
      <c r="AA85" s="2146"/>
      <c r="AB85" s="2146"/>
      <c r="AC85" s="2146"/>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7"/>
      <c r="O86" s="2167"/>
      <c r="P86" s="2166"/>
      <c r="Q86" s="2159"/>
      <c r="R86" s="2146"/>
      <c r="S86" s="2146"/>
      <c r="T86" s="2146"/>
      <c r="U86" s="2146"/>
      <c r="V86" s="2146"/>
      <c r="W86" s="2146"/>
      <c r="X86" s="2146"/>
      <c r="Y86" s="2146"/>
      <c r="Z86" s="2146"/>
      <c r="AA86" s="2146"/>
      <c r="AB86" s="2146"/>
      <c r="AC86" s="2146"/>
    </row>
    <row r="87" spans="1:29" ht="15.75" thickTop="1">
      <c r="A87" s="670"/>
      <c r="B87" s="674" t="s">
        <v>587</v>
      </c>
      <c r="C87" s="709" t="s">
        <v>580</v>
      </c>
      <c r="D87" s="709" t="s">
        <v>581</v>
      </c>
      <c r="E87" s="709" t="s">
        <v>582</v>
      </c>
      <c r="F87" s="709" t="s">
        <v>583</v>
      </c>
      <c r="G87" s="709" t="s">
        <v>584</v>
      </c>
      <c r="H87" s="675"/>
      <c r="I87" s="675"/>
      <c r="J87" s="675"/>
      <c r="K87" s="676"/>
      <c r="L87" s="677"/>
      <c r="M87" s="678"/>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7"/>
      <c r="O88" s="2167"/>
      <c r="P88" s="2166"/>
      <c r="Q88" s="2159"/>
      <c r="R88" s="2146"/>
      <c r="S88" s="2146"/>
      <c r="T88" s="2146"/>
      <c r="U88" s="2146"/>
      <c r="V88" s="2146"/>
      <c r="W88" s="2146"/>
      <c r="X88" s="2146"/>
      <c r="Y88" s="2146"/>
      <c r="Z88" s="2146"/>
      <c r="AA88" s="2146"/>
      <c r="AB88" s="2146"/>
      <c r="AC88" s="2146"/>
    </row>
    <row r="89" spans="1:29" s="1219" customFormat="1" ht="27.75" thickTop="1">
      <c r="A89" s="710"/>
      <c r="B89" s="674" t="s">
        <v>588</v>
      </c>
      <c r="C89" s="709" t="s">
        <v>580</v>
      </c>
      <c r="D89" s="709" t="s">
        <v>581</v>
      </c>
      <c r="E89" s="709" t="s">
        <v>582</v>
      </c>
      <c r="F89" s="709" t="s">
        <v>583</v>
      </c>
      <c r="G89" s="709" t="s">
        <v>584</v>
      </c>
      <c r="H89" s="709"/>
      <c r="I89" s="709"/>
      <c r="J89" s="709"/>
      <c r="K89" s="709"/>
      <c r="L89" s="711"/>
      <c r="M89" s="712"/>
      <c r="N89" s="2163"/>
      <c r="O89" s="2163"/>
      <c r="P89" s="2166"/>
      <c r="Q89" s="2159"/>
      <c r="R89" s="1994"/>
      <c r="S89" s="1994"/>
      <c r="T89" s="1994"/>
      <c r="U89" s="1994"/>
      <c r="V89" s="1994"/>
      <c r="W89" s="1994"/>
      <c r="X89" s="1994"/>
      <c r="Y89" s="1994"/>
      <c r="Z89" s="1994"/>
      <c r="AA89" s="1994"/>
      <c r="AB89" s="1994"/>
      <c r="AC89" s="1994"/>
    </row>
    <row r="90" spans="1:29" s="1219" customFormat="1" ht="15.75" thickBot="1">
      <c r="A90" s="710"/>
      <c r="B90" s="679"/>
      <c r="C90" s="713">
        <v>100</v>
      </c>
      <c r="D90" s="680">
        <f>C90-$K21</f>
        <v>100</v>
      </c>
      <c r="E90" s="680">
        <f>D90-$K21</f>
        <v>100</v>
      </c>
      <c r="F90" s="680">
        <f>E90-$K21</f>
        <v>100</v>
      </c>
      <c r="G90" s="680">
        <f>F90-$K21</f>
        <v>100</v>
      </c>
      <c r="H90" s="680"/>
      <c r="I90" s="680"/>
      <c r="J90" s="680"/>
      <c r="K90" s="680"/>
      <c r="L90" s="680"/>
      <c r="M90" s="681"/>
      <c r="N90" s="2167"/>
      <c r="O90" s="2167"/>
      <c r="P90" s="2166"/>
      <c r="Q90" s="2159"/>
      <c r="R90" s="1994"/>
      <c r="S90" s="1994"/>
      <c r="T90" s="1994"/>
      <c r="U90" s="1994"/>
      <c r="V90" s="1994"/>
      <c r="W90" s="1994"/>
      <c r="X90" s="1994"/>
      <c r="Y90" s="1994"/>
      <c r="Z90" s="1994"/>
      <c r="AA90" s="1994"/>
      <c r="AB90" s="1994"/>
      <c r="AC90" s="1994"/>
    </row>
    <row r="91" spans="1:29" s="1219" customFormat="1" ht="27.75" thickTop="1">
      <c r="A91" s="710"/>
      <c r="B91" s="674" t="s">
        <v>589</v>
      </c>
      <c r="C91" s="704" t="s">
        <v>580</v>
      </c>
      <c r="D91" s="704" t="s">
        <v>581</v>
      </c>
      <c r="E91" s="704" t="s">
        <v>582</v>
      </c>
      <c r="F91" s="704" t="s">
        <v>583</v>
      </c>
      <c r="G91" s="704" t="s">
        <v>584</v>
      </c>
      <c r="H91" s="709"/>
      <c r="I91" s="709"/>
      <c r="J91" s="709"/>
      <c r="K91" s="709"/>
      <c r="L91" s="709"/>
      <c r="M91" s="712"/>
      <c r="N91" s="2163"/>
      <c r="O91" s="2163"/>
      <c r="P91" s="2166"/>
      <c r="Q91" s="2159"/>
      <c r="R91" s="1994"/>
      <c r="S91" s="1994"/>
      <c r="T91" s="1994"/>
      <c r="U91" s="1994"/>
      <c r="V91" s="1994"/>
      <c r="W91" s="1994"/>
      <c r="X91" s="1994"/>
      <c r="Y91" s="1994"/>
      <c r="Z91" s="1994"/>
      <c r="AA91" s="1994"/>
      <c r="AB91" s="1994"/>
      <c r="AC91" s="1994"/>
    </row>
    <row r="92" spans="1:29" s="1219" customFormat="1" ht="15.75" thickBot="1">
      <c r="A92" s="710"/>
      <c r="B92" s="679"/>
      <c r="C92" s="680">
        <v>100</v>
      </c>
      <c r="D92" s="680">
        <f>C92-$K23</f>
        <v>100</v>
      </c>
      <c r="E92" s="680">
        <f>D92-$K23</f>
        <v>100</v>
      </c>
      <c r="F92" s="680">
        <f>E92-$K23</f>
        <v>100</v>
      </c>
      <c r="G92" s="680">
        <f>F92-$K23</f>
        <v>100</v>
      </c>
      <c r="H92" s="680"/>
      <c r="I92" s="680"/>
      <c r="J92" s="680"/>
      <c r="K92" s="680"/>
      <c r="L92" s="680"/>
      <c r="M92" s="681"/>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8"/>
      <c r="B93" s="1897" t="s">
        <v>2554</v>
      </c>
      <c r="C93" s="704" t="s">
        <v>580</v>
      </c>
      <c r="D93" s="704" t="s">
        <v>581</v>
      </c>
      <c r="E93" s="704" t="s">
        <v>582</v>
      </c>
      <c r="F93" s="704" t="s">
        <v>583</v>
      </c>
      <c r="G93" s="704" t="s">
        <v>584</v>
      </c>
      <c r="H93" s="714"/>
      <c r="I93" s="714"/>
      <c r="J93" s="714"/>
      <c r="K93" s="714"/>
      <c r="L93" s="715"/>
      <c r="M93" s="716"/>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8"/>
      <c r="B94" s="679"/>
      <c r="C94" s="680">
        <v>100</v>
      </c>
      <c r="D94" s="680">
        <f>C94-$K25</f>
        <v>100</v>
      </c>
      <c r="E94" s="680">
        <f>D94-$K25</f>
        <v>100</v>
      </c>
      <c r="F94" s="680">
        <f>E94-$K25</f>
        <v>100</v>
      </c>
      <c r="G94" s="680">
        <f>F94-$K25</f>
        <v>100</v>
      </c>
      <c r="H94" s="717"/>
      <c r="I94" s="717"/>
      <c r="J94" s="717"/>
      <c r="K94" s="717"/>
      <c r="L94" s="717"/>
      <c r="M94" s="718"/>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8"/>
      <c r="B95" s="2619" t="s">
        <v>2556</v>
      </c>
      <c r="C95" s="2620" t="s">
        <v>2557</v>
      </c>
      <c r="D95" s="2620" t="s">
        <v>2558</v>
      </c>
      <c r="E95" s="2620" t="s">
        <v>2559</v>
      </c>
      <c r="F95" s="2620" t="s">
        <v>2560</v>
      </c>
      <c r="G95" s="2620" t="s">
        <v>2561</v>
      </c>
      <c r="H95" s="714"/>
      <c r="I95" s="714"/>
      <c r="J95" s="714"/>
      <c r="K95" s="714"/>
      <c r="L95" s="714"/>
      <c r="M95" s="716"/>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8"/>
      <c r="B96" s="682"/>
      <c r="C96" s="680">
        <v>100</v>
      </c>
      <c r="D96" s="680">
        <f>C96-$K27</f>
        <v>100</v>
      </c>
      <c r="E96" s="680">
        <f>D96-$K27</f>
        <v>100</v>
      </c>
      <c r="F96" s="680">
        <f>E96-$K27</f>
        <v>100</v>
      </c>
      <c r="G96" s="680">
        <f>F96-$K27</f>
        <v>100</v>
      </c>
      <c r="H96" s="684"/>
      <c r="I96" s="684"/>
      <c r="J96" s="684"/>
      <c r="K96" s="684"/>
      <c r="L96" s="684"/>
      <c r="M96" s="2612"/>
      <c r="N96" s="2168"/>
      <c r="O96" s="2168"/>
      <c r="P96" s="2169"/>
      <c r="Q96" s="2170"/>
      <c r="R96" s="2171"/>
      <c r="S96" s="2171"/>
      <c r="T96" s="2171"/>
      <c r="U96" s="2171"/>
      <c r="V96" s="2171"/>
      <c r="W96" s="2171"/>
      <c r="X96" s="2171"/>
      <c r="Y96" s="2171"/>
      <c r="Z96" s="2171"/>
      <c r="AA96" s="2171"/>
      <c r="AB96" s="2171"/>
      <c r="AC96" s="2171"/>
    </row>
    <row r="97" spans="1:29" ht="15.75" thickTop="1">
      <c r="A97" s="670"/>
      <c r="B97" s="674" t="str">
        <f>B29</f>
        <v>临街状况</v>
      </c>
      <c r="C97" s="675" t="s">
        <v>590</v>
      </c>
      <c r="D97" s="675" t="s">
        <v>591</v>
      </c>
      <c r="E97" s="675" t="s">
        <v>592</v>
      </c>
      <c r="F97" s="675" t="s">
        <v>593</v>
      </c>
      <c r="G97" s="675"/>
      <c r="H97" s="675"/>
      <c r="I97" s="675"/>
      <c r="J97" s="675"/>
      <c r="K97" s="676"/>
      <c r="L97" s="677"/>
      <c r="M97" s="678"/>
      <c r="N97" s="2165"/>
      <c r="O97" s="2165"/>
      <c r="P97" s="2166"/>
      <c r="Q97" s="2159"/>
      <c r="R97" s="2146"/>
      <c r="S97" s="2146"/>
      <c r="T97" s="2146"/>
      <c r="U97" s="2146"/>
      <c r="V97" s="2146"/>
      <c r="W97" s="2146"/>
      <c r="X97" s="2146"/>
      <c r="Y97" s="2146"/>
      <c r="Z97" s="2146"/>
      <c r="AA97" s="2146"/>
      <c r="AB97" s="2146"/>
      <c r="AC97" s="2146"/>
    </row>
    <row r="98" spans="1:29" ht="15.75" thickBot="1">
      <c r="A98" s="670"/>
      <c r="B98" s="679"/>
      <c r="C98" s="680">
        <v>100</v>
      </c>
      <c r="D98" s="680">
        <f t="shared" ref="D98:M98" si="21">C98-$K29</f>
        <v>100</v>
      </c>
      <c r="E98" s="680">
        <f t="shared" si="21"/>
        <v>100</v>
      </c>
      <c r="F98" s="680">
        <f t="shared" si="21"/>
        <v>100</v>
      </c>
      <c r="G98" s="680">
        <f t="shared" si="21"/>
        <v>100</v>
      </c>
      <c r="H98" s="680">
        <f t="shared" si="21"/>
        <v>100</v>
      </c>
      <c r="I98" s="680">
        <f t="shared" si="21"/>
        <v>100</v>
      </c>
      <c r="J98" s="680">
        <f t="shared" si="21"/>
        <v>100</v>
      </c>
      <c r="K98" s="680">
        <f t="shared" si="21"/>
        <v>100</v>
      </c>
      <c r="L98" s="680">
        <f t="shared" si="21"/>
        <v>100</v>
      </c>
      <c r="M98" s="680">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70"/>
      <c r="B99" s="674" t="s">
        <v>549</v>
      </c>
      <c r="C99" s="689"/>
      <c r="D99" s="689"/>
      <c r="E99" s="689"/>
      <c r="F99" s="689"/>
      <c r="G99" s="689"/>
      <c r="H99" s="719"/>
      <c r="I99" s="719"/>
      <c r="J99" s="719"/>
      <c r="K99" s="720"/>
      <c r="L99" s="721"/>
      <c r="M99" s="722"/>
      <c r="N99" s="2165"/>
      <c r="O99" s="2165"/>
      <c r="P99" s="2166"/>
      <c r="Q99" s="2159"/>
      <c r="R99" s="2146"/>
      <c r="S99" s="2146"/>
      <c r="T99" s="2146"/>
      <c r="U99" s="2146"/>
      <c r="V99" s="2146"/>
      <c r="W99" s="2146"/>
      <c r="X99" s="2146"/>
      <c r="Y99" s="2146"/>
      <c r="Z99" s="2146"/>
      <c r="AA99" s="2146"/>
      <c r="AB99" s="2146"/>
      <c r="AC99" s="2146"/>
    </row>
    <row r="100" spans="1:29" ht="15.75" thickBot="1">
      <c r="A100" s="670"/>
      <c r="B100" s="679"/>
      <c r="C100" s="680">
        <v>100</v>
      </c>
      <c r="D100" s="680">
        <f t="shared" ref="D100:M100" si="22">C100-$K30</f>
        <v>100</v>
      </c>
      <c r="E100" s="680">
        <f t="shared" si="22"/>
        <v>100</v>
      </c>
      <c r="F100" s="680">
        <f t="shared" si="22"/>
        <v>100</v>
      </c>
      <c r="G100" s="680">
        <f t="shared" si="22"/>
        <v>100</v>
      </c>
      <c r="H100" s="680">
        <f t="shared" si="22"/>
        <v>100</v>
      </c>
      <c r="I100" s="680">
        <f t="shared" si="22"/>
        <v>100</v>
      </c>
      <c r="J100" s="680">
        <f t="shared" si="22"/>
        <v>100</v>
      </c>
      <c r="K100" s="680">
        <f t="shared" si="22"/>
        <v>100</v>
      </c>
      <c r="L100" s="680">
        <f t="shared" si="22"/>
        <v>100</v>
      </c>
      <c r="M100" s="680">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0"/>
      <c r="B101" s="674" t="s">
        <v>550</v>
      </c>
      <c r="C101" s="719"/>
      <c r="D101" s="719"/>
      <c r="E101" s="719"/>
      <c r="F101" s="719"/>
      <c r="G101" s="719"/>
      <c r="H101" s="719"/>
      <c r="I101" s="719"/>
      <c r="J101" s="719"/>
      <c r="K101" s="720"/>
      <c r="L101" s="721"/>
      <c r="M101" s="72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3">C102-$K32</f>
        <v>100</v>
      </c>
      <c r="E102" s="680">
        <f t="shared" si="23"/>
        <v>100</v>
      </c>
      <c r="F102" s="680">
        <f t="shared" si="23"/>
        <v>100</v>
      </c>
      <c r="G102" s="680">
        <f t="shared" si="23"/>
        <v>100</v>
      </c>
      <c r="H102" s="680">
        <f t="shared" si="23"/>
        <v>100</v>
      </c>
      <c r="I102" s="680">
        <f t="shared" si="23"/>
        <v>100</v>
      </c>
      <c r="J102" s="680">
        <f t="shared" si="23"/>
        <v>100</v>
      </c>
      <c r="K102" s="680">
        <f t="shared" si="23"/>
        <v>100</v>
      </c>
      <c r="L102" s="680">
        <f t="shared" si="23"/>
        <v>100</v>
      </c>
      <c r="M102" s="680">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0"/>
      <c r="B103" s="682">
        <f>B33</f>
        <v>111</v>
      </c>
      <c r="C103" s="689"/>
      <c r="D103" s="689"/>
      <c r="E103" s="689"/>
      <c r="F103" s="689"/>
      <c r="G103" s="723"/>
      <c r="H103" s="723"/>
      <c r="I103" s="723"/>
      <c r="J103" s="723"/>
      <c r="K103" s="724"/>
      <c r="L103" s="725"/>
      <c r="M103" s="726"/>
      <c r="N103" s="2165"/>
      <c r="O103" s="2165"/>
      <c r="P103" s="2166"/>
      <c r="Q103" s="2159"/>
      <c r="R103" s="2146"/>
      <c r="S103" s="2146"/>
      <c r="T103" s="2146"/>
      <c r="U103" s="2146"/>
      <c r="V103" s="2146"/>
      <c r="W103" s="2146"/>
      <c r="X103" s="2146"/>
      <c r="Y103" s="2146"/>
      <c r="Z103" s="2146"/>
      <c r="AA103" s="2146"/>
      <c r="AB103" s="2146"/>
      <c r="AC103" s="2146"/>
    </row>
    <row r="104" spans="1:29" ht="15.75" thickBot="1">
      <c r="A104" s="670"/>
      <c r="B104" s="700"/>
      <c r="C104" s="693"/>
      <c r="D104" s="672"/>
      <c r="E104" s="672"/>
      <c r="F104" s="672"/>
      <c r="G104" s="727"/>
      <c r="H104" s="727"/>
      <c r="I104" s="727"/>
      <c r="J104" s="727"/>
      <c r="K104" s="727"/>
      <c r="L104" s="727"/>
      <c r="M104" s="728"/>
      <c r="N104" s="2167"/>
      <c r="O104" s="2167"/>
      <c r="P104" s="2166"/>
      <c r="Q104" s="2159"/>
      <c r="R104" s="2146"/>
      <c r="S104" s="2146"/>
      <c r="T104" s="2146"/>
      <c r="U104" s="2146"/>
      <c r="V104" s="2146"/>
      <c r="W104" s="2146"/>
      <c r="X104" s="2146"/>
      <c r="Y104" s="2146"/>
      <c r="Z104" s="2146"/>
      <c r="AA104" s="2146"/>
      <c r="AB104" s="2146"/>
      <c r="AC104" s="2146"/>
    </row>
    <row r="105" spans="1:29" ht="15" thickTop="1">
      <c r="A105" s="588"/>
      <c r="B105" s="674">
        <f>B34</f>
        <v>111</v>
      </c>
      <c r="C105" s="689"/>
      <c r="D105" s="689"/>
      <c r="E105" s="689"/>
      <c r="F105" s="68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93"/>
      <c r="D106" s="693"/>
      <c r="E106" s="693"/>
      <c r="F106" s="693"/>
      <c r="G106" s="672"/>
      <c r="H106" s="672"/>
      <c r="I106" s="672"/>
      <c r="J106" s="672"/>
      <c r="K106" s="672"/>
      <c r="L106" s="672"/>
      <c r="M106" s="673"/>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9"/>
      <c r="B107" s="730">
        <f>B35</f>
        <v>111</v>
      </c>
      <c r="C107" s="662"/>
      <c r="D107" s="662"/>
      <c r="E107" s="662"/>
      <c r="F107" s="662"/>
      <c r="G107" s="731"/>
      <c r="H107" s="731"/>
      <c r="I107" s="731"/>
      <c r="J107" s="732"/>
      <c r="K107" s="732"/>
      <c r="L107" s="733"/>
      <c r="M107" s="734"/>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8"/>
      <c r="B108" s="682"/>
      <c r="C108" s="701"/>
      <c r="D108" s="701"/>
      <c r="E108" s="701"/>
      <c r="F108" s="701"/>
      <c r="G108" s="593"/>
      <c r="H108" s="593"/>
      <c r="I108" s="593"/>
      <c r="J108" s="593"/>
      <c r="K108" s="593"/>
      <c r="L108" s="593"/>
      <c r="M108" s="735"/>
      <c r="N108" s="2167"/>
      <c r="O108" s="2167"/>
      <c r="P108" s="2169"/>
      <c r="Q108" s="2170"/>
      <c r="R108" s="2171"/>
      <c r="S108" s="2171"/>
      <c r="T108" s="2171"/>
      <c r="U108" s="2171"/>
      <c r="V108" s="2171"/>
      <c r="W108" s="2171"/>
      <c r="X108" s="2171"/>
      <c r="Y108" s="2171"/>
      <c r="Z108" s="2171"/>
      <c r="AA108" s="2171"/>
      <c r="AB108" s="2171"/>
      <c r="AC108" s="2171"/>
    </row>
    <row r="109" spans="1:29">
      <c r="A109" s="665" t="s">
        <v>552</v>
      </c>
      <c r="B109" s="666" t="s">
        <v>594</v>
      </c>
      <c r="C109" s="705" t="str">
        <f t="shared" ref="C109:L109" si="24">C110&amp;"(含)"&amp;"-"&amp;D110</f>
        <v>(含)-</v>
      </c>
      <c r="D109" s="705" t="str">
        <f t="shared" si="24"/>
        <v>(含)-</v>
      </c>
      <c r="E109" s="705" t="str">
        <f t="shared" si="24"/>
        <v>(含)-</v>
      </c>
      <c r="F109" s="705" t="str">
        <f t="shared" si="24"/>
        <v>(含)-</v>
      </c>
      <c r="G109" s="705" t="str">
        <f t="shared" si="24"/>
        <v>(含)-</v>
      </c>
      <c r="H109" s="705" t="str">
        <f t="shared" si="24"/>
        <v>(含)-</v>
      </c>
      <c r="I109" s="705" t="str">
        <f t="shared" si="24"/>
        <v>(含)-</v>
      </c>
      <c r="J109" s="705" t="str">
        <f t="shared" si="24"/>
        <v>(含)-</v>
      </c>
      <c r="K109" s="3117" t="str">
        <f t="shared" si="24"/>
        <v>(含)-</v>
      </c>
      <c r="L109" s="3118" t="str">
        <f t="shared" si="24"/>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0"/>
      <c r="B110" s="682"/>
      <c r="C110" s="731"/>
      <c r="D110" s="731"/>
      <c r="E110" s="731"/>
      <c r="F110" s="731"/>
      <c r="G110" s="731"/>
      <c r="H110" s="731"/>
      <c r="I110" s="731"/>
      <c r="J110" s="732"/>
      <c r="K110" s="732"/>
      <c r="L110" s="733"/>
      <c r="M110" s="734"/>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01"/>
      <c r="D111" s="727"/>
      <c r="E111" s="727"/>
      <c r="F111" s="727"/>
      <c r="G111" s="727"/>
      <c r="H111" s="727"/>
      <c r="I111" s="727"/>
      <c r="J111" s="727"/>
      <c r="K111" s="727"/>
      <c r="L111" s="727"/>
      <c r="M111" s="728"/>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74" t="s">
        <v>595</v>
      </c>
      <c r="C112" s="719"/>
      <c r="D112" s="719"/>
      <c r="E112" s="719"/>
      <c r="F112" s="719"/>
      <c r="G112" s="719"/>
      <c r="H112" s="719"/>
      <c r="I112" s="719"/>
      <c r="J112" s="719"/>
      <c r="K112" s="720"/>
      <c r="L112" s="721"/>
      <c r="M112" s="722"/>
      <c r="N112" s="2165"/>
      <c r="O112" s="2165"/>
      <c r="P112" s="2166"/>
      <c r="Q112" s="2159"/>
      <c r="R112" s="2146"/>
      <c r="S112" s="2146"/>
      <c r="T112" s="2146"/>
      <c r="U112" s="2146"/>
      <c r="V112" s="2146"/>
      <c r="W112" s="2146"/>
      <c r="X112" s="2146"/>
      <c r="Y112" s="2146"/>
      <c r="Z112" s="2146"/>
      <c r="AA112" s="2146"/>
      <c r="AB112" s="2146"/>
      <c r="AC112" s="2146"/>
    </row>
    <row r="113" spans="1:29" ht="15.75" thickBot="1">
      <c r="A113" s="670"/>
      <c r="B113" s="679"/>
      <c r="C113" s="680">
        <v>100</v>
      </c>
      <c r="D113" s="680">
        <f t="shared" ref="D113:M113" si="25">C113-$K37</f>
        <v>100</v>
      </c>
      <c r="E113" s="680">
        <f t="shared" si="25"/>
        <v>100</v>
      </c>
      <c r="F113" s="680">
        <f t="shared" si="25"/>
        <v>100</v>
      </c>
      <c r="G113" s="680">
        <f t="shared" si="25"/>
        <v>100</v>
      </c>
      <c r="H113" s="680">
        <f t="shared" si="25"/>
        <v>100</v>
      </c>
      <c r="I113" s="680">
        <f t="shared" si="25"/>
        <v>100</v>
      </c>
      <c r="J113" s="680">
        <f t="shared" si="25"/>
        <v>100</v>
      </c>
      <c r="K113" s="680">
        <f t="shared" si="25"/>
        <v>100</v>
      </c>
      <c r="L113" s="680">
        <f t="shared" si="25"/>
        <v>100</v>
      </c>
      <c r="M113" s="681">
        <f t="shared" si="25"/>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9"/>
      <c r="B114" s="1897" t="s">
        <v>2429</v>
      </c>
      <c r="C114" s="1375"/>
      <c r="D114" s="1375"/>
      <c r="E114" s="1375"/>
      <c r="F114" s="1375"/>
      <c r="G114" s="1375"/>
      <c r="H114" s="719"/>
      <c r="I114" s="719"/>
      <c r="J114" s="719"/>
      <c r="K114" s="720"/>
      <c r="L114" s="721"/>
      <c r="M114" s="722"/>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8"/>
      <c r="B115" s="679"/>
      <c r="C115" s="680">
        <v>100</v>
      </c>
      <c r="D115" s="680">
        <f t="shared" ref="D115:M115" si="26">C115-$K38</f>
        <v>100</v>
      </c>
      <c r="E115" s="680">
        <f t="shared" si="26"/>
        <v>100</v>
      </c>
      <c r="F115" s="680">
        <f t="shared" si="26"/>
        <v>100</v>
      </c>
      <c r="G115" s="680">
        <f t="shared" si="26"/>
        <v>100</v>
      </c>
      <c r="H115" s="680">
        <f t="shared" si="26"/>
        <v>100</v>
      </c>
      <c r="I115" s="680">
        <f t="shared" si="26"/>
        <v>100</v>
      </c>
      <c r="J115" s="680">
        <f t="shared" si="26"/>
        <v>100</v>
      </c>
      <c r="K115" s="680">
        <f t="shared" si="26"/>
        <v>100</v>
      </c>
      <c r="L115" s="680">
        <f t="shared" si="26"/>
        <v>100</v>
      </c>
      <c r="M115" s="681">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6"/>
      <c r="B116" s="674" t="s">
        <v>597</v>
      </c>
      <c r="C116" s="689"/>
      <c r="D116" s="689"/>
      <c r="E116" s="719"/>
      <c r="F116" s="719"/>
      <c r="G116" s="71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 t="shared" ref="D117:M117" si="27">C117-$K39</f>
        <v>100</v>
      </c>
      <c r="E117" s="680">
        <f t="shared" si="27"/>
        <v>100</v>
      </c>
      <c r="F117" s="680">
        <f t="shared" si="27"/>
        <v>100</v>
      </c>
      <c r="G117" s="680">
        <f t="shared" si="27"/>
        <v>100</v>
      </c>
      <c r="H117" s="680">
        <f t="shared" si="27"/>
        <v>100</v>
      </c>
      <c r="I117" s="680">
        <f t="shared" si="27"/>
        <v>100</v>
      </c>
      <c r="J117" s="680">
        <f t="shared" si="27"/>
        <v>100</v>
      </c>
      <c r="K117" s="680">
        <f t="shared" si="27"/>
        <v>100</v>
      </c>
      <c r="L117" s="680">
        <f t="shared" si="27"/>
        <v>100</v>
      </c>
      <c r="M117" s="681">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f>B40</f>
        <v>111</v>
      </c>
      <c r="C118" s="689"/>
      <c r="D118" s="689"/>
      <c r="E118" s="689"/>
      <c r="F118" s="689"/>
      <c r="G118" s="68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ht="15" thickTop="1">
      <c r="A120" s="736"/>
      <c r="B120" s="674">
        <f>B41</f>
        <v>111</v>
      </c>
      <c r="C120" s="689"/>
      <c r="D120" s="689"/>
      <c r="E120" s="689"/>
      <c r="F120" s="689"/>
      <c r="G120" s="719"/>
      <c r="H120" s="719"/>
      <c r="I120" s="719"/>
      <c r="J120" s="719"/>
      <c r="K120" s="720"/>
      <c r="L120" s="721"/>
      <c r="M120" s="722"/>
      <c r="N120" s="2165"/>
      <c r="O120" s="2165"/>
      <c r="P120" s="2166"/>
      <c r="Q120" s="2159"/>
      <c r="R120" s="2146"/>
      <c r="S120" s="2146"/>
      <c r="T120" s="2146"/>
      <c r="U120" s="2146"/>
      <c r="V120" s="2146"/>
      <c r="W120" s="2146"/>
      <c r="X120" s="2146"/>
      <c r="Y120" s="2146"/>
      <c r="Z120" s="2146"/>
      <c r="AA120" s="2146"/>
      <c r="AB120" s="2146"/>
      <c r="AC120" s="2146"/>
    </row>
    <row r="121" spans="1:29" ht="15.75" thickBot="1">
      <c r="A121" s="670"/>
      <c r="B121" s="679"/>
      <c r="C121" s="693"/>
      <c r="D121" s="693"/>
      <c r="E121" s="693"/>
      <c r="F121" s="693"/>
      <c r="G121" s="672"/>
      <c r="H121" s="672"/>
      <c r="I121" s="672"/>
      <c r="J121" s="672"/>
      <c r="K121" s="672"/>
      <c r="L121" s="672"/>
      <c r="M121" s="673"/>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9"/>
      <c r="B122" s="674">
        <f>B42</f>
        <v>111</v>
      </c>
      <c r="C122" s="662"/>
      <c r="D122" s="662"/>
      <c r="E122" s="662"/>
      <c r="F122" s="662"/>
      <c r="G122" s="690"/>
      <c r="H122" s="690"/>
      <c r="I122" s="690"/>
      <c r="J122" s="690"/>
      <c r="K122" s="690"/>
      <c r="L122" s="691"/>
      <c r="M122" s="692"/>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9"/>
      <c r="B123" s="737"/>
      <c r="C123" s="701"/>
      <c r="D123" s="701"/>
      <c r="E123" s="701"/>
      <c r="F123" s="701"/>
      <c r="G123" s="727"/>
      <c r="H123" s="727"/>
      <c r="I123" s="727"/>
      <c r="J123" s="727"/>
      <c r="K123" s="727"/>
      <c r="L123" s="727"/>
      <c r="M123" s="728"/>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2430</v>
      </c>
      <c r="D1" s="1521">
        <f>SUM(D29:D30,D33:D39)</f>
        <v>0</v>
      </c>
      <c r="E1" s="1406" t="s">
        <v>2431</v>
      </c>
      <c r="F1" s="2474"/>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60" t="s">
        <v>2770</v>
      </c>
      <c r="S1" s="2960" t="s">
        <v>2771</v>
      </c>
      <c r="T1" s="2960" t="s">
        <v>2792</v>
      </c>
      <c r="U1" s="2960" t="s">
        <v>2793</v>
      </c>
      <c r="V1" s="2960" t="s">
        <v>2794</v>
      </c>
      <c r="W1" s="2190"/>
      <c r="X1" s="2190"/>
      <c r="Y1" s="2190"/>
      <c r="Z1" s="2190"/>
      <c r="AA1" s="2190"/>
      <c r="AB1" s="2190"/>
      <c r="AC1" s="2191"/>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90"/>
      <c r="X2" s="2190"/>
      <c r="Y2" s="2190"/>
      <c r="Z2" s="2190"/>
      <c r="AA2" s="2190"/>
      <c r="AB2" s="2190"/>
      <c r="AC2" s="2191"/>
    </row>
    <row r="3" spans="1:39" ht="15.75">
      <c r="A3" s="1411" t="s">
        <v>1689</v>
      </c>
      <c r="B3" s="1037" t="e">
        <f>ROUND(B2*10000/D1,0)</f>
        <v>#DIV/0!</v>
      </c>
      <c r="C3" s="1407" t="s">
        <v>928</v>
      </c>
      <c r="D3" s="1408" t="s">
        <v>929</v>
      </c>
      <c r="E3" s="1412"/>
      <c r="F3" s="1413" t="s">
        <v>2944</v>
      </c>
      <c r="G3" s="1038">
        <f>IF(F3="宗地容积率",'数据-汇总表'!I4,IF(F3="估价对象容积率",'数据-汇总表'!I6,'数据-汇总表'!I7))</f>
        <v>3.79</v>
      </c>
      <c r="H3" s="1414" t="s">
        <v>930</v>
      </c>
      <c r="I3" s="1039">
        <v>8</v>
      </c>
      <c r="J3" s="1410" t="s">
        <v>931</v>
      </c>
      <c r="K3" s="1401"/>
      <c r="L3" s="1886" t="s">
        <v>2243</v>
      </c>
      <c r="M3" s="1887">
        <f>SUMPRODUCT((区片价!B29:B48=I2)*(区片价!C3:F3=E2)*(区片价!C29:F48))</f>
        <v>0</v>
      </c>
      <c r="N3" s="1888">
        <f>SUMPRODUCT((因素修正幅度!B29:B48=I2)*(因素修正幅度!C3:F3=E2)*(因素修正幅度!C29:F48))</f>
        <v>0</v>
      </c>
      <c r="O3" s="2190"/>
      <c r="P3" s="2190"/>
      <c r="Q3" s="2190"/>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90"/>
      <c r="X3" s="2190"/>
      <c r="Y3" s="2190"/>
      <c r="Z3" s="2190"/>
      <c r="AA3" s="2190"/>
      <c r="AB3" s="2190"/>
      <c r="AC3" s="2191"/>
    </row>
    <row r="4" spans="1:39" ht="28.5">
      <c r="A4" s="1892" t="s">
        <v>2283</v>
      </c>
      <c r="B4" s="2475"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61">
        <v>3</v>
      </c>
      <c r="S4" s="2961">
        <f>ROUND(IF(G3&gt;1,IF(R4&lt;7,SUMPRODUCT((B93:B98=R4)*(C92:N92=G2)*(C93:N98)),SUMIF(C92:N92,G2,C100:N100)),IF(R4&lt;7,SUMPRODUCT((B102:B107=R4)*(C92:N92=G2)*(C102:N107)),SUMIF(C92:N92,G2,C109:N109))),4)</f>
        <v>0</v>
      </c>
      <c r="T4" s="2961" t="e">
        <f t="shared" si="0"/>
        <v>#DIV/0!</v>
      </c>
      <c r="U4" s="2950"/>
      <c r="V4" s="2961" t="e">
        <f t="shared" si="1"/>
        <v>#DIV/0!</v>
      </c>
      <c r="W4" s="2190"/>
      <c r="X4" s="2190"/>
      <c r="Y4" s="2190"/>
      <c r="Z4" s="2190"/>
      <c r="AA4" s="2190"/>
      <c r="AB4" s="2190"/>
      <c r="AC4" s="2191"/>
    </row>
    <row r="5" spans="1:39" s="1421" customFormat="1" ht="15.75" thickBot="1">
      <c r="A5" s="1638" t="s">
        <v>1825</v>
      </c>
      <c r="B5" s="1415" t="s">
        <v>932</v>
      </c>
      <c r="C5" s="1040" t="e">
        <f>ROUND(IF(E2="商业",IF(F16="增加",C6*C7+C16,C6*C7-C16),IF(E2="住宅",IF(F16="增加",C6*C12+C16,C6*C12-C16),IF(F16="增加",C6+C16,C6-C16))),0)</f>
        <v>#DIV/0!</v>
      </c>
      <c r="D5" s="3149">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61">
        <v>4</v>
      </c>
      <c r="S5" s="2961">
        <f>ROUND(IF(G3&gt;1,IF(R5&lt;7,SUMPRODUCT((B93:B98=R5)*(C92:N92=G2)*(C93:N98)),SUMIF(C92:N92,G2,C100:N100)),IF(R5&lt;7,SUMPRODUCT((B102:B107=R5)*(C92:N92=G2)*(C102:N107)),SUMIF(C92:N92,G2,C109:N109))),4)</f>
        <v>0</v>
      </c>
      <c r="T5" s="2961" t="e">
        <f t="shared" si="0"/>
        <v>#DIV/0!</v>
      </c>
      <c r="U5" s="2950"/>
      <c r="V5" s="2961"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61">
        <v>5</v>
      </c>
      <c r="S6" s="2961">
        <f>ROUND(IF(G3&gt;1,IF(R6&lt;7,SUMPRODUCT((B93:B98=R6)*(C92:N92=G2)*(C93:N98)),SUMIF(C92:N92,G2,C100:N100)),IF(R6&lt;7,SUMPRODUCT((B102:B107=R6)*(C92:N92=G2)*(C102:N107)),SUMIF(C92:N92,G2,C109:N109))),4)</f>
        <v>0</v>
      </c>
      <c r="T6" s="2961" t="e">
        <f t="shared" si="0"/>
        <v>#DIV/0!</v>
      </c>
      <c r="U6" s="2950"/>
      <c r="V6" s="2961" t="e">
        <f t="shared" si="1"/>
        <v>#DIV/0!</v>
      </c>
      <c r="W6" s="2190"/>
      <c r="X6" s="2190"/>
      <c r="Y6" s="2190"/>
      <c r="Z6" s="2190"/>
      <c r="AA6" s="2190"/>
      <c r="AB6" s="2190"/>
      <c r="AC6" s="2192"/>
      <c r="AD6" s="1419"/>
      <c r="AE6" s="1419"/>
      <c r="AF6" s="1419"/>
      <c r="AG6" s="1419"/>
      <c r="AH6" s="1419"/>
      <c r="AI6" s="1419"/>
      <c r="AJ6" s="1420"/>
    </row>
    <row r="7" spans="1:39" ht="24">
      <c r="A7" s="3452" t="str">
        <f>IF(E2="商业",IF(C8="不临58条商业街","",2),"")</f>
        <v/>
      </c>
      <c r="B7" s="1427" t="s">
        <v>933</v>
      </c>
      <c r="C7" s="1042" t="e">
        <f>IF(C8="不临58条商业街",1,ROUND(1+(1.6*E8+1.2*E9+0.8*E10+0.4*E11)*C9,4))</f>
        <v>#DIV/0!</v>
      </c>
      <c r="D7" s="1428" t="s">
        <v>934</v>
      </c>
      <c r="E7" s="1043"/>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2773</v>
      </c>
      <c r="X7" s="2951">
        <f>G2</f>
        <v>0</v>
      </c>
      <c r="Y7" s="2951" t="s">
        <v>2774</v>
      </c>
      <c r="Z7" s="2952">
        <f>G3</f>
        <v>3.79</v>
      </c>
      <c r="AA7" s="2193"/>
      <c r="AB7" s="2193"/>
      <c r="AC7" s="2194"/>
      <c r="AD7" s="2953"/>
      <c r="AE7" s="2953"/>
      <c r="AF7" s="2953"/>
      <c r="AG7" s="2953"/>
      <c r="AH7" s="2953"/>
      <c r="AI7" s="2953"/>
      <c r="AJ7" s="2954"/>
    </row>
    <row r="8" spans="1:39" ht="15">
      <c r="A8" s="3453"/>
      <c r="B8" s="1414" t="s">
        <v>935</v>
      </c>
      <c r="C8" s="1529"/>
      <c r="D8" s="1044" t="s">
        <v>936</v>
      </c>
      <c r="E8" s="1045" t="e">
        <f>ROUND(C11/E7,4)</f>
        <v>#DIV/0!</v>
      </c>
      <c r="F8" s="1432" t="s">
        <v>937</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61">
        <v>7</v>
      </c>
      <c r="S8" s="2950"/>
      <c r="T8" s="2961" t="e">
        <f t="shared" si="0"/>
        <v>#DIV/0!</v>
      </c>
      <c r="U8" s="2950"/>
      <c r="V8" s="2961" t="e">
        <f t="shared" si="1"/>
        <v>#DIV/0!</v>
      </c>
      <c r="W8" s="3444" t="s">
        <v>2791</v>
      </c>
      <c r="X8" s="3445"/>
      <c r="Y8" s="1850" t="s">
        <v>2775</v>
      </c>
      <c r="Z8" s="1850" t="s">
        <v>2776</v>
      </c>
      <c r="AA8" s="1850" t="s">
        <v>2777</v>
      </c>
      <c r="AB8" s="1850" t="s">
        <v>2778</v>
      </c>
      <c r="AC8" s="1850" t="s">
        <v>2779</v>
      </c>
      <c r="AD8" s="1850" t="s">
        <v>2780</v>
      </c>
      <c r="AE8" s="1850" t="s">
        <v>2781</v>
      </c>
      <c r="AF8" s="1850" t="s">
        <v>2782</v>
      </c>
      <c r="AG8" s="1850" t="s">
        <v>2783</v>
      </c>
      <c r="AH8" s="1850" t="s">
        <v>2784</v>
      </c>
      <c r="AI8" s="1850" t="s">
        <v>2785</v>
      </c>
      <c r="AJ8" s="1850" t="s">
        <v>2786</v>
      </c>
    </row>
    <row r="9" spans="1:39" ht="15">
      <c r="A9" s="3453"/>
      <c r="B9" s="1414" t="s">
        <v>938</v>
      </c>
      <c r="C9" s="1046">
        <f>SUMIF(修正!C59:C119,C8,修正!E59:E119)</f>
        <v>0</v>
      </c>
      <c r="D9" s="1047" t="s">
        <v>939</v>
      </c>
      <c r="E9" s="1047" t="e">
        <f>ROUND(C11/E7,4)</f>
        <v>#DIV/0!</v>
      </c>
      <c r="F9" s="1432" t="s">
        <v>940</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61">
        <v>8</v>
      </c>
      <c r="S9" s="2950"/>
      <c r="T9" s="2961" t="e">
        <f t="shared" si="0"/>
        <v>#DIV/0!</v>
      </c>
      <c r="U9" s="2950"/>
      <c r="V9" s="2961" t="e">
        <f t="shared" si="1"/>
        <v>#DIV/0!</v>
      </c>
      <c r="W9" s="3443" t="s">
        <v>2787</v>
      </c>
      <c r="X9" s="2955" t="s">
        <v>2788</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53"/>
      <c r="B10" s="1414" t="s">
        <v>941</v>
      </c>
      <c r="C10" s="1047">
        <f>SUMIF(修正!C59:C119,C8,修正!F59:F119)</f>
        <v>0</v>
      </c>
      <c r="D10" s="1047" t="s">
        <v>942</v>
      </c>
      <c r="E10" s="1047" t="e">
        <f>ROUND(C11/E7,4)</f>
        <v>#DIV/0!</v>
      </c>
      <c r="F10" s="1432" t="s">
        <v>943</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61">
        <v>9</v>
      </c>
      <c r="S10" s="2950"/>
      <c r="T10" s="2961" t="e">
        <f t="shared" si="0"/>
        <v>#DIV/0!</v>
      </c>
      <c r="U10" s="2950"/>
      <c r="V10" s="2961" t="e">
        <f t="shared" si="1"/>
        <v>#DIV/0!</v>
      </c>
      <c r="W10" s="3443"/>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53"/>
      <c r="B11" s="1435" t="s">
        <v>944</v>
      </c>
      <c r="C11" s="1048">
        <f>C10/4</f>
        <v>0</v>
      </c>
      <c r="D11" s="1048" t="s">
        <v>945</v>
      </c>
      <c r="E11" s="1048" t="e">
        <f>ROUND(C11/E7,4)</f>
        <v>#DIV/0!</v>
      </c>
      <c r="F11" s="1436" t="s">
        <v>946</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61">
        <v>10</v>
      </c>
      <c r="S11" s="2950"/>
      <c r="T11" s="2961" t="e">
        <f t="shared" si="0"/>
        <v>#DIV/0!</v>
      </c>
      <c r="U11" s="2950"/>
      <c r="V11" s="2961" t="e">
        <f t="shared" si="1"/>
        <v>#DIV/0!</v>
      </c>
      <c r="W11" s="3443" t="s">
        <v>2789</v>
      </c>
      <c r="X11" s="1047" t="s">
        <v>2774</v>
      </c>
      <c r="Y11" s="1653">
        <f>$G$3</f>
        <v>3.79</v>
      </c>
      <c r="Z11" s="1653">
        <f t="shared" ref="Z11:AJ11" si="3">$G$3</f>
        <v>3.79</v>
      </c>
      <c r="AA11" s="1653">
        <f t="shared" si="3"/>
        <v>3.79</v>
      </c>
      <c r="AB11" s="1653">
        <f t="shared" si="3"/>
        <v>3.79</v>
      </c>
      <c r="AC11" s="1653">
        <f t="shared" si="3"/>
        <v>3.79</v>
      </c>
      <c r="AD11" s="1653">
        <f t="shared" si="3"/>
        <v>3.79</v>
      </c>
      <c r="AE11" s="1653">
        <f t="shared" si="3"/>
        <v>3.79</v>
      </c>
      <c r="AF11" s="1653">
        <f t="shared" si="3"/>
        <v>3.79</v>
      </c>
      <c r="AG11" s="1653">
        <f t="shared" si="3"/>
        <v>3.79</v>
      </c>
      <c r="AH11" s="1653">
        <f t="shared" si="3"/>
        <v>3.79</v>
      </c>
      <c r="AI11" s="1653">
        <f t="shared" si="3"/>
        <v>3.79</v>
      </c>
      <c r="AJ11" s="1653">
        <f t="shared" si="3"/>
        <v>3.79</v>
      </c>
    </row>
    <row r="12" spans="1:39" ht="25.5" thickBot="1">
      <c r="A12" s="3452" t="s">
        <v>1873</v>
      </c>
      <c r="B12" s="1439" t="s">
        <v>947</v>
      </c>
      <c r="C12" s="1042">
        <f>ROUND(C15*D15*E15*F15*G15*H15*I15*J15,4)</f>
        <v>1</v>
      </c>
      <c r="D12" s="1440" t="s">
        <v>948</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61">
        <v>11</v>
      </c>
      <c r="S12" s="2950"/>
      <c r="T12" s="2961" t="e">
        <f t="shared" si="0"/>
        <v>#DIV/0!</v>
      </c>
      <c r="U12" s="2950"/>
      <c r="V12" s="2961" t="e">
        <f t="shared" si="1"/>
        <v>#DIV/0!</v>
      </c>
      <c r="W12" s="3443"/>
      <c r="X12" s="2958" t="s">
        <v>2790</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54"/>
      <c r="B13" s="1444" t="s">
        <v>1698</v>
      </c>
      <c r="C13" s="1445" t="s">
        <v>1699</v>
      </c>
      <c r="D13" s="1088" t="s">
        <v>1700</v>
      </c>
      <c r="E13" s="1088" t="s">
        <v>1701</v>
      </c>
      <c r="F13" s="1446" t="s">
        <v>949</v>
      </c>
      <c r="G13" s="1447" t="s">
        <v>1644</v>
      </c>
      <c r="H13" s="1448" t="s">
        <v>1644</v>
      </c>
      <c r="I13" s="1449" t="s">
        <v>1644</v>
      </c>
      <c r="J13" s="1450" t="s">
        <v>1644</v>
      </c>
      <c r="K13" s="1401"/>
      <c r="L13" s="2190"/>
      <c r="M13" s="2190"/>
      <c r="N13" s="2190"/>
      <c r="O13" s="2190"/>
      <c r="P13" s="2190"/>
      <c r="Q13" s="2190"/>
      <c r="R13" s="2961">
        <v>12</v>
      </c>
      <c r="S13" s="2950"/>
      <c r="T13" s="2961" t="e">
        <f t="shared" si="0"/>
        <v>#DIV/0!</v>
      </c>
      <c r="U13" s="2950"/>
      <c r="V13" s="2961" t="e">
        <f t="shared" si="1"/>
        <v>#DIV/0!</v>
      </c>
      <c r="W13" s="3443"/>
      <c r="X13" s="2958"/>
      <c r="Y13" s="2957">
        <f>(-0.163*(Y12^2)-0.59*Y12+7617)*(10^(-4))/Y11</f>
        <v>0.20097625329815305</v>
      </c>
      <c r="Z13" s="2957">
        <f t="shared" ref="Z13:AJ13" si="5">(-0.163*(Z12^2)-0.59*Z12+7617)*(10^(-4))/Z11</f>
        <v>0.20097625329815305</v>
      </c>
      <c r="AA13" s="2957">
        <f t="shared" si="5"/>
        <v>0.20097625329815305</v>
      </c>
      <c r="AB13" s="2957">
        <f t="shared" si="5"/>
        <v>0.20097625329815305</v>
      </c>
      <c r="AC13" s="2957">
        <f t="shared" si="5"/>
        <v>0.20097625329815305</v>
      </c>
      <c r="AD13" s="2957">
        <f t="shared" si="5"/>
        <v>0.20097625329815305</v>
      </c>
      <c r="AE13" s="2957">
        <f t="shared" si="5"/>
        <v>0.20097625329815305</v>
      </c>
      <c r="AF13" s="2957">
        <f t="shared" si="5"/>
        <v>0.20097625329815305</v>
      </c>
      <c r="AG13" s="2957">
        <f t="shared" si="5"/>
        <v>0.20097625329815305</v>
      </c>
      <c r="AH13" s="2957">
        <f t="shared" si="5"/>
        <v>0.20097625329815305</v>
      </c>
      <c r="AI13" s="2957">
        <f t="shared" si="5"/>
        <v>0.20097625329815305</v>
      </c>
      <c r="AJ13" s="2957">
        <f t="shared" si="5"/>
        <v>0.20097625329815305</v>
      </c>
    </row>
    <row r="14" spans="1:39" ht="12.75" customHeight="1" thickBot="1">
      <c r="A14" s="3454"/>
      <c r="B14" s="1451"/>
      <c r="C14" s="1452"/>
      <c r="D14" s="1453"/>
      <c r="E14" s="1453"/>
      <c r="F14" s="1454"/>
      <c r="G14" s="1455" t="s">
        <v>950</v>
      </c>
      <c r="H14" s="1456"/>
      <c r="I14" s="1457"/>
      <c r="J14" s="1458"/>
      <c r="K14" s="1401"/>
      <c r="L14" s="2190"/>
      <c r="M14" s="2190"/>
      <c r="N14" s="2190"/>
      <c r="O14" s="2190"/>
      <c r="P14" s="2190"/>
      <c r="Q14" s="2190"/>
      <c r="R14" s="2961">
        <v>13</v>
      </c>
      <c r="S14" s="2950"/>
      <c r="T14" s="2961" t="e">
        <f t="shared" si="0"/>
        <v>#DIV/0!</v>
      </c>
      <c r="U14" s="2950"/>
      <c r="V14" s="2961" t="e">
        <f t="shared" si="1"/>
        <v>#DIV/0!</v>
      </c>
      <c r="W14" s="2190"/>
      <c r="X14" s="2190"/>
      <c r="Y14" s="2190"/>
      <c r="Z14" s="2190"/>
      <c r="AA14" s="2190"/>
      <c r="AB14" s="2190"/>
      <c r="AC14" s="2191"/>
    </row>
    <row r="15" spans="1:39" ht="13.5" customHeight="1" thickBot="1">
      <c r="A15" s="3455"/>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90"/>
      <c r="R15" s="2961">
        <v>14</v>
      </c>
      <c r="S15" s="2950"/>
      <c r="T15" s="2961" t="e">
        <f t="shared" si="0"/>
        <v>#DIV/0!</v>
      </c>
      <c r="U15" s="2950"/>
      <c r="V15" s="2961" t="e">
        <f t="shared" si="1"/>
        <v>#DIV/0!</v>
      </c>
      <c r="W15" s="2190"/>
      <c r="X15" s="2190"/>
      <c r="Y15" s="2190"/>
      <c r="Z15" s="2190"/>
      <c r="AA15" s="2190"/>
      <c r="AB15" s="2190"/>
      <c r="AC15" s="2191"/>
    </row>
    <row r="16" spans="1:39" ht="24">
      <c r="A16" s="3452"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3"/>
      <c r="R16" s="2961">
        <v>15</v>
      </c>
      <c r="S16" s="2950"/>
      <c r="T16" s="2961" t="e">
        <f t="shared" si="0"/>
        <v>#DIV/0!</v>
      </c>
      <c r="U16" s="2950"/>
      <c r="V16" s="2961" t="e">
        <f t="shared" si="1"/>
        <v>#DIV/0!</v>
      </c>
      <c r="W16" s="2193"/>
      <c r="X16" s="2193"/>
      <c r="Y16" s="2193"/>
      <c r="Z16" s="2193"/>
      <c r="AA16" s="2193"/>
      <c r="AB16" s="2193"/>
      <c r="AC16" s="2194"/>
    </row>
    <row r="17" spans="1:40" ht="13.5" thickBot="1">
      <c r="A17" s="3453"/>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6" t="s">
        <v>957</v>
      </c>
      <c r="C18" s="2797">
        <f>SUMIF(修正!C18:C39,E3,修正!E18:E39)</f>
        <v>0</v>
      </c>
      <c r="D18" s="2798"/>
      <c r="E18" s="2799"/>
      <c r="F18" s="2800"/>
      <c r="G18" s="2794"/>
      <c r="H18" s="2794"/>
      <c r="I18" s="2794"/>
      <c r="J18" s="2801"/>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ROUND(IF(H19="按公示增长率计算",SUMPRODUCT((地价!A3:A20=YEAR(G19)&amp;"-"&amp;ROUNDUP(MONTH(G19)/3,0))*(地价!X2:AB2=E2)*(地价!X3:AB20)),IF(H19="地价指数",M20/M19,(1+I19)^O19)),4)</f>
        <v>#DIV/0!</v>
      </c>
      <c r="D19" s="1474" t="s">
        <v>959</v>
      </c>
      <c r="E19" s="1057">
        <v>41640</v>
      </c>
      <c r="F19" s="1474" t="s">
        <v>960</v>
      </c>
      <c r="G19" s="1058">
        <f>'数据-取费表'!B2</f>
        <v>43187</v>
      </c>
      <c r="H19" s="1475" t="s">
        <v>2945</v>
      </c>
      <c r="I19" s="2808" t="str">
        <f>IF(H19="季度增幅（自定义）",SUMIF(N21:N24,E2,O21:O24),"")</f>
        <v/>
      </c>
      <c r="J19" s="1471"/>
      <c r="K19" s="1481"/>
      <c r="L19" s="3064" t="s">
        <v>2849</v>
      </c>
      <c r="M19" s="3065">
        <f>ROUND(SUMIF(地价!B2:F2,E2,地价!B20:F20),0)</f>
        <v>0</v>
      </c>
      <c r="N19" s="2810" t="s">
        <v>1678</v>
      </c>
      <c r="O19" s="2809">
        <f>ROUNDDOWN(DATEDIF(E19,G19,"M")/3,0)</f>
        <v>16</v>
      </c>
      <c r="P19" s="1596"/>
      <c r="R19" s="2949"/>
      <c r="S19" s="2949"/>
      <c r="T19" s="2949"/>
      <c r="U19" s="2949"/>
      <c r="V19" s="2949"/>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2" t="s">
        <v>1838</v>
      </c>
      <c r="B20" s="2803" t="s">
        <v>973</v>
      </c>
      <c r="C20" s="2804" t="e">
        <f>ROUND(POWER(1+G20,J20-I20)*(POWER(1+G20,I20)-1)/(POWER(1+G20,J20)-1),4)</f>
        <v>#DIV/0!</v>
      </c>
      <c r="D20" s="2805" t="s">
        <v>974</v>
      </c>
      <c r="E20" s="3120">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81"/>
      <c r="L20" s="3066" t="s">
        <v>2850</v>
      </c>
      <c r="M20" s="3067">
        <f>ROUND(SUMPRODUCT((地价!A5:A20=YEAR(G19)&amp;"-"&amp;ROUNDUP(MONTH(G19)/3,0))*(地价!B2:F2=E2)*(地价!B5:F20)),0)</f>
        <v>0</v>
      </c>
      <c r="N20" s="2813" t="s">
        <v>2653</v>
      </c>
      <c r="O20" s="2811" t="s">
        <v>2652</v>
      </c>
      <c r="P20" s="2812" t="s">
        <v>2658</v>
      </c>
      <c r="R20" s="2949"/>
      <c r="S20" s="2949"/>
      <c r="T20" s="2949"/>
      <c r="U20" s="2949"/>
      <c r="V20" s="2949"/>
      <c r="W20" s="2196"/>
      <c r="X20" s="2196"/>
      <c r="Y20" s="2196"/>
      <c r="Z20" s="2196"/>
      <c r="AA20" s="2196"/>
      <c r="AB20" s="2196"/>
      <c r="AC20" s="2196"/>
      <c r="AD20" s="1472"/>
      <c r="AE20" s="1472"/>
      <c r="AF20" s="1472"/>
      <c r="AG20" s="1472"/>
      <c r="AH20" s="1472"/>
      <c r="AI20" s="1472"/>
    </row>
    <row r="21" spans="1:40" s="1421" customFormat="1" ht="14.25">
      <c r="A21" s="1642" t="s">
        <v>1839</v>
      </c>
      <c r="B21" s="1480" t="s">
        <v>2769</v>
      </c>
      <c r="C21" s="1157">
        <f>IF(B21="容积率修正",IF(G3&lt;=10,D22,J22),C23)</f>
        <v>0</v>
      </c>
      <c r="D21" s="1481"/>
      <c r="E21" s="1481"/>
      <c r="F21" s="1481"/>
      <c r="G21" s="1481"/>
      <c r="H21" s="1481"/>
      <c r="I21" s="1481"/>
      <c r="J21" s="1482"/>
      <c r="K21" s="1481"/>
      <c r="L21" s="1481"/>
      <c r="M21" s="1481"/>
      <c r="N21" s="1478" t="s">
        <v>977</v>
      </c>
      <c r="O21" s="1542"/>
      <c r="P21" s="2793">
        <f>SUMPRODUCT((地价!A3:A20=YEAR(G19)&amp;"-"&amp;ROUNDUP(MONTH(G19)/3,0))*(地价!AD2:AH2=N21)*(地价!AD3:AH20))</f>
        <v>0</v>
      </c>
      <c r="R21" s="2949"/>
      <c r="S21" s="2949"/>
      <c r="T21" s="2949"/>
      <c r="U21" s="2949"/>
      <c r="V21" s="2949"/>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59" t="s">
        <v>1704</v>
      </c>
      <c r="D22" s="1059">
        <f>IF(E22=G22,F22,IF(G3&lt;=10,ROUND(F22+(H22-F22)*(G3-E22)/(G22-E22),4),"——"))</f>
        <v>0</v>
      </c>
      <c r="E22" s="1038">
        <f>ROUNDDOWN(G3,1)</f>
        <v>3.7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3.8000000000000003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3">
        <f>SUMPRODUCT((地价!A3:A20=YEAR(G19)&amp;"-"&amp;ROUNDUP(MONTH(G19)/3,0))*(地价!AD2:AH2=N22)*(地价!AD3:AH20))</f>
        <v>0</v>
      </c>
      <c r="R22" s="2949"/>
      <c r="S22" s="2949"/>
      <c r="T22" s="2949"/>
      <c r="U22" s="2949"/>
      <c r="V22" s="2949"/>
      <c r="W22" s="2196"/>
      <c r="X22" s="2196"/>
      <c r="Y22" s="2196"/>
      <c r="Z22" s="2196"/>
      <c r="AA22" s="2196"/>
      <c r="AB22" s="2196"/>
      <c r="AC22" s="2196"/>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3">
        <f>SUMPRODUCT((地价!A3:A20=YEAR(G19)&amp;"-"&amp;ROUNDUP(MONTH(G19)/3,0))*(地价!AD2:AH2=N23)*(地价!AD3:AH20))</f>
        <v>0</v>
      </c>
      <c r="R23" s="2949"/>
      <c r="S23" s="2949"/>
      <c r="T23" s="2949"/>
      <c r="U23" s="2949"/>
      <c r="V23" s="2949"/>
      <c r="W23" s="2196"/>
      <c r="X23" s="2196"/>
      <c r="Y23" s="2196"/>
      <c r="Z23" s="2196"/>
      <c r="AA23" s="2196"/>
      <c r="AB23" s="2196"/>
      <c r="AC23" s="2196"/>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SUMPRODUCT((地价!A3:A20=YEAR(G19)&amp;"-"&amp;ROUNDUP(MONTH(G19)/3,0))*(地价!AD2:AH2=N24)*(地价!AD3:AH20))</f>
        <v>0</v>
      </c>
      <c r="R24" s="2949"/>
      <c r="S24" s="2949"/>
      <c r="T24" s="2949"/>
      <c r="U24" s="2949"/>
      <c r="V24" s="2949"/>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1" t="s">
        <v>2656</v>
      </c>
      <c r="O25" s="2196"/>
      <c r="P25" s="1541">
        <f>SUMPRODUCT((地价!A3:A20=YEAR(G19)&amp;"-"&amp;ROUNDUP(MONTH(G19)/3,0))*(地价!AD2:AH2=N25)*(地价!AD3:AH20))</f>
        <v>0</v>
      </c>
      <c r="R25" s="2949"/>
      <c r="S25" s="2949"/>
      <c r="T25" s="2949"/>
      <c r="U25" s="2949"/>
      <c r="V25" s="2949"/>
      <c r="W25" s="2196"/>
      <c r="X25" s="2196"/>
      <c r="Y25" s="2196"/>
      <c r="Z25" s="2196"/>
      <c r="AA25" s="2196"/>
      <c r="AB25" s="2196"/>
      <c r="AC25" s="2196"/>
    </row>
    <row r="26" spans="1:40" ht="14.25">
      <c r="A26" s="1489"/>
      <c r="B26" s="1483" t="s">
        <v>988</v>
      </c>
      <c r="C26" s="1062" t="e">
        <f>E29+SUM(E33:E39)</f>
        <v>#DIV/0!</v>
      </c>
      <c r="D26" s="1490"/>
      <c r="E26" s="1456"/>
      <c r="F26" s="1491"/>
      <c r="G26" s="1456"/>
      <c r="H26" s="1456"/>
      <c r="I26" s="1456"/>
      <c r="J26" s="1492"/>
      <c r="K26" s="1401"/>
      <c r="L26" s="2196"/>
      <c r="M26" s="2196"/>
      <c r="N26" s="2196"/>
      <c r="O26" s="2196"/>
      <c r="P26" s="2196"/>
      <c r="Q26" s="2196"/>
      <c r="R26" s="2949"/>
      <c r="S26" s="2949"/>
      <c r="T26" s="2949"/>
      <c r="U26" s="2949"/>
      <c r="V26" s="2949"/>
      <c r="W26" s="2196"/>
      <c r="X26" s="2196"/>
      <c r="Y26" s="2196"/>
      <c r="Z26" s="2196"/>
      <c r="AA26" s="2196"/>
      <c r="AB26" s="2196"/>
      <c r="AC26" s="2196"/>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6"/>
      <c r="M27" s="2196"/>
      <c r="N27" s="2196"/>
      <c r="O27" s="2196"/>
      <c r="P27" s="2196"/>
      <c r="Q27" s="2196"/>
      <c r="R27" s="2949"/>
      <c r="S27" s="2949"/>
      <c r="T27" s="2949"/>
      <c r="U27" s="2949"/>
      <c r="V27" s="2949"/>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49"/>
      <c r="S28" s="2949"/>
      <c r="T28" s="2949"/>
      <c r="U28" s="2949"/>
      <c r="V28" s="2949"/>
      <c r="W28" s="2196"/>
      <c r="X28" s="2196"/>
      <c r="Y28" s="2196"/>
      <c r="Z28" s="2196"/>
      <c r="AA28" s="2196"/>
      <c r="AB28" s="2196"/>
      <c r="AC28" s="2196"/>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6"/>
      <c r="M29" s="2196"/>
      <c r="N29" s="2196"/>
      <c r="O29" s="2196"/>
      <c r="P29" s="2196"/>
      <c r="Q29" s="2196"/>
      <c r="R29" s="2949"/>
      <c r="S29" s="2949"/>
      <c r="T29" s="2949"/>
      <c r="U29" s="2949"/>
      <c r="V29" s="2949"/>
      <c r="W29" s="2196"/>
      <c r="X29" s="2196"/>
      <c r="Y29" s="2196"/>
      <c r="Z29" s="2196"/>
      <c r="AA29" s="2196"/>
      <c r="AB29" s="2196"/>
      <c r="AC29" s="2196"/>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58" t="s">
        <v>2972</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9"/>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9"/>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60"/>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1" t="s">
        <v>1008</v>
      </c>
      <c r="B44" s="2442"/>
      <c r="C44" s="2443"/>
      <c r="D44" s="2444"/>
      <c r="E44" s="2444"/>
      <c r="F44" s="2445"/>
      <c r="G44" s="1065"/>
      <c r="H44" s="2445"/>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6" t="s">
        <v>1009</v>
      </c>
      <c r="B45" s="2447">
        <f>1+E47</f>
        <v>1</v>
      </c>
      <c r="C45" s="2448"/>
      <c r="D45" s="2449"/>
      <c r="E45" s="2450"/>
      <c r="F45" s="2451"/>
      <c r="G45" s="2445"/>
      <c r="H45" s="2445"/>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1010</v>
      </c>
      <c r="B46" s="2430" t="s">
        <v>1011</v>
      </c>
      <c r="C46" s="2452" t="s">
        <v>1012</v>
      </c>
      <c r="D46" s="2453" t="s">
        <v>1013</v>
      </c>
      <c r="E46" s="2454" t="s">
        <v>1015</v>
      </c>
      <c r="F46" s="2455" t="s">
        <v>2253</v>
      </c>
      <c r="G46" s="2453" t="s">
        <v>1016</v>
      </c>
      <c r="H46" s="2436" t="s">
        <v>2422</v>
      </c>
      <c r="I46" s="2453" t="s">
        <v>1014</v>
      </c>
      <c r="J46" s="2456" t="s">
        <v>1017</v>
      </c>
      <c r="K46" s="2456" t="s">
        <v>1018</v>
      </c>
      <c r="L46" s="2456" t="s">
        <v>1019</v>
      </c>
      <c r="M46" s="2456" t="s">
        <v>1020</v>
      </c>
      <c r="N46" s="2456"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1022</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1023</v>
      </c>
      <c r="B48" s="2430" t="str">
        <f>估价对象房地状况!C18</f>
        <v>估价对象周边道路状况、公共交通通达情况、停车便捷程度，综合评价交通便捷度较好</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1024</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1025</v>
      </c>
      <c r="B50" s="3122" t="s">
        <v>2947</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1026</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1027</v>
      </c>
      <c r="B52" s="3121" t="s">
        <v>2946</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2" t="s">
        <v>1028</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2" t="s">
        <v>1029</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3" t="s">
        <v>1030</v>
      </c>
      <c r="B55" s="2434" t="str">
        <f>估价对象房地状况!C20</f>
        <v>区域自然环境：；人文环境；综合评价环境状况一般</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6" t="s">
        <v>1031</v>
      </c>
      <c r="B56" s="2447">
        <f>1+E58</f>
        <v>1</v>
      </c>
      <c r="C56" s="2466"/>
      <c r="D56" s="2449"/>
      <c r="E56" s="2450"/>
      <c r="F56" s="2451"/>
      <c r="G56" s="2445"/>
      <c r="H56" s="2445"/>
      <c r="I56" s="2445"/>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1010</v>
      </c>
      <c r="B57" s="2430"/>
      <c r="C57" s="2452" t="s">
        <v>1012</v>
      </c>
      <c r="D57" s="2453" t="s">
        <v>1013</v>
      </c>
      <c r="E57" s="2454" t="s">
        <v>1015</v>
      </c>
      <c r="F57" s="2455" t="s">
        <v>2254</v>
      </c>
      <c r="G57" s="2453" t="s">
        <v>1016</v>
      </c>
      <c r="H57" s="2436" t="s">
        <v>2422</v>
      </c>
      <c r="I57" s="2453" t="s">
        <v>1014</v>
      </c>
      <c r="J57" s="2456" t="s">
        <v>1017</v>
      </c>
      <c r="K57" s="2456" t="s">
        <v>1018</v>
      </c>
      <c r="L57" s="2456" t="s">
        <v>1019</v>
      </c>
      <c r="M57" s="2456" t="s">
        <v>1020</v>
      </c>
      <c r="N57" s="2456"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1032</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1023</v>
      </c>
      <c r="B59" s="2430" t="str">
        <f>估价对象房地状况!C18</f>
        <v>估价对象周边道路状况、公共交通通达情况、停车便捷程度，综合评价交通便捷度较好</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1024</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1025</v>
      </c>
      <c r="B61" s="3122" t="s">
        <v>2948</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1026</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1027</v>
      </c>
      <c r="B63" s="3121" t="s">
        <v>2946</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1028</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1029</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3" t="s">
        <v>1030</v>
      </c>
      <c r="B66" s="2435" t="str">
        <f>估价对象房地状况!C20</f>
        <v>区域自然环境：；人文环境；综合评价环境状况一般</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6" t="s">
        <v>1033</v>
      </c>
      <c r="B67" s="2447">
        <f>1+E69</f>
        <v>1</v>
      </c>
      <c r="C67" s="2466"/>
      <c r="D67" s="2449"/>
      <c r="E67" s="2450"/>
      <c r="F67" s="2451"/>
      <c r="G67" s="2445"/>
      <c r="H67" s="2445"/>
      <c r="I67" s="2445"/>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1010</v>
      </c>
      <c r="B68" s="2430"/>
      <c r="C68" s="2452" t="s">
        <v>1012</v>
      </c>
      <c r="D68" s="2453" t="s">
        <v>1013</v>
      </c>
      <c r="E68" s="2454" t="s">
        <v>1015</v>
      </c>
      <c r="F68" s="2455" t="s">
        <v>2255</v>
      </c>
      <c r="G68" s="2453" t="s">
        <v>1016</v>
      </c>
      <c r="H68" s="2436" t="s">
        <v>2422</v>
      </c>
      <c r="I68" s="2453" t="s">
        <v>1014</v>
      </c>
      <c r="J68" s="2456" t="s">
        <v>1017</v>
      </c>
      <c r="K68" s="2456" t="s">
        <v>1018</v>
      </c>
      <c r="L68" s="2456" t="s">
        <v>1019</v>
      </c>
      <c r="M68" s="2456" t="s">
        <v>1020</v>
      </c>
      <c r="N68" s="2456"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1034</v>
      </c>
      <c r="B69" s="2433" t="str">
        <f>估价对象房地状况!C15</f>
        <v>估价对象周边居住用地比例、居住小区规模和社区发展完善程度，综合评价居住社区成熟度一般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1035</v>
      </c>
      <c r="B70" s="2430" t="str">
        <f>估价对象房地状况!C18</f>
        <v>估价对象周边道路状况、公共交通通达情况、停车便捷程度，综合评价交通便捷度较好</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1024</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1036</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1028</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1029</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1027</v>
      </c>
      <c r="B75" s="3121" t="s">
        <v>2946</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1030</v>
      </c>
      <c r="B76" s="2433" t="str">
        <f>估价对象房地状况!C20</f>
        <v>区域自然环境：；人文环境；综合评价环境状况一般</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3" t="s">
        <v>1037</v>
      </c>
      <c r="B77" s="1851"/>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5"/>
      <c r="AD77" s="1404"/>
      <c r="AJ77" s="1403"/>
      <c r="AN77" s="1404"/>
    </row>
    <row r="78" spans="1:40" ht="15">
      <c r="A78" s="2446" t="s">
        <v>1038</v>
      </c>
      <c r="B78" s="2447">
        <f>1+E80</f>
        <v>1</v>
      </c>
      <c r="C78" s="2466"/>
      <c r="D78" s="2449"/>
      <c r="E78" s="2450"/>
      <c r="F78" s="2451"/>
      <c r="G78" s="2445"/>
      <c r="H78" s="2445"/>
      <c r="I78" s="2445"/>
      <c r="J78" s="1065"/>
      <c r="K78" s="1065"/>
      <c r="L78" s="1065"/>
      <c r="M78" s="1065"/>
      <c r="N78" s="1065"/>
      <c r="AC78" s="1405"/>
      <c r="AD78" s="1404"/>
      <c r="AJ78" s="1403"/>
      <c r="AN78" s="1404"/>
    </row>
    <row r="79" spans="1:40" ht="24">
      <c r="A79" s="1066" t="s">
        <v>1010</v>
      </c>
      <c r="B79" s="2430"/>
      <c r="C79" s="2452" t="s">
        <v>1012</v>
      </c>
      <c r="D79" s="2453" t="s">
        <v>1013</v>
      </c>
      <c r="E79" s="2454" t="s">
        <v>1015</v>
      </c>
      <c r="F79" s="2455" t="s">
        <v>2256</v>
      </c>
      <c r="G79" s="2453" t="s">
        <v>1016</v>
      </c>
      <c r="H79" s="2436" t="s">
        <v>2422</v>
      </c>
      <c r="I79" s="2453" t="s">
        <v>1014</v>
      </c>
      <c r="J79" s="2456" t="s">
        <v>1017</v>
      </c>
      <c r="K79" s="2456" t="s">
        <v>1018</v>
      </c>
      <c r="L79" s="2456" t="s">
        <v>1019</v>
      </c>
      <c r="M79" s="2456" t="s">
        <v>1020</v>
      </c>
      <c r="N79" s="2456" t="s">
        <v>1021</v>
      </c>
      <c r="AC79" s="1405"/>
      <c r="AD79" s="1404"/>
      <c r="AJ79" s="1403"/>
      <c r="AN79" s="1404"/>
    </row>
    <row r="80" spans="1:40" ht="36">
      <c r="A80" s="1066" t="s">
        <v>1039</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5"/>
      <c r="AD80" s="1404"/>
      <c r="AJ80" s="1403"/>
      <c r="AN80" s="1404"/>
    </row>
    <row r="81" spans="1:40" ht="48">
      <c r="A81" s="1066" t="s">
        <v>1035</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5"/>
      <c r="AD81" s="1404"/>
      <c r="AJ81" s="1403"/>
      <c r="AN81" s="1404"/>
    </row>
    <row r="82" spans="1:40" ht="24">
      <c r="A82" s="1066" t="s">
        <v>1024</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5"/>
      <c r="AD82" s="1404"/>
      <c r="AJ82" s="1403"/>
      <c r="AN82" s="1404"/>
    </row>
    <row r="83" spans="1:40" ht="14.25">
      <c r="A83" s="1066" t="s">
        <v>1036</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5"/>
      <c r="AD83" s="1404"/>
      <c r="AJ83" s="1403"/>
      <c r="AN83" s="1404"/>
    </row>
    <row r="84" spans="1:40" ht="24">
      <c r="A84" s="1066" t="s">
        <v>1028</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5"/>
      <c r="AD84" s="1404"/>
      <c r="AJ84" s="1403"/>
      <c r="AN84" s="1404"/>
    </row>
    <row r="85" spans="1:40" ht="24">
      <c r="A85" s="1066" t="s">
        <v>1029</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5"/>
      <c r="AD85" s="1404"/>
      <c r="AJ85" s="1403"/>
      <c r="AN85" s="1404"/>
    </row>
    <row r="86" spans="1:40" ht="24">
      <c r="A86" s="1066" t="s">
        <v>1027</v>
      </c>
      <c r="B86" s="3121" t="s">
        <v>2946</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5"/>
      <c r="AD86" s="1404"/>
      <c r="AJ86" s="1403"/>
      <c r="AN86" s="1404"/>
    </row>
    <row r="87" spans="1:40" ht="36.75" thickBot="1">
      <c r="A87" s="2463" t="s">
        <v>1040</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5"/>
      <c r="AD87" s="1404"/>
      <c r="AJ87" s="1403"/>
      <c r="AN87" s="1404"/>
    </row>
    <row r="90" spans="1:40">
      <c r="A90" s="3456" t="s">
        <v>1635</v>
      </c>
      <c r="B90" s="3456"/>
      <c r="C90" s="3456"/>
      <c r="D90" s="3456"/>
      <c r="E90" s="3456"/>
      <c r="F90" s="3456"/>
      <c r="G90" s="3456"/>
      <c r="H90" s="3456"/>
      <c r="I90" s="3456"/>
      <c r="J90" s="3456"/>
      <c r="K90" s="2472"/>
      <c r="L90" s="2472"/>
      <c r="M90" s="2472"/>
      <c r="N90" s="2472"/>
    </row>
    <row r="91" spans="1:40">
      <c r="A91" s="3457" t="s">
        <v>1445</v>
      </c>
      <c r="B91" s="3457" t="s">
        <v>1636</v>
      </c>
      <c r="C91" s="1139" t="s">
        <v>1637</v>
      </c>
      <c r="D91" s="1140"/>
      <c r="E91" s="1140"/>
      <c r="F91" s="1140"/>
      <c r="G91" s="1140"/>
      <c r="H91" s="1140"/>
      <c r="I91" s="1140"/>
      <c r="J91" s="1141"/>
      <c r="K91" s="1133"/>
      <c r="L91" s="1133"/>
      <c r="M91" s="1133"/>
      <c r="N91" s="1133"/>
    </row>
    <row r="92" spans="1:40">
      <c r="A92" s="3457"/>
      <c r="B92" s="3457"/>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46" t="s">
        <v>2772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7"/>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6" t="s">
        <v>1639</v>
      </c>
      <c r="B101" s="1146" t="s">
        <v>907</v>
      </c>
      <c r="C101" s="1147">
        <f>$G$3</f>
        <v>3.79</v>
      </c>
      <c r="D101" s="1147">
        <f t="shared" ref="D101:N101" si="31">$G$3</f>
        <v>3.79</v>
      </c>
      <c r="E101" s="1147">
        <f t="shared" si="31"/>
        <v>3.79</v>
      </c>
      <c r="F101" s="1147">
        <f t="shared" si="31"/>
        <v>3.79</v>
      </c>
      <c r="G101" s="1147">
        <f t="shared" si="31"/>
        <v>3.79</v>
      </c>
      <c r="H101" s="1147">
        <f t="shared" si="31"/>
        <v>3.79</v>
      </c>
      <c r="I101" s="1147">
        <f t="shared" si="31"/>
        <v>3.79</v>
      </c>
      <c r="J101" s="1147">
        <f t="shared" si="31"/>
        <v>3.79</v>
      </c>
      <c r="K101" s="1147">
        <f t="shared" si="31"/>
        <v>3.79</v>
      </c>
      <c r="L101" s="1147">
        <f t="shared" si="31"/>
        <v>3.79</v>
      </c>
      <c r="M101" s="1147">
        <f t="shared" si="31"/>
        <v>3.79</v>
      </c>
      <c r="N101" s="1147">
        <f t="shared" si="31"/>
        <v>3.79</v>
      </c>
    </row>
    <row r="102" spans="1:14">
      <c r="A102" s="3447"/>
      <c r="B102" s="1142">
        <v>1</v>
      </c>
      <c r="C102" s="1143">
        <f>1.9362/C101</f>
        <v>0.51087071240105542</v>
      </c>
      <c r="D102" s="1143">
        <f>1.9362/D101</f>
        <v>0.51087071240105542</v>
      </c>
      <c r="E102" s="1143">
        <f>1.8629/E101</f>
        <v>0.49153034300791554</v>
      </c>
      <c r="F102" s="1143">
        <f>1.8629/F101</f>
        <v>0.49153034300791554</v>
      </c>
      <c r="G102" s="1143">
        <f>1.8629/G101</f>
        <v>0.49153034300791554</v>
      </c>
      <c r="H102" s="1143">
        <f>1.8629/H101</f>
        <v>0.49153034300791554</v>
      </c>
      <c r="I102" s="1143">
        <f>1.8629/I101</f>
        <v>0.49153034300791554</v>
      </c>
      <c r="J102" s="1143">
        <f>1.942/J101</f>
        <v>0.51240105540897096</v>
      </c>
      <c r="K102" s="1143">
        <f>1.942/K101</f>
        <v>0.51240105540897096</v>
      </c>
      <c r="L102" s="1143">
        <f>1.942/L101</f>
        <v>0.51240105540897096</v>
      </c>
      <c r="M102" s="1143">
        <f>1.942/M101</f>
        <v>0.51240105540897096</v>
      </c>
      <c r="N102" s="1143">
        <f>1.942/N101</f>
        <v>0.51240105540897096</v>
      </c>
    </row>
    <row r="103" spans="1:14">
      <c r="A103" s="3447"/>
      <c r="B103" s="1142">
        <v>2</v>
      </c>
      <c r="C103" s="1143">
        <f>1.4198/C101</f>
        <v>0.37461741424802109</v>
      </c>
      <c r="D103" s="1143">
        <f>1.4198/D101</f>
        <v>0.37461741424802109</v>
      </c>
      <c r="E103" s="1143">
        <f>1.3372/E101</f>
        <v>0.35282321899736147</v>
      </c>
      <c r="F103" s="1143">
        <f>1.3372/F101</f>
        <v>0.35282321899736147</v>
      </c>
      <c r="G103" s="1143">
        <f>1.3372/G101</f>
        <v>0.35282321899736147</v>
      </c>
      <c r="H103" s="1143">
        <f>1.3372/H101</f>
        <v>0.35282321899736147</v>
      </c>
      <c r="I103" s="1143">
        <f>1.3372/I101</f>
        <v>0.35282321899736147</v>
      </c>
      <c r="J103" s="1143">
        <f>1.2799/J101</f>
        <v>0.33770448548812665</v>
      </c>
      <c r="K103" s="1143">
        <f>1.2799/K101</f>
        <v>0.33770448548812665</v>
      </c>
      <c r="L103" s="1143">
        <f>1.2799/L101</f>
        <v>0.33770448548812665</v>
      </c>
      <c r="M103" s="1143">
        <f>1.2799/M101</f>
        <v>0.33770448548812665</v>
      </c>
      <c r="N103" s="1143">
        <f>1.2799/N101</f>
        <v>0.33770448548812665</v>
      </c>
    </row>
    <row r="104" spans="1:14">
      <c r="A104" s="3447"/>
      <c r="B104" s="1142">
        <v>3</v>
      </c>
      <c r="C104" s="1143">
        <f>1.1594/C101</f>
        <v>0.30591029023746702</v>
      </c>
      <c r="D104" s="1143">
        <f>1.1594/D101</f>
        <v>0.30591029023746702</v>
      </c>
      <c r="E104" s="1143">
        <f>1.0788/E101</f>
        <v>0.28464379947229551</v>
      </c>
      <c r="F104" s="1143">
        <f>1.0788/F101</f>
        <v>0.28464379947229551</v>
      </c>
      <c r="G104" s="1143">
        <f>1.0788/G101</f>
        <v>0.28464379947229551</v>
      </c>
      <c r="H104" s="1143">
        <f>1.0788/H101</f>
        <v>0.28464379947229551</v>
      </c>
      <c r="I104" s="1143">
        <f>1.0788/I101</f>
        <v>0.28464379947229551</v>
      </c>
      <c r="J104" s="1143">
        <f>1.0072/J101</f>
        <v>0.26575197889182062</v>
      </c>
      <c r="K104" s="1143">
        <f>1.0072/K101</f>
        <v>0.26575197889182062</v>
      </c>
      <c r="L104" s="1143">
        <f>1.0072/L101</f>
        <v>0.26575197889182062</v>
      </c>
      <c r="M104" s="1143">
        <f>1.0072/M101</f>
        <v>0.26575197889182062</v>
      </c>
      <c r="N104" s="1143">
        <f>1.0072/N101</f>
        <v>0.26575197889182062</v>
      </c>
    </row>
    <row r="105" spans="1:14">
      <c r="A105" s="3447"/>
      <c r="B105" s="1142">
        <v>4</v>
      </c>
      <c r="C105" s="1143">
        <f>0.9622/C101</f>
        <v>0.25387862796833777</v>
      </c>
      <c r="D105" s="1143">
        <f>0.9622/D101</f>
        <v>0.25387862796833777</v>
      </c>
      <c r="E105" s="1143">
        <f>0.8656/E101</f>
        <v>0.22839050131926122</v>
      </c>
      <c r="F105" s="1143">
        <f>0.8656/F101</f>
        <v>0.22839050131926122</v>
      </c>
      <c r="G105" s="1143">
        <f>0.8656/G101</f>
        <v>0.22839050131926122</v>
      </c>
      <c r="H105" s="1143">
        <f>0.8656/H101</f>
        <v>0.22839050131926122</v>
      </c>
      <c r="I105" s="1143">
        <f>0.8656/I101</f>
        <v>0.22839050131926122</v>
      </c>
      <c r="J105" s="1143">
        <f>0.7525/J101</f>
        <v>0.19854881266490765</v>
      </c>
      <c r="K105" s="1143">
        <f>0.7525/K101</f>
        <v>0.19854881266490765</v>
      </c>
      <c r="L105" s="1143">
        <f>0.7525/L101</f>
        <v>0.19854881266490765</v>
      </c>
      <c r="M105" s="1143">
        <f>0.7525/M101</f>
        <v>0.19854881266490765</v>
      </c>
      <c r="N105" s="1143">
        <f>0.7525/N101</f>
        <v>0.19854881266490765</v>
      </c>
    </row>
    <row r="106" spans="1:14">
      <c r="A106" s="3447"/>
      <c r="B106" s="1142">
        <v>5</v>
      </c>
      <c r="C106" s="1143">
        <f>0.8417/C101</f>
        <v>0.22208443271767811</v>
      </c>
      <c r="D106" s="1143">
        <f>0.8417/D101</f>
        <v>0.22208443271767811</v>
      </c>
      <c r="E106" s="1143">
        <f>0.7371/E101</f>
        <v>0.19448548812664906</v>
      </c>
      <c r="F106" s="1143">
        <f>0.7371/F101</f>
        <v>0.19448548812664906</v>
      </c>
      <c r="G106" s="1143">
        <f>0.7371/G101</f>
        <v>0.19448548812664906</v>
      </c>
      <c r="H106" s="1143">
        <f>0.7371/H101</f>
        <v>0.19448548812664906</v>
      </c>
      <c r="I106" s="1143">
        <f>0.7371/I101</f>
        <v>0.19448548812664906</v>
      </c>
      <c r="J106" s="1143">
        <f>0.5659/J101</f>
        <v>0.14931398416886543</v>
      </c>
      <c r="K106" s="1143">
        <f>0.5659/K101</f>
        <v>0.14931398416886543</v>
      </c>
      <c r="L106" s="1143">
        <f>0.5659/L101</f>
        <v>0.14931398416886543</v>
      </c>
      <c r="M106" s="1143">
        <f>0.5659/M101</f>
        <v>0.14931398416886543</v>
      </c>
      <c r="N106" s="1143">
        <f>0.5659/N101</f>
        <v>0.14931398416886543</v>
      </c>
    </row>
    <row r="107" spans="1:14">
      <c r="A107" s="3447"/>
      <c r="B107" s="1142">
        <v>6</v>
      </c>
      <c r="C107" s="1143">
        <f>0.7608/C101</f>
        <v>0.20073878627968339</v>
      </c>
      <c r="D107" s="1143">
        <f>0.7608/D101</f>
        <v>0.20073878627968339</v>
      </c>
      <c r="E107" s="1143">
        <f>0.6482/E101</f>
        <v>0.17102902374670184</v>
      </c>
      <c r="F107" s="1143">
        <f>0.6482/F101</f>
        <v>0.17102902374670184</v>
      </c>
      <c r="G107" s="1143">
        <f>0.6482/G101</f>
        <v>0.17102902374670184</v>
      </c>
      <c r="H107" s="1143">
        <f>0.6482/H101</f>
        <v>0.17102902374670184</v>
      </c>
      <c r="I107" s="1143">
        <f>0.6482/I101</f>
        <v>0.17102902374670184</v>
      </c>
      <c r="J107" s="1143">
        <f>0.4525/J101</f>
        <v>0.11939313984168866</v>
      </c>
      <c r="K107" s="1143">
        <f>0.4525/K101</f>
        <v>0.11939313984168866</v>
      </c>
      <c r="L107" s="1143">
        <f>0.4525/L101</f>
        <v>0.11939313984168866</v>
      </c>
      <c r="M107" s="1143">
        <f>0.4525/M101</f>
        <v>0.11939313984168866</v>
      </c>
      <c r="N107" s="1143">
        <f>0.4525/N101</f>
        <v>0.11939313984168866</v>
      </c>
    </row>
    <row r="108" spans="1:14">
      <c r="A108" s="3447"/>
      <c r="B108" s="3449"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8"/>
      <c r="B109" s="3450"/>
      <c r="C109" s="1145">
        <f>(-0.163*(C108^2)-0.59*C108+7617)*(10^(-4))/C101</f>
        <v>0.20057646437994722</v>
      </c>
      <c r="D109" s="1145">
        <f>(-0.163*(D108^2)-0.59*D108+7617)*(10^(-4))/D101</f>
        <v>0.20057646437994722</v>
      </c>
      <c r="E109" s="1145">
        <f>(-0.161*(E108^2)-7.509*E108+6533)*(10^(-4))/E101</f>
        <v>0.17051778364116096</v>
      </c>
      <c r="F109" s="1145">
        <f>(-0.161*(F108^2)-7.509*F108+6533)*(10^(-4))/F101</f>
        <v>0.17051778364116096</v>
      </c>
      <c r="G109" s="1145">
        <f>(-0.161*(G108^2)-7.509*G108+6533)*(10^(-4))/G101</f>
        <v>0.17051778364116096</v>
      </c>
      <c r="H109" s="1145">
        <f>(-0.161*(H108^2)-7.509*H108+6533)*(10^(-4))/H101</f>
        <v>0.17051778364116096</v>
      </c>
      <c r="I109" s="1145">
        <f>(-0.161*(I108^2)-7.509*I108+6533)*(10^(-4))/I101</f>
        <v>0.17051778364116096</v>
      </c>
      <c r="J109" s="1145">
        <f>(-0.214*(J108^2)-21.991*J108+4665)*(10^(-4))/J101</f>
        <v>0.11808379947229553</v>
      </c>
      <c r="K109" s="1145">
        <f>(-0.214*(K108^2)-21.991*K108+4665)*(10^(-4))/K101</f>
        <v>0.11808379947229553</v>
      </c>
      <c r="L109" s="1145">
        <f>(-0.214*(L108^2)-21.991*L108+4665)*(10^(-4))/L101</f>
        <v>0.11808379947229553</v>
      </c>
      <c r="M109" s="1145">
        <f>(-0.214*(M108^2)-21.991*M108+4665)*(10^(-4))/M101</f>
        <v>0.11808379947229553</v>
      </c>
      <c r="N109" s="1145">
        <f>(-0.214*(N108^2)-21.991*N108+4665)*(10^(-4))/N101</f>
        <v>0.11808379947229553</v>
      </c>
    </row>
    <row r="110" spans="1:14">
      <c r="A110" s="3451" t="s">
        <v>1641</v>
      </c>
      <c r="B110" s="3451"/>
      <c r="C110" s="3451"/>
      <c r="D110" s="3451"/>
      <c r="E110" s="3451"/>
      <c r="F110" s="3451"/>
      <c r="G110" s="3451"/>
      <c r="H110" s="3451"/>
      <c r="I110" s="3451"/>
      <c r="J110" s="3451"/>
      <c r="K110" s="2470"/>
      <c r="L110" s="2470"/>
      <c r="M110" s="2470"/>
      <c r="N110" s="2470"/>
    </row>
    <row r="112" spans="1:14" ht="12.75" thickBot="1"/>
    <row r="113" spans="1:13" ht="25.5" thickBot="1">
      <c r="A113" s="1015" t="s">
        <v>897</v>
      </c>
      <c r="B113" s="2473">
        <f>G3</f>
        <v>3.79</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0.89790000000000003</v>
      </c>
      <c r="C115" s="1029">
        <f>B115</f>
        <v>0.89790000000000003</v>
      </c>
      <c r="D115" s="1029">
        <f>ROUND(0.8331-0.0109*B113,4)</f>
        <v>0.79179999999999995</v>
      </c>
      <c r="E115" s="1029">
        <f>D115</f>
        <v>0.79179999999999995</v>
      </c>
      <c r="F115" s="1029">
        <f>E115</f>
        <v>0.79179999999999995</v>
      </c>
      <c r="G115" s="1029">
        <f>F115</f>
        <v>0.79179999999999995</v>
      </c>
      <c r="H115" s="1029">
        <f>G115</f>
        <v>0.79179999999999995</v>
      </c>
      <c r="I115" s="1029">
        <f>ROUND(0.689-0.0155*B113,4)</f>
        <v>0.63029999999999997</v>
      </c>
      <c r="J115" s="1029">
        <f t="shared" ref="J115:M118" si="33">I115</f>
        <v>0.63029999999999997</v>
      </c>
      <c r="K115" s="1029">
        <f t="shared" si="33"/>
        <v>0.63029999999999997</v>
      </c>
      <c r="L115" s="1029">
        <f t="shared" si="33"/>
        <v>0.63029999999999997</v>
      </c>
      <c r="M115" s="1030">
        <f t="shared" si="33"/>
        <v>0.63029999999999997</v>
      </c>
    </row>
    <row r="116" spans="1:13" ht="12.75">
      <c r="A116" s="1028" t="s">
        <v>902</v>
      </c>
      <c r="B116" s="1029">
        <f>ROUND(0.949-0.012*B113,4)</f>
        <v>0.90349999999999997</v>
      </c>
      <c r="C116" s="1029">
        <f>B116</f>
        <v>0.90349999999999997</v>
      </c>
      <c r="D116" s="1029">
        <f>ROUND(0.8567-0.013*B113,4)</f>
        <v>0.80740000000000001</v>
      </c>
      <c r="E116" s="1029">
        <f t="shared" ref="E116:H117" si="34">D116</f>
        <v>0.80740000000000001</v>
      </c>
      <c r="F116" s="1029">
        <f t="shared" si="34"/>
        <v>0.80740000000000001</v>
      </c>
      <c r="G116" s="1029">
        <f t="shared" si="34"/>
        <v>0.80740000000000001</v>
      </c>
      <c r="H116" s="1029">
        <f t="shared" si="34"/>
        <v>0.80740000000000001</v>
      </c>
      <c r="I116" s="1029">
        <f>ROUND(0.7694-0.014*B113,4)</f>
        <v>0.71630000000000005</v>
      </c>
      <c r="J116" s="1029">
        <f t="shared" si="33"/>
        <v>0.71630000000000005</v>
      </c>
      <c r="K116" s="1029">
        <f t="shared" si="33"/>
        <v>0.71630000000000005</v>
      </c>
      <c r="L116" s="1029">
        <f t="shared" si="33"/>
        <v>0.71630000000000005</v>
      </c>
      <c r="M116" s="1030">
        <f t="shared" si="33"/>
        <v>0.71630000000000005</v>
      </c>
    </row>
    <row r="117" spans="1:13" ht="12.75">
      <c r="A117" s="1031" t="s">
        <v>903</v>
      </c>
      <c r="B117" s="1029">
        <f>ROUND(0.8808-0.006*B113,4)</f>
        <v>0.85809999999999997</v>
      </c>
      <c r="C117" s="1029">
        <f>B117</f>
        <v>0.85809999999999997</v>
      </c>
      <c r="D117" s="1029">
        <f>ROUND(0.8748-0.008*B113,4)</f>
        <v>0.84450000000000003</v>
      </c>
      <c r="E117" s="1029">
        <f t="shared" si="34"/>
        <v>0.84450000000000003</v>
      </c>
      <c r="F117" s="1029">
        <f t="shared" si="34"/>
        <v>0.84450000000000003</v>
      </c>
      <c r="G117" s="1029">
        <f t="shared" si="34"/>
        <v>0.84450000000000003</v>
      </c>
      <c r="H117" s="1029">
        <f t="shared" si="34"/>
        <v>0.84450000000000003</v>
      </c>
      <c r="I117" s="1029">
        <f>ROUND(0.7412-0.0095*B113,4)</f>
        <v>0.70520000000000005</v>
      </c>
      <c r="J117" s="1029">
        <f t="shared" si="33"/>
        <v>0.70520000000000005</v>
      </c>
      <c r="K117" s="1029">
        <f t="shared" si="33"/>
        <v>0.70520000000000005</v>
      </c>
      <c r="L117" s="1029">
        <f t="shared" si="33"/>
        <v>0.70520000000000005</v>
      </c>
      <c r="M117" s="1030">
        <f t="shared" si="33"/>
        <v>0.70520000000000005</v>
      </c>
    </row>
    <row r="118" spans="1:13" ht="13.5" thickBot="1">
      <c r="A118" s="1032" t="s">
        <v>904</v>
      </c>
      <c r="B118" s="1033">
        <f>ROUND(0.7275-0.01*B113,4)</f>
        <v>0.68959999999999999</v>
      </c>
      <c r="C118" s="1033">
        <f>B118</f>
        <v>0.68959999999999999</v>
      </c>
      <c r="D118" s="1033">
        <f>ROUND(0.7043-0.012*B113,4)</f>
        <v>0.65880000000000005</v>
      </c>
      <c r="E118" s="1033">
        <f>D118</f>
        <v>0.65880000000000005</v>
      </c>
      <c r="F118" s="1033">
        <f>E118</f>
        <v>0.65880000000000005</v>
      </c>
      <c r="G118" s="1033">
        <f>ROUND(0.6299-0.0122*B113,4)</f>
        <v>0.5837</v>
      </c>
      <c r="H118" s="1033">
        <f>G118</f>
        <v>0.5837</v>
      </c>
      <c r="I118" s="1033">
        <f>ROUND(0.5667-0.0136*B113,4)</f>
        <v>0.51519999999999999</v>
      </c>
      <c r="J118" s="1033">
        <f t="shared" si="33"/>
        <v>0.51519999999999999</v>
      </c>
      <c r="K118" s="1033">
        <f t="shared" si="33"/>
        <v>0.51519999999999999</v>
      </c>
      <c r="L118" s="1033">
        <f t="shared" si="33"/>
        <v>0.51519999999999999</v>
      </c>
      <c r="M118" s="1034">
        <f t="shared" si="33"/>
        <v>0.51519999999999999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457" t="s">
        <v>1009</v>
      </c>
      <c r="B18" s="1153" t="s">
        <v>1448</v>
      </c>
      <c r="C18" s="1130" t="s">
        <v>1449</v>
      </c>
      <c r="D18" s="1131"/>
      <c r="E18" s="1153">
        <v>1</v>
      </c>
      <c r="F18" s="1132" t="s">
        <v>1450</v>
      </c>
      <c r="G18" s="1133"/>
      <c r="H18" s="1104"/>
      <c r="I18" s="1104"/>
    </row>
    <row r="19" spans="1:9" s="1599" customFormat="1" ht="19.5" customHeight="1">
      <c r="A19" s="3457"/>
      <c r="B19" s="3457" t="s">
        <v>1451</v>
      </c>
      <c r="C19" s="1130" t="s">
        <v>1452</v>
      </c>
      <c r="D19" s="1131"/>
      <c r="E19" s="1153">
        <v>0.9</v>
      </c>
      <c r="F19" s="1132" t="s">
        <v>1453</v>
      </c>
      <c r="G19" s="1133"/>
      <c r="H19" s="1104"/>
      <c r="I19" s="1104"/>
    </row>
    <row r="20" spans="1:9" s="1599" customFormat="1" ht="19.5" customHeight="1">
      <c r="A20" s="3457"/>
      <c r="B20" s="3457"/>
      <c r="C20" s="1130" t="s">
        <v>1454</v>
      </c>
      <c r="D20" s="1131"/>
      <c r="E20" s="1153">
        <v>1.1000000000000001</v>
      </c>
      <c r="F20" s="1132" t="s">
        <v>1455</v>
      </c>
      <c r="G20" s="1133"/>
      <c r="H20" s="1104"/>
      <c r="I20" s="1104"/>
    </row>
    <row r="21" spans="1:9" s="1599" customFormat="1" ht="19.5" customHeight="1">
      <c r="A21" s="3457"/>
      <c r="B21" s="3457"/>
      <c r="C21" s="1130" t="s">
        <v>1456</v>
      </c>
      <c r="D21" s="1131"/>
      <c r="E21" s="1153">
        <v>0.8</v>
      </c>
      <c r="F21" s="1132" t="s">
        <v>1457</v>
      </c>
      <c r="G21" s="1133"/>
      <c r="H21" s="1104"/>
      <c r="I21" s="1104"/>
    </row>
    <row r="22" spans="1:9" s="1599" customFormat="1" ht="19.5" customHeight="1">
      <c r="A22" s="3457"/>
      <c r="B22" s="3457"/>
      <c r="C22" s="1130" t="s">
        <v>1458</v>
      </c>
      <c r="D22" s="1131"/>
      <c r="E22" s="1153">
        <v>0.5</v>
      </c>
      <c r="F22" s="1132"/>
      <c r="G22" s="1133"/>
      <c r="H22" s="1104"/>
      <c r="I22" s="1104"/>
    </row>
    <row r="23" spans="1:9" s="1599" customFormat="1" ht="19.5" customHeight="1">
      <c r="A23" s="3457" t="s">
        <v>1031</v>
      </c>
      <c r="B23" s="1153" t="s">
        <v>1448</v>
      </c>
      <c r="C23" s="1130" t="s">
        <v>1459</v>
      </c>
      <c r="D23" s="1131"/>
      <c r="E23" s="1153">
        <v>1</v>
      </c>
      <c r="F23" s="1132" t="s">
        <v>1460</v>
      </c>
      <c r="G23" s="1133"/>
      <c r="H23" s="1104"/>
      <c r="I23" s="1104"/>
    </row>
    <row r="24" spans="1:9" s="1599" customFormat="1" ht="19.5" customHeight="1">
      <c r="A24" s="3457"/>
      <c r="B24" s="3457" t="s">
        <v>1451</v>
      </c>
      <c r="C24" s="1130" t="s">
        <v>1461</v>
      </c>
      <c r="D24" s="1131"/>
      <c r="E24" s="1153">
        <v>0.5</v>
      </c>
      <c r="F24" s="1132"/>
      <c r="G24" s="1133"/>
      <c r="H24" s="1104"/>
      <c r="I24" s="1104"/>
    </row>
    <row r="25" spans="1:9" s="1599" customFormat="1" ht="19.5" customHeight="1">
      <c r="A25" s="3457"/>
      <c r="B25" s="3457"/>
      <c r="C25" s="1130" t="s">
        <v>1462</v>
      </c>
      <c r="D25" s="1131"/>
      <c r="E25" s="1153">
        <v>1.1000000000000001</v>
      </c>
      <c r="F25" s="1132"/>
      <c r="G25" s="1133"/>
      <c r="H25" s="1104"/>
      <c r="I25" s="1104"/>
    </row>
    <row r="26" spans="1:9" s="1599" customFormat="1" ht="19.5" customHeight="1">
      <c r="A26" s="3457"/>
      <c r="B26" s="3457"/>
      <c r="C26" s="1130" t="s">
        <v>1463</v>
      </c>
      <c r="D26" s="1131"/>
      <c r="E26" s="1153">
        <v>1.1000000000000001</v>
      </c>
      <c r="F26" s="1132"/>
      <c r="G26" s="1133"/>
      <c r="H26" s="1104"/>
      <c r="I26" s="1104"/>
    </row>
    <row r="27" spans="1:9" s="1599" customFormat="1" ht="19.5" customHeight="1">
      <c r="A27" s="3457"/>
      <c r="B27" s="3457"/>
      <c r="C27" s="1130" t="s">
        <v>1464</v>
      </c>
      <c r="D27" s="1131"/>
      <c r="E27" s="1153">
        <v>0.9</v>
      </c>
      <c r="F27" s="1132" t="s">
        <v>1465</v>
      </c>
      <c r="G27" s="1133"/>
      <c r="H27" s="1104"/>
      <c r="I27" s="1104"/>
    </row>
    <row r="28" spans="1:9" s="1599" customFormat="1" ht="19.5" customHeight="1">
      <c r="A28" s="3457"/>
      <c r="B28" s="3457"/>
      <c r="C28" s="1130" t="s">
        <v>1466</v>
      </c>
      <c r="D28" s="1131"/>
      <c r="E28" s="1153">
        <v>0.9</v>
      </c>
      <c r="F28" s="1132" t="s">
        <v>1467</v>
      </c>
      <c r="G28" s="1133"/>
      <c r="H28" s="1104"/>
      <c r="I28" s="1104"/>
    </row>
    <row r="29" spans="1:9" s="1599" customFormat="1" ht="19.5" customHeight="1">
      <c r="A29" s="3457"/>
      <c r="B29" s="3457"/>
      <c r="C29" s="1130" t="s">
        <v>1468</v>
      </c>
      <c r="D29" s="1131"/>
      <c r="E29" s="1153">
        <v>0.9</v>
      </c>
      <c r="F29" s="1132" t="s">
        <v>1469</v>
      </c>
      <c r="G29" s="1133"/>
      <c r="H29" s="1104"/>
      <c r="I29" s="1104"/>
    </row>
    <row r="30" spans="1:9" s="1599" customFormat="1" ht="19.5" customHeight="1">
      <c r="A30" s="3457"/>
      <c r="B30" s="3457"/>
      <c r="C30" s="1130" t="s">
        <v>1470</v>
      </c>
      <c r="D30" s="1131"/>
      <c r="E30" s="1153">
        <v>0.9</v>
      </c>
      <c r="F30" s="1132" t="s">
        <v>1471</v>
      </c>
      <c r="G30" s="1133"/>
      <c r="H30" s="1104"/>
      <c r="I30" s="1104"/>
    </row>
    <row r="31" spans="1:9" s="1599" customFormat="1" ht="19.5" customHeight="1">
      <c r="A31" s="3457"/>
      <c r="B31" s="3457"/>
      <c r="C31" s="1130" t="s">
        <v>1472</v>
      </c>
      <c r="D31" s="1131"/>
      <c r="E31" s="1153">
        <v>0.8</v>
      </c>
      <c r="F31" s="1132" t="s">
        <v>1473</v>
      </c>
      <c r="G31" s="1133"/>
      <c r="H31" s="1104"/>
      <c r="I31" s="1104"/>
    </row>
    <row r="32" spans="1:9" s="1599" customFormat="1" ht="19.5" customHeight="1">
      <c r="A32" s="3457"/>
      <c r="B32" s="3457"/>
      <c r="C32" s="1130" t="s">
        <v>1474</v>
      </c>
      <c r="D32" s="1131"/>
      <c r="E32" s="1153">
        <v>0.8</v>
      </c>
      <c r="F32" s="1132" t="s">
        <v>1475</v>
      </c>
      <c r="G32" s="1133"/>
      <c r="H32" s="1104"/>
      <c r="I32" s="1104"/>
    </row>
    <row r="33" spans="1:9" s="1599" customFormat="1" ht="19.5" customHeight="1">
      <c r="A33" s="3457" t="s">
        <v>1476</v>
      </c>
      <c r="B33" s="1153" t="s">
        <v>1448</v>
      </c>
      <c r="C33" s="1130" t="s">
        <v>1477</v>
      </c>
      <c r="D33" s="1131"/>
      <c r="E33" s="1153">
        <v>1</v>
      </c>
      <c r="F33" s="1132" t="s">
        <v>1478</v>
      </c>
      <c r="G33" s="1133"/>
      <c r="H33" s="1104"/>
      <c r="I33" s="1104"/>
    </row>
    <row r="34" spans="1:9" s="1599" customFormat="1" ht="19.5" customHeight="1">
      <c r="A34" s="3457"/>
      <c r="B34" s="1153" t="s">
        <v>1451</v>
      </c>
      <c r="C34" s="1130" t="s">
        <v>1479</v>
      </c>
      <c r="D34" s="1131"/>
      <c r="E34" s="1153">
        <v>1.5</v>
      </c>
      <c r="F34" s="1132" t="s">
        <v>1480</v>
      </c>
      <c r="G34" s="1133"/>
      <c r="H34" s="1104"/>
      <c r="I34" s="1104"/>
    </row>
    <row r="35" spans="1:9" s="1599" customFormat="1" ht="19.5" customHeight="1">
      <c r="A35" s="3457" t="s">
        <v>1434</v>
      </c>
      <c r="B35" s="1153" t="s">
        <v>1448</v>
      </c>
      <c r="C35" s="1130" t="s">
        <v>1481</v>
      </c>
      <c r="D35" s="1131"/>
      <c r="E35" s="1153">
        <v>1</v>
      </c>
      <c r="F35" s="1132" t="s">
        <v>1482</v>
      </c>
      <c r="G35" s="1133"/>
      <c r="H35" s="1104"/>
      <c r="I35" s="1104"/>
    </row>
    <row r="36" spans="1:9" s="1599" customFormat="1" ht="19.5" customHeight="1">
      <c r="A36" s="3457"/>
      <c r="B36" s="3457" t="s">
        <v>1451</v>
      </c>
      <c r="C36" s="1130" t="s">
        <v>1483</v>
      </c>
      <c r="D36" s="1131"/>
      <c r="E36" s="1153">
        <v>1</v>
      </c>
      <c r="F36" s="1132" t="s">
        <v>1484</v>
      </c>
      <c r="G36" s="1133"/>
      <c r="H36" s="1104"/>
      <c r="I36" s="1104"/>
    </row>
    <row r="37" spans="1:9" s="1599" customFormat="1" ht="19.5" customHeight="1">
      <c r="A37" s="3457"/>
      <c r="B37" s="3457"/>
      <c r="C37" s="1130" t="s">
        <v>1485</v>
      </c>
      <c r="D37" s="1131"/>
      <c r="E37" s="1153">
        <v>1.5</v>
      </c>
      <c r="F37" s="1132" t="s">
        <v>1486</v>
      </c>
      <c r="G37" s="1133"/>
      <c r="H37" s="1104"/>
      <c r="I37" s="1104"/>
    </row>
    <row r="38" spans="1:9" s="1599" customFormat="1" ht="19.5" customHeight="1">
      <c r="A38" s="3457"/>
      <c r="B38" s="3457"/>
      <c r="C38" s="1130" t="s">
        <v>1487</v>
      </c>
      <c r="D38" s="1131"/>
      <c r="E38" s="1153">
        <v>1</v>
      </c>
      <c r="F38" s="1132" t="s">
        <v>1488</v>
      </c>
      <c r="G38" s="1133"/>
      <c r="H38" s="1104"/>
      <c r="I38" s="1104"/>
    </row>
    <row r="39" spans="1:9" s="1599" customFormat="1" ht="19.5" customHeight="1">
      <c r="A39" s="3457"/>
      <c r="B39" s="3457"/>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57" t="s">
        <v>1503</v>
      </c>
      <c r="C61" s="1067" t="s">
        <v>1504</v>
      </c>
      <c r="D61" s="1067" t="s">
        <v>1505</v>
      </c>
      <c r="E61" s="1138">
        <v>0.5</v>
      </c>
      <c r="F61" s="1153">
        <v>80</v>
      </c>
      <c r="H61" s="1104">
        <f>SUMIF(C59:C119,基准地价!C8,E59:E119)</f>
        <v>0</v>
      </c>
    </row>
    <row r="62" spans="1:8" s="1104" customFormat="1" ht="24">
      <c r="A62" s="1153">
        <v>2</v>
      </c>
      <c r="B62" s="3457"/>
      <c r="C62" s="1067" t="s">
        <v>1506</v>
      </c>
      <c r="D62" s="1067" t="s">
        <v>1507</v>
      </c>
      <c r="E62" s="1138">
        <v>0.5</v>
      </c>
      <c r="F62" s="1153">
        <v>80</v>
      </c>
    </row>
    <row r="63" spans="1:8" s="1104" customFormat="1" ht="36">
      <c r="A63" s="1153">
        <v>3</v>
      </c>
      <c r="B63" s="3457"/>
      <c r="C63" s="1067" t="s">
        <v>1508</v>
      </c>
      <c r="D63" s="1067" t="s">
        <v>1509</v>
      </c>
      <c r="E63" s="1138">
        <v>0.5</v>
      </c>
      <c r="F63" s="1153">
        <v>80</v>
      </c>
    </row>
    <row r="64" spans="1:8" s="1104" customFormat="1" ht="36">
      <c r="A64" s="1153">
        <v>4</v>
      </c>
      <c r="B64" s="3457"/>
      <c r="C64" s="1067" t="s">
        <v>1510</v>
      </c>
      <c r="D64" s="1067" t="s">
        <v>1511</v>
      </c>
      <c r="E64" s="1138">
        <v>0.4</v>
      </c>
      <c r="F64" s="1153">
        <v>60</v>
      </c>
    </row>
    <row r="65" spans="1:6" s="1104" customFormat="1" ht="36">
      <c r="A65" s="1153">
        <v>5</v>
      </c>
      <c r="B65" s="3457"/>
      <c r="C65" s="1067" t="s">
        <v>1512</v>
      </c>
      <c r="D65" s="1067" t="s">
        <v>1513</v>
      </c>
      <c r="E65" s="1138">
        <v>0.2</v>
      </c>
      <c r="F65" s="1153">
        <v>30</v>
      </c>
    </row>
    <row r="66" spans="1:6" s="1104" customFormat="1" ht="36">
      <c r="A66" s="1153">
        <v>6</v>
      </c>
      <c r="B66" s="3457"/>
      <c r="C66" s="1067" t="s">
        <v>1514</v>
      </c>
      <c r="D66" s="1067" t="s">
        <v>1515</v>
      </c>
      <c r="E66" s="1138">
        <v>0.3</v>
      </c>
      <c r="F66" s="1153">
        <v>50</v>
      </c>
    </row>
    <row r="67" spans="1:6" s="1104" customFormat="1" ht="36">
      <c r="A67" s="1153">
        <v>7</v>
      </c>
      <c r="B67" s="3457"/>
      <c r="C67" s="1067" t="s">
        <v>1516</v>
      </c>
      <c r="D67" s="1067" t="s">
        <v>1517</v>
      </c>
      <c r="E67" s="1138">
        <v>0.2</v>
      </c>
      <c r="F67" s="1153">
        <v>30</v>
      </c>
    </row>
    <row r="68" spans="1:6" s="1104" customFormat="1" ht="36">
      <c r="A68" s="1153">
        <v>8</v>
      </c>
      <c r="B68" s="3457"/>
      <c r="C68" s="1067" t="s">
        <v>1518</v>
      </c>
      <c r="D68" s="1067" t="s">
        <v>1519</v>
      </c>
      <c r="E68" s="1138">
        <v>0.2</v>
      </c>
      <c r="F68" s="1153">
        <v>30</v>
      </c>
    </row>
    <row r="69" spans="1:6" s="1104" customFormat="1" ht="36">
      <c r="A69" s="1153">
        <v>9</v>
      </c>
      <c r="B69" s="3457"/>
      <c r="C69" s="1067" t="s">
        <v>1520</v>
      </c>
      <c r="D69" s="1067" t="s">
        <v>1521</v>
      </c>
      <c r="E69" s="1138">
        <v>0.2</v>
      </c>
      <c r="F69" s="1153">
        <v>30</v>
      </c>
    </row>
    <row r="70" spans="1:6" s="1104" customFormat="1" ht="48">
      <c r="A70" s="1153">
        <v>10</v>
      </c>
      <c r="B70" s="3457"/>
      <c r="C70" s="1067" t="s">
        <v>1522</v>
      </c>
      <c r="D70" s="1067" t="s">
        <v>1523</v>
      </c>
      <c r="E70" s="1138">
        <v>0.2</v>
      </c>
      <c r="F70" s="1153">
        <v>30</v>
      </c>
    </row>
    <row r="71" spans="1:6" s="1104" customFormat="1" ht="48">
      <c r="A71" s="1153">
        <v>11</v>
      </c>
      <c r="B71" s="3457"/>
      <c r="C71" s="1067" t="s">
        <v>1524</v>
      </c>
      <c r="D71" s="1067" t="s">
        <v>1525</v>
      </c>
      <c r="E71" s="1138">
        <v>0.2</v>
      </c>
      <c r="F71" s="1153">
        <v>30</v>
      </c>
    </row>
    <row r="72" spans="1:6" s="1104" customFormat="1" ht="36">
      <c r="A72" s="1153">
        <v>12</v>
      </c>
      <c r="B72" s="3457"/>
      <c r="C72" s="1067" t="s">
        <v>1526</v>
      </c>
      <c r="D72" s="1067" t="s">
        <v>1527</v>
      </c>
      <c r="E72" s="1138">
        <v>0.5</v>
      </c>
      <c r="F72" s="1153">
        <v>80</v>
      </c>
    </row>
    <row r="73" spans="1:6" s="1104" customFormat="1" ht="24">
      <c r="A73" s="1153">
        <v>13</v>
      </c>
      <c r="B73" s="3457"/>
      <c r="C73" s="1067" t="s">
        <v>1528</v>
      </c>
      <c r="D73" s="1067" t="s">
        <v>1529</v>
      </c>
      <c r="E73" s="1138">
        <v>0.4</v>
      </c>
      <c r="F73" s="1153">
        <v>60</v>
      </c>
    </row>
    <row r="74" spans="1:6" s="1104" customFormat="1" ht="24">
      <c r="A74" s="1153">
        <v>14</v>
      </c>
      <c r="B74" s="3457"/>
      <c r="C74" s="1067" t="s">
        <v>1530</v>
      </c>
      <c r="D74" s="1067" t="s">
        <v>1531</v>
      </c>
      <c r="E74" s="1138">
        <v>0.2</v>
      </c>
      <c r="F74" s="1153">
        <v>30</v>
      </c>
    </row>
    <row r="75" spans="1:6" s="1104" customFormat="1" ht="24">
      <c r="A75" s="1153">
        <v>15</v>
      </c>
      <c r="B75" s="3457"/>
      <c r="C75" s="1067" t="s">
        <v>1532</v>
      </c>
      <c r="D75" s="1067" t="s">
        <v>1533</v>
      </c>
      <c r="E75" s="1138">
        <v>0.2</v>
      </c>
      <c r="F75" s="1153">
        <v>30</v>
      </c>
    </row>
    <row r="76" spans="1:6" s="1104" customFormat="1" ht="24">
      <c r="A76" s="1153">
        <v>16</v>
      </c>
      <c r="B76" s="3457" t="s">
        <v>1534</v>
      </c>
      <c r="C76" s="1067" t="s">
        <v>1535</v>
      </c>
      <c r="D76" s="1067" t="s">
        <v>1536</v>
      </c>
      <c r="E76" s="1138">
        <v>0.5</v>
      </c>
      <c r="F76" s="1153">
        <v>80</v>
      </c>
    </row>
    <row r="77" spans="1:6" s="1104" customFormat="1" ht="24">
      <c r="A77" s="1153">
        <v>17</v>
      </c>
      <c r="B77" s="3457"/>
      <c r="C77" s="1067" t="s">
        <v>1537</v>
      </c>
      <c r="D77" s="1067" t="s">
        <v>1538</v>
      </c>
      <c r="E77" s="1138">
        <v>0.5</v>
      </c>
      <c r="F77" s="1153">
        <v>80</v>
      </c>
    </row>
    <row r="78" spans="1:6" s="1104" customFormat="1" ht="24">
      <c r="A78" s="1153">
        <v>18</v>
      </c>
      <c r="B78" s="3457"/>
      <c r="C78" s="1067" t="s">
        <v>1539</v>
      </c>
      <c r="D78" s="1067" t="s">
        <v>1540</v>
      </c>
      <c r="E78" s="1138">
        <v>0.2</v>
      </c>
      <c r="F78" s="1153">
        <v>30</v>
      </c>
    </row>
    <row r="79" spans="1:6" s="1104" customFormat="1" ht="24">
      <c r="A79" s="1153">
        <v>19</v>
      </c>
      <c r="B79" s="3457"/>
      <c r="C79" s="1067" t="s">
        <v>1541</v>
      </c>
      <c r="D79" s="1067" t="s">
        <v>1542</v>
      </c>
      <c r="E79" s="1138">
        <v>0.5</v>
      </c>
      <c r="F79" s="1153">
        <v>80</v>
      </c>
    </row>
    <row r="80" spans="1:6" s="1104" customFormat="1" ht="36">
      <c r="A80" s="1153">
        <v>20</v>
      </c>
      <c r="B80" s="3457"/>
      <c r="C80" s="1067" t="s">
        <v>1543</v>
      </c>
      <c r="D80" s="1067" t="s">
        <v>1544</v>
      </c>
      <c r="E80" s="1138">
        <v>0.2</v>
      </c>
      <c r="F80" s="1153">
        <v>30</v>
      </c>
    </row>
    <row r="81" spans="1:6" s="1104" customFormat="1" ht="36">
      <c r="A81" s="1153">
        <v>21</v>
      </c>
      <c r="B81" s="3457"/>
      <c r="C81" s="1067" t="s">
        <v>1545</v>
      </c>
      <c r="D81" s="1067" t="s">
        <v>1546</v>
      </c>
      <c r="E81" s="1138">
        <v>0.2</v>
      </c>
      <c r="F81" s="1153">
        <v>30</v>
      </c>
    </row>
    <row r="82" spans="1:6" s="1104" customFormat="1" ht="48">
      <c r="A82" s="1153">
        <v>22</v>
      </c>
      <c r="B82" s="3457"/>
      <c r="C82" s="1067" t="s">
        <v>1547</v>
      </c>
      <c r="D82" s="1067" t="s">
        <v>1548</v>
      </c>
      <c r="E82" s="1138">
        <v>0.2</v>
      </c>
      <c r="F82" s="1153">
        <v>30</v>
      </c>
    </row>
    <row r="83" spans="1:6" s="1104" customFormat="1" ht="48">
      <c r="A83" s="1153">
        <v>23</v>
      </c>
      <c r="B83" s="3457"/>
      <c r="C83" s="1067" t="s">
        <v>1549</v>
      </c>
      <c r="D83" s="1067" t="s">
        <v>1550</v>
      </c>
      <c r="E83" s="1138">
        <v>0.2</v>
      </c>
      <c r="F83" s="1153">
        <v>30</v>
      </c>
    </row>
    <row r="84" spans="1:6" s="1104" customFormat="1" ht="36">
      <c r="A84" s="1153">
        <v>24</v>
      </c>
      <c r="B84" s="3457"/>
      <c r="C84" s="1067" t="s">
        <v>1551</v>
      </c>
      <c r="D84" s="1067" t="s">
        <v>1552</v>
      </c>
      <c r="E84" s="1138">
        <v>0.2</v>
      </c>
      <c r="F84" s="1153">
        <v>30</v>
      </c>
    </row>
    <row r="85" spans="1:6" s="1104" customFormat="1" ht="36">
      <c r="A85" s="1153">
        <v>25</v>
      </c>
      <c r="B85" s="3457"/>
      <c r="C85" s="1067" t="s">
        <v>1553</v>
      </c>
      <c r="D85" s="1067" t="s">
        <v>1554</v>
      </c>
      <c r="E85" s="1138">
        <v>0.5</v>
      </c>
      <c r="F85" s="1153">
        <v>80</v>
      </c>
    </row>
    <row r="86" spans="1:6" s="1104" customFormat="1" ht="36">
      <c r="A86" s="1153">
        <v>26</v>
      </c>
      <c r="B86" s="3457"/>
      <c r="C86" s="1067" t="s">
        <v>1555</v>
      </c>
      <c r="D86" s="1067" t="s">
        <v>1556</v>
      </c>
      <c r="E86" s="1138">
        <v>0.2</v>
      </c>
      <c r="F86" s="1153">
        <v>30</v>
      </c>
    </row>
    <row r="87" spans="1:6" s="1104" customFormat="1" ht="36">
      <c r="A87" s="1153">
        <v>27</v>
      </c>
      <c r="B87" s="3457"/>
      <c r="C87" s="1067" t="s">
        <v>1557</v>
      </c>
      <c r="D87" s="1067" t="s">
        <v>1558</v>
      </c>
      <c r="E87" s="1138">
        <v>0.2</v>
      </c>
      <c r="F87" s="1153">
        <v>30</v>
      </c>
    </row>
    <row r="88" spans="1:6" s="1104" customFormat="1" ht="36">
      <c r="A88" s="1153">
        <v>28</v>
      </c>
      <c r="B88" s="3457"/>
      <c r="C88" s="1067" t="s">
        <v>1559</v>
      </c>
      <c r="D88" s="1067" t="s">
        <v>1560</v>
      </c>
      <c r="E88" s="1138">
        <v>0.2</v>
      </c>
      <c r="F88" s="1153">
        <v>30</v>
      </c>
    </row>
    <row r="89" spans="1:6" s="1104" customFormat="1" ht="24">
      <c r="A89" s="1153">
        <v>29</v>
      </c>
      <c r="B89" s="3457"/>
      <c r="C89" s="1067" t="s">
        <v>1561</v>
      </c>
      <c r="D89" s="1067" t="s">
        <v>1562</v>
      </c>
      <c r="E89" s="1138">
        <v>0.2</v>
      </c>
      <c r="F89" s="1153">
        <v>30</v>
      </c>
    </row>
    <row r="90" spans="1:6" s="1104" customFormat="1" ht="24">
      <c r="A90" s="1153">
        <v>30</v>
      </c>
      <c r="B90" s="3457"/>
      <c r="C90" s="1067" t="s">
        <v>1563</v>
      </c>
      <c r="D90" s="1067" t="s">
        <v>1564</v>
      </c>
      <c r="E90" s="1138">
        <v>0.2</v>
      </c>
      <c r="F90" s="1153">
        <v>30</v>
      </c>
    </row>
    <row r="91" spans="1:6" s="1104" customFormat="1" ht="36">
      <c r="A91" s="1153">
        <v>31</v>
      </c>
      <c r="B91" s="3457"/>
      <c r="C91" s="1067" t="s">
        <v>1565</v>
      </c>
      <c r="D91" s="1067" t="s">
        <v>1566</v>
      </c>
      <c r="E91" s="1138">
        <v>0.2</v>
      </c>
      <c r="F91" s="1153">
        <v>30</v>
      </c>
    </row>
    <row r="92" spans="1:6" s="1104" customFormat="1" ht="24">
      <c r="A92" s="1153">
        <v>32</v>
      </c>
      <c r="B92" s="3457" t="s">
        <v>1567</v>
      </c>
      <c r="C92" s="1153" t="s">
        <v>1568</v>
      </c>
      <c r="D92" s="1067" t="s">
        <v>1569</v>
      </c>
      <c r="E92" s="1138">
        <v>0.2</v>
      </c>
      <c r="F92" s="1153">
        <v>30</v>
      </c>
    </row>
    <row r="93" spans="1:6" s="1104" customFormat="1" ht="36">
      <c r="A93" s="1153">
        <v>33</v>
      </c>
      <c r="B93" s="3457"/>
      <c r="C93" s="1153" t="s">
        <v>1570</v>
      </c>
      <c r="D93" s="1067" t="s">
        <v>1571</v>
      </c>
      <c r="E93" s="1138">
        <v>0.2</v>
      </c>
      <c r="F93" s="1153">
        <v>30</v>
      </c>
    </row>
    <row r="94" spans="1:6" s="1104" customFormat="1" ht="48">
      <c r="A94" s="1153">
        <v>34</v>
      </c>
      <c r="B94" s="3457"/>
      <c r="C94" s="1153" t="s">
        <v>1572</v>
      </c>
      <c r="D94" s="1067" t="s">
        <v>1573</v>
      </c>
      <c r="E94" s="1138">
        <v>0.2</v>
      </c>
      <c r="F94" s="1153">
        <v>30</v>
      </c>
    </row>
    <row r="95" spans="1:6" s="1104" customFormat="1" ht="36">
      <c r="A95" s="1153">
        <v>35</v>
      </c>
      <c r="B95" s="3457"/>
      <c r="C95" s="1153" t="s">
        <v>1574</v>
      </c>
      <c r="D95" s="1067" t="s">
        <v>1575</v>
      </c>
      <c r="E95" s="1138">
        <v>0.2</v>
      </c>
      <c r="F95" s="1153">
        <v>30</v>
      </c>
    </row>
    <row r="96" spans="1:6" s="1104" customFormat="1" ht="48">
      <c r="A96" s="1153">
        <v>36</v>
      </c>
      <c r="B96" s="3457"/>
      <c r="C96" s="1067" t="s">
        <v>1576</v>
      </c>
      <c r="D96" s="1067" t="s">
        <v>1577</v>
      </c>
      <c r="E96" s="1138">
        <v>0.2</v>
      </c>
      <c r="F96" s="1153">
        <v>30</v>
      </c>
    </row>
    <row r="97" spans="1:6" s="1104" customFormat="1" ht="36">
      <c r="A97" s="1153">
        <v>37</v>
      </c>
      <c r="B97" s="3457"/>
      <c r="C97" s="1153" t="s">
        <v>1578</v>
      </c>
      <c r="D97" s="1067" t="s">
        <v>1579</v>
      </c>
      <c r="E97" s="1138">
        <v>0.2</v>
      </c>
      <c r="F97" s="1153">
        <v>30</v>
      </c>
    </row>
    <row r="98" spans="1:6" s="1104" customFormat="1" ht="36">
      <c r="A98" s="1153">
        <v>38</v>
      </c>
      <c r="B98" s="3457"/>
      <c r="C98" s="1153" t="s">
        <v>1580</v>
      </c>
      <c r="D98" s="1067" t="s">
        <v>1581</v>
      </c>
      <c r="E98" s="1138">
        <v>0.2</v>
      </c>
      <c r="F98" s="1153">
        <v>30</v>
      </c>
    </row>
    <row r="99" spans="1:6" s="1104" customFormat="1" ht="36">
      <c r="A99" s="1153">
        <v>39</v>
      </c>
      <c r="B99" s="3457" t="s">
        <v>1582</v>
      </c>
      <c r="C99" s="1153" t="s">
        <v>1583</v>
      </c>
      <c r="D99" s="1067" t="s">
        <v>1584</v>
      </c>
      <c r="E99" s="1138">
        <v>0.3</v>
      </c>
      <c r="F99" s="1153">
        <v>50</v>
      </c>
    </row>
    <row r="100" spans="1:6" s="1104" customFormat="1" ht="24">
      <c r="A100" s="1153">
        <v>40</v>
      </c>
      <c r="B100" s="3457"/>
      <c r="C100" s="1153" t="s">
        <v>1585</v>
      </c>
      <c r="D100" s="1067" t="s">
        <v>1586</v>
      </c>
      <c r="E100" s="1138">
        <v>0.2</v>
      </c>
      <c r="F100" s="1153">
        <v>30</v>
      </c>
    </row>
    <row r="101" spans="1:6" s="1104" customFormat="1" ht="36">
      <c r="A101" s="1153">
        <v>41</v>
      </c>
      <c r="B101" s="3457"/>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57" t="s">
        <v>1597</v>
      </c>
      <c r="C105" s="1153" t="s">
        <v>1598</v>
      </c>
      <c r="D105" s="1067" t="s">
        <v>1599</v>
      </c>
      <c r="E105" s="1138">
        <v>0.2</v>
      </c>
      <c r="F105" s="1153">
        <v>30</v>
      </c>
    </row>
    <row r="106" spans="1:6" s="1104" customFormat="1" ht="36">
      <c r="A106" s="1153">
        <v>46</v>
      </c>
      <c r="B106" s="3457"/>
      <c r="C106" s="1153" t="s">
        <v>1600</v>
      </c>
      <c r="D106" s="1067" t="s">
        <v>1601</v>
      </c>
      <c r="E106" s="1138">
        <v>0.2</v>
      </c>
      <c r="F106" s="1153">
        <v>30</v>
      </c>
    </row>
    <row r="107" spans="1:6" s="1104" customFormat="1" ht="36">
      <c r="A107" s="1153">
        <v>47</v>
      </c>
      <c r="B107" s="3457" t="s">
        <v>1602</v>
      </c>
      <c r="C107" s="1153" t="s">
        <v>1603</v>
      </c>
      <c r="D107" s="1067" t="s">
        <v>1604</v>
      </c>
      <c r="E107" s="1138">
        <v>0.3</v>
      </c>
      <c r="F107" s="1153">
        <v>50</v>
      </c>
    </row>
    <row r="108" spans="1:6" s="1104" customFormat="1" ht="36">
      <c r="A108" s="1153">
        <v>48</v>
      </c>
      <c r="B108" s="3457"/>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57" t="s">
        <v>1613</v>
      </c>
      <c r="C111" s="1153" t="s">
        <v>1614</v>
      </c>
      <c r="D111" s="1067" t="s">
        <v>1615</v>
      </c>
      <c r="E111" s="1138">
        <v>0.2</v>
      </c>
      <c r="F111" s="1153">
        <v>30</v>
      </c>
    </row>
    <row r="112" spans="1:6" s="1104" customFormat="1" ht="24">
      <c r="A112" s="1153">
        <v>52</v>
      </c>
      <c r="B112" s="3457"/>
      <c r="C112" s="1153" t="s">
        <v>1616</v>
      </c>
      <c r="D112" s="1067" t="s">
        <v>1617</v>
      </c>
      <c r="E112" s="1138">
        <v>0.2</v>
      </c>
      <c r="F112" s="1153">
        <v>30</v>
      </c>
    </row>
    <row r="113" spans="1:14" s="1104" customFormat="1" ht="24">
      <c r="A113" s="1153">
        <v>53</v>
      </c>
      <c r="B113" s="3457"/>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57" t="s">
        <v>1626</v>
      </c>
      <c r="C116" s="1153" t="s">
        <v>1627</v>
      </c>
      <c r="D116" s="1067" t="s">
        <v>1628</v>
      </c>
      <c r="E116" s="1138">
        <v>0.2</v>
      </c>
      <c r="F116" s="1153">
        <v>30</v>
      </c>
    </row>
    <row r="117" spans="1:14" ht="36">
      <c r="A117" s="1153">
        <v>57</v>
      </c>
      <c r="B117" s="3457"/>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56" t="s">
        <v>1635</v>
      </c>
      <c r="B121" s="3456"/>
      <c r="C121" s="3456"/>
      <c r="D121" s="3456"/>
      <c r="E121" s="3456"/>
      <c r="F121" s="3456"/>
      <c r="G121" s="3456"/>
      <c r="H121" s="3456"/>
      <c r="I121" s="3456"/>
      <c r="J121" s="345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1" t="s">
        <v>1041</v>
      </c>
      <c r="B1" s="3461"/>
      <c r="C1" s="3461"/>
      <c r="D1" s="3461"/>
      <c r="E1" s="3461"/>
      <c r="F1" s="3461"/>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62" t="s">
        <v>1054</v>
      </c>
      <c r="B2" s="3462"/>
      <c r="C2" s="3462"/>
      <c r="D2" s="3462"/>
      <c r="E2" s="3462"/>
      <c r="F2" s="3462"/>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63"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64"/>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2426</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2427</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受贵公司委托，我公司对云南省昆明市官渡区官渡街道办事处出让国有建设用地使用权市场价格进行了预评估。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官渡区官渡街道办事处出让国有建设用地使用权。根据《国有土地使用证》[]，估价对象（分摊）出让国有建设用地使用权面积为42563.17平方米。根据《建设工程规划许可证》[]、《出让合同》[]，估价对象规划建筑面积为217232平方米。</v>
      </c>
    </row>
    <row r="7" spans="1:4" ht="56.25">
      <c r="A7" s="1796" t="s">
        <v>2755</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2018年3月28日（评估专业人员勘察现场之日）</v>
      </c>
    </row>
    <row r="12" spans="1:4" ht="18.75">
      <c r="A12" s="1798" t="s">
        <v>2028</v>
      </c>
    </row>
    <row r="13" spans="1:4" ht="18.75">
      <c r="A13" s="1792" t="s">
        <v>2951</v>
      </c>
    </row>
    <row r="14" spans="1:4" ht="18.75">
      <c r="A14" s="1792" t="str">
        <f>"根据"&amp;项目基本情况!F12&amp;"，本次评估估价对象证载（地类）用途为"&amp;项目基本情况!B12&amp;"。"</f>
        <v>根据，本次评估估价对象证载（地类）用途为城镇住宅用地。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根据《国有土地使用证》[]，估价对象（分摊）出让国有建设用地使用权面积为42563.17平方米。根据《建设工程规划许可证》[]、《出让合同》[]，估价对象规划建筑面积为217232平方米。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本次估价对象为出让国有建设用地使用权，证载土地终止日期为住宅2088年3月28日、商业2058年3月28日车库2088年3月28日。截至估价期日，出让国有建设用地使用权剩余土地使用年限为。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3月28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5" t="s">
        <v>2082</v>
      </c>
      <c r="B1" s="3465"/>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1098</v>
      </c>
      <c r="B6" s="1860" t="s">
        <v>2091</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2092</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2093</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2094</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2095</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2096</v>
      </c>
      <c r="C72" s="1870"/>
      <c r="D72" s="1870"/>
      <c r="E72" s="1870"/>
      <c r="F72" s="1862">
        <v>0.05</v>
      </c>
    </row>
    <row r="73" spans="1:6" ht="14.25" thickBot="1">
      <c r="A73" s="1856" t="s">
        <v>926</v>
      </c>
      <c r="B73" s="1860" t="s">
        <v>2097</v>
      </c>
      <c r="C73" s="1870"/>
      <c r="D73" s="1870"/>
      <c r="E73" s="1870"/>
      <c r="F73" s="1862">
        <v>0.05</v>
      </c>
    </row>
    <row r="74" spans="1:6" ht="14.25" thickBot="1">
      <c r="A74" s="1856" t="s">
        <v>926</v>
      </c>
      <c r="B74" s="1860" t="s">
        <v>2098</v>
      </c>
      <c r="C74" s="1870"/>
      <c r="D74" s="1870"/>
      <c r="E74" s="1870"/>
      <c r="F74" s="1862">
        <v>0.05</v>
      </c>
    </row>
    <row r="75" spans="1:6" ht="14.25" thickBot="1">
      <c r="A75" s="1864" t="s">
        <v>926</v>
      </c>
      <c r="B75" s="1871" t="s">
        <v>2099</v>
      </c>
      <c r="C75" s="1867"/>
      <c r="D75" s="1867"/>
      <c r="E75" s="1867"/>
      <c r="F75" s="1872">
        <v>0.05</v>
      </c>
    </row>
    <row r="76" spans="1:6" ht="14.25" thickBot="1">
      <c r="A76" s="1856" t="s">
        <v>1409</v>
      </c>
      <c r="B76" s="1857" t="s">
        <v>2100</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2101</v>
      </c>
      <c r="C102" s="1870"/>
      <c r="D102" s="1870"/>
      <c r="E102" s="1870"/>
      <c r="F102" s="1862">
        <v>0.05</v>
      </c>
    </row>
    <row r="103" spans="1:6" ht="24.75" thickBot="1">
      <c r="A103" s="1856" t="s">
        <v>1409</v>
      </c>
      <c r="B103" s="1860" t="s">
        <v>2102</v>
      </c>
      <c r="C103" s="1870"/>
      <c r="D103" s="1870"/>
      <c r="E103" s="1870"/>
      <c r="F103" s="1862">
        <v>0.05</v>
      </c>
    </row>
    <row r="104" spans="1:6" ht="14.25" thickBot="1">
      <c r="A104" s="1856" t="s">
        <v>1409</v>
      </c>
      <c r="B104" s="1860" t="s">
        <v>2103</v>
      </c>
      <c r="C104" s="1870"/>
      <c r="D104" s="1870"/>
      <c r="E104" s="1870"/>
      <c r="F104" s="1862">
        <v>0.05</v>
      </c>
    </row>
    <row r="105" spans="1:6" ht="14.25" thickBot="1">
      <c r="A105" s="1856" t="s">
        <v>1409</v>
      </c>
      <c r="B105" s="1860" t="s">
        <v>2104</v>
      </c>
      <c r="C105" s="1870"/>
      <c r="D105" s="1870"/>
      <c r="E105" s="1870"/>
      <c r="F105" s="1862">
        <v>0.05</v>
      </c>
    </row>
    <row r="106" spans="1:6" ht="14.25" thickBot="1">
      <c r="A106" s="1856" t="s">
        <v>1409</v>
      </c>
      <c r="B106" s="1860" t="s">
        <v>2105</v>
      </c>
      <c r="C106" s="1870"/>
      <c r="D106" s="1870"/>
      <c r="E106" s="1870"/>
      <c r="F106" s="1862">
        <v>0.05</v>
      </c>
    </row>
    <row r="107" spans="1:6" ht="24.75" thickBot="1">
      <c r="A107" s="1856" t="s">
        <v>1409</v>
      </c>
      <c r="B107" s="1860" t="s">
        <v>2106</v>
      </c>
      <c r="C107" s="1870"/>
      <c r="D107" s="1870"/>
      <c r="E107" s="1870"/>
      <c r="F107" s="1862">
        <v>0.05</v>
      </c>
    </row>
    <row r="108" spans="1:6" ht="24.75" thickBot="1">
      <c r="A108" s="1856" t="s">
        <v>1409</v>
      </c>
      <c r="B108" s="1860" t="s">
        <v>2107</v>
      </c>
      <c r="C108" s="1870"/>
      <c r="D108" s="1870"/>
      <c r="E108" s="1870"/>
      <c r="F108" s="1862">
        <v>0.05</v>
      </c>
    </row>
    <row r="109" spans="1:6" ht="24.75" thickBot="1">
      <c r="A109" s="1864" t="s">
        <v>1409</v>
      </c>
      <c r="B109" s="1871" t="s">
        <v>2108</v>
      </c>
      <c r="C109" s="1867"/>
      <c r="D109" s="1867"/>
      <c r="E109" s="1867"/>
      <c r="F109" s="1872">
        <v>0.05</v>
      </c>
    </row>
    <row r="110" spans="1:6" ht="14.25" thickBot="1">
      <c r="A110" s="1856" t="s">
        <v>1411</v>
      </c>
      <c r="B110" s="1857" t="s">
        <v>2109</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2110</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2111</v>
      </c>
      <c r="C138" s="1861">
        <v>0.105</v>
      </c>
      <c r="D138" s="1861">
        <v>0.125</v>
      </c>
      <c r="E138" s="1861">
        <v>0.112</v>
      </c>
      <c r="F138" s="1869"/>
    </row>
    <row r="139" spans="1:6" ht="14.25" thickBot="1">
      <c r="A139" s="1856" t="s">
        <v>1411</v>
      </c>
      <c r="B139" s="1860" t="s">
        <v>2112</v>
      </c>
      <c r="C139" s="1861">
        <v>0.127</v>
      </c>
      <c r="D139" s="1861">
        <v>0.127</v>
      </c>
      <c r="E139" s="1861">
        <v>0.122</v>
      </c>
      <c r="F139" s="1862">
        <v>0.13</v>
      </c>
    </row>
    <row r="140" spans="1:6" ht="14.25" thickBot="1">
      <c r="A140" s="1856" t="s">
        <v>1411</v>
      </c>
      <c r="B140" s="1860" t="s">
        <v>2113</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2114</v>
      </c>
      <c r="C144" s="1874">
        <v>0.126</v>
      </c>
      <c r="D144" s="1874">
        <v>0.126</v>
      </c>
      <c r="E144" s="1874">
        <v>0.121</v>
      </c>
      <c r="F144" s="1869"/>
    </row>
    <row r="145" spans="1:6" ht="14.25" thickBot="1">
      <c r="A145" s="1864" t="s">
        <v>1411</v>
      </c>
      <c r="B145" s="1875" t="s">
        <v>2115</v>
      </c>
      <c r="C145" s="1876"/>
      <c r="D145" s="1876"/>
      <c r="E145" s="1876"/>
      <c r="F145" s="1877">
        <v>0.05</v>
      </c>
    </row>
    <row r="146" spans="1:6" ht="24.75" thickBot="1">
      <c r="A146" s="1878" t="s">
        <v>1411</v>
      </c>
      <c r="B146" s="1863" t="s">
        <v>2116</v>
      </c>
      <c r="C146" s="1870"/>
      <c r="D146" s="1870"/>
      <c r="E146" s="1870"/>
      <c r="F146" s="1879">
        <v>0.05</v>
      </c>
    </row>
    <row r="147" spans="1:6" ht="24.75" thickBot="1">
      <c r="A147" s="1856" t="s">
        <v>1411</v>
      </c>
      <c r="B147" s="1860" t="s">
        <v>2117</v>
      </c>
      <c r="C147" s="1870"/>
      <c r="D147" s="1870"/>
      <c r="E147" s="1870"/>
      <c r="F147" s="1862">
        <v>0.05</v>
      </c>
    </row>
    <row r="148" spans="1:6" ht="24.75" thickBot="1">
      <c r="A148" s="1856" t="s">
        <v>1411</v>
      </c>
      <c r="B148" s="1860" t="s">
        <v>2118</v>
      </c>
      <c r="C148" s="1870"/>
      <c r="D148" s="1870"/>
      <c r="E148" s="1870"/>
      <c r="F148" s="1862">
        <v>0.05</v>
      </c>
    </row>
    <row r="149" spans="1:6" ht="24.75" thickBot="1">
      <c r="A149" s="1856" t="s">
        <v>1411</v>
      </c>
      <c r="B149" s="1860" t="s">
        <v>2119</v>
      </c>
      <c r="C149" s="1870"/>
      <c r="D149" s="1870"/>
      <c r="E149" s="1870"/>
      <c r="F149" s="1862">
        <v>0.05</v>
      </c>
    </row>
    <row r="150" spans="1:6" ht="24.75" thickBot="1">
      <c r="A150" s="1856" t="s">
        <v>1411</v>
      </c>
      <c r="B150" s="1860" t="s">
        <v>2120</v>
      </c>
      <c r="C150" s="1870"/>
      <c r="D150" s="1870"/>
      <c r="E150" s="1870"/>
      <c r="F150" s="1862">
        <v>0.05</v>
      </c>
    </row>
    <row r="151" spans="1:6" ht="24.75" thickBot="1">
      <c r="A151" s="1856" t="s">
        <v>1411</v>
      </c>
      <c r="B151" s="1860" t="s">
        <v>2121</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2122</v>
      </c>
      <c r="C153" s="1870"/>
      <c r="D153" s="1870"/>
      <c r="E153" s="1870"/>
      <c r="F153" s="1862">
        <v>0.05</v>
      </c>
    </row>
    <row r="154" spans="1:6" ht="14.25" thickBot="1">
      <c r="A154" s="1856" t="s">
        <v>1411</v>
      </c>
      <c r="B154" s="1860" t="s">
        <v>2123</v>
      </c>
      <c r="C154" s="1870"/>
      <c r="D154" s="1870"/>
      <c r="E154" s="1870"/>
      <c r="F154" s="1862">
        <v>0.05</v>
      </c>
    </row>
    <row r="155" spans="1:6" ht="24.75" thickBot="1">
      <c r="A155" s="1856" t="s">
        <v>1411</v>
      </c>
      <c r="B155" s="1860" t="s">
        <v>2124</v>
      </c>
      <c r="C155" s="1870"/>
      <c r="D155" s="1870"/>
      <c r="E155" s="1870"/>
      <c r="F155" s="1862">
        <v>0.05</v>
      </c>
    </row>
    <row r="156" spans="1:6" ht="24.75" thickBot="1">
      <c r="A156" s="1856" t="s">
        <v>1411</v>
      </c>
      <c r="B156" s="1860" t="s">
        <v>2125</v>
      </c>
      <c r="C156" s="1870"/>
      <c r="D156" s="1870"/>
      <c r="E156" s="1870"/>
      <c r="F156" s="1862">
        <v>0.05</v>
      </c>
    </row>
    <row r="157" spans="1:6" ht="14.25" thickBot="1">
      <c r="A157" s="1864" t="s">
        <v>1411</v>
      </c>
      <c r="B157" s="1871" t="s">
        <v>2126</v>
      </c>
      <c r="C157" s="1867"/>
      <c r="D157" s="1867"/>
      <c r="E157" s="1867"/>
      <c r="F157" s="1872">
        <v>0.05</v>
      </c>
    </row>
    <row r="158" spans="1:6" ht="14.25" thickBot="1">
      <c r="A158" s="1856" t="s">
        <v>1413</v>
      </c>
      <c r="B158" s="1857" t="s">
        <v>2127</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2128</v>
      </c>
      <c r="C171" s="1861">
        <v>0.127</v>
      </c>
      <c r="D171" s="1861">
        <v>0.126</v>
      </c>
      <c r="E171" s="1861">
        <v>0.126</v>
      </c>
      <c r="F171" s="1862">
        <v>0.11799999999999999</v>
      </c>
    </row>
    <row r="172" spans="1:6" ht="14.25" thickBot="1">
      <c r="A172" s="1856" t="s">
        <v>1413</v>
      </c>
      <c r="B172" s="1860" t="s">
        <v>2129</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2130</v>
      </c>
      <c r="C174" s="1861">
        <v>0.13</v>
      </c>
      <c r="D174" s="1861">
        <v>0.13</v>
      </c>
      <c r="E174" s="1861">
        <v>0.13</v>
      </c>
      <c r="F174" s="1862">
        <v>0.13</v>
      </c>
    </row>
    <row r="175" spans="1:6" ht="14.25" thickBot="1">
      <c r="A175" s="1856" t="s">
        <v>1413</v>
      </c>
      <c r="B175" s="1860" t="s">
        <v>2131</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2132</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2133</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2134</v>
      </c>
      <c r="C185" s="1861">
        <v>0.127</v>
      </c>
      <c r="D185" s="1861">
        <v>0.127</v>
      </c>
      <c r="E185" s="1861">
        <v>0.128</v>
      </c>
      <c r="F185" s="1862">
        <v>0.13</v>
      </c>
    </row>
    <row r="186" spans="1:6" ht="24.75" thickBot="1">
      <c r="A186" s="1856" t="s">
        <v>1413</v>
      </c>
      <c r="B186" s="1860" t="s">
        <v>2135</v>
      </c>
      <c r="C186" s="1870"/>
      <c r="D186" s="1870"/>
      <c r="E186" s="1870"/>
      <c r="F186" s="1862">
        <v>0.05</v>
      </c>
    </row>
    <row r="187" spans="1:6" ht="14.25" thickBot="1">
      <c r="A187" s="1856" t="s">
        <v>1413</v>
      </c>
      <c r="B187" s="1860" t="s">
        <v>2136</v>
      </c>
      <c r="C187" s="1870"/>
      <c r="D187" s="1870"/>
      <c r="E187" s="1870"/>
      <c r="F187" s="1862">
        <v>0.05</v>
      </c>
    </row>
    <row r="188" spans="1:6" ht="14.25" thickBot="1">
      <c r="A188" s="1856" t="s">
        <v>1413</v>
      </c>
      <c r="B188" s="1860" t="s">
        <v>2137</v>
      </c>
      <c r="C188" s="1870"/>
      <c r="D188" s="1870"/>
      <c r="E188" s="1870"/>
      <c r="F188" s="1862">
        <v>0.05</v>
      </c>
    </row>
    <row r="189" spans="1:6" ht="24.75" thickBot="1">
      <c r="A189" s="1856" t="s">
        <v>1413</v>
      </c>
      <c r="B189" s="1860" t="s">
        <v>2138</v>
      </c>
      <c r="C189" s="1870"/>
      <c r="D189" s="1870"/>
      <c r="E189" s="1870"/>
      <c r="F189" s="1862">
        <v>0.05</v>
      </c>
    </row>
    <row r="190" spans="1:6" ht="24.75" thickBot="1">
      <c r="A190" s="1856" t="s">
        <v>1413</v>
      </c>
      <c r="B190" s="1860" t="s">
        <v>2139</v>
      </c>
      <c r="C190" s="1870"/>
      <c r="D190" s="1870"/>
      <c r="E190" s="1870"/>
      <c r="F190" s="1862">
        <v>0.05</v>
      </c>
    </row>
    <row r="191" spans="1:6" ht="24.75" thickBot="1">
      <c r="A191" s="1856" t="s">
        <v>1413</v>
      </c>
      <c r="B191" s="1860" t="s">
        <v>2140</v>
      </c>
      <c r="C191" s="1870"/>
      <c r="D191" s="1870"/>
      <c r="E191" s="1870"/>
      <c r="F191" s="1862">
        <v>0.05</v>
      </c>
    </row>
    <row r="192" spans="1:6" ht="24.75" thickBot="1">
      <c r="A192" s="1856" t="s">
        <v>1413</v>
      </c>
      <c r="B192" s="1860" t="s">
        <v>2141</v>
      </c>
      <c r="C192" s="1870"/>
      <c r="D192" s="1870"/>
      <c r="E192" s="1870"/>
      <c r="F192" s="1862">
        <v>0.05</v>
      </c>
    </row>
    <row r="193" spans="1:6" ht="24.75" thickBot="1">
      <c r="A193" s="1856" t="s">
        <v>1413</v>
      </c>
      <c r="B193" s="1860" t="s">
        <v>2142</v>
      </c>
      <c r="C193" s="1870"/>
      <c r="D193" s="1870"/>
      <c r="E193" s="1870"/>
      <c r="F193" s="1862">
        <v>0.05</v>
      </c>
    </row>
    <row r="194" spans="1:6" ht="24.75" thickBot="1">
      <c r="A194" s="1856" t="s">
        <v>1413</v>
      </c>
      <c r="B194" s="1860" t="s">
        <v>2143</v>
      </c>
      <c r="C194" s="1870"/>
      <c r="D194" s="1870"/>
      <c r="E194" s="1870"/>
      <c r="F194" s="1862">
        <v>0.05</v>
      </c>
    </row>
    <row r="195" spans="1:6" ht="14.25" thickBot="1">
      <c r="A195" s="1856" t="s">
        <v>1413</v>
      </c>
      <c r="B195" s="1860" t="s">
        <v>2144</v>
      </c>
      <c r="C195" s="1870"/>
      <c r="D195" s="1870"/>
      <c r="E195" s="1870"/>
      <c r="F195" s="1862">
        <v>0.05</v>
      </c>
    </row>
    <row r="196" spans="1:6" ht="24.75" thickBot="1">
      <c r="A196" s="1856" t="s">
        <v>1413</v>
      </c>
      <c r="B196" s="1860" t="s">
        <v>2145</v>
      </c>
      <c r="C196" s="1870"/>
      <c r="D196" s="1870"/>
      <c r="E196" s="1870"/>
      <c r="F196" s="1862">
        <v>0.05</v>
      </c>
    </row>
    <row r="197" spans="1:6" ht="24.75" thickBot="1">
      <c r="A197" s="1856" t="s">
        <v>1413</v>
      </c>
      <c r="B197" s="1860" t="s">
        <v>2146</v>
      </c>
      <c r="C197" s="1870"/>
      <c r="D197" s="1870"/>
      <c r="E197" s="1870"/>
      <c r="F197" s="1862">
        <v>0.05</v>
      </c>
    </row>
    <row r="198" spans="1:6" ht="24.75" thickBot="1">
      <c r="A198" s="1856" t="s">
        <v>1413</v>
      </c>
      <c r="B198" s="1860" t="s">
        <v>2147</v>
      </c>
      <c r="C198" s="1870"/>
      <c r="D198" s="1870"/>
      <c r="E198" s="1870"/>
      <c r="F198" s="1862">
        <v>0.05</v>
      </c>
    </row>
    <row r="199" spans="1:6" ht="24.75" thickBot="1">
      <c r="A199" s="1856" t="s">
        <v>1413</v>
      </c>
      <c r="B199" s="1860" t="s">
        <v>2148</v>
      </c>
      <c r="C199" s="1870"/>
      <c r="D199" s="1870"/>
      <c r="E199" s="1870"/>
      <c r="F199" s="1862">
        <v>0.05</v>
      </c>
    </row>
    <row r="200" spans="1:6" ht="24.75" thickBot="1">
      <c r="A200" s="1856" t="s">
        <v>1413</v>
      </c>
      <c r="B200" s="1860" t="s">
        <v>2149</v>
      </c>
      <c r="C200" s="1870"/>
      <c r="D200" s="1870"/>
      <c r="E200" s="1870"/>
      <c r="F200" s="1862">
        <v>0.05</v>
      </c>
    </row>
    <row r="201" spans="1:6" ht="24.75" thickBot="1">
      <c r="A201" s="1856" t="s">
        <v>1413</v>
      </c>
      <c r="B201" s="1860" t="s">
        <v>2150</v>
      </c>
      <c r="C201" s="1870"/>
      <c r="D201" s="1870"/>
      <c r="E201" s="1870"/>
      <c r="F201" s="1862">
        <v>0.05</v>
      </c>
    </row>
    <row r="202" spans="1:6" ht="24.75" thickBot="1">
      <c r="A202" s="1856" t="s">
        <v>1413</v>
      </c>
      <c r="B202" s="1860" t="s">
        <v>2151</v>
      </c>
      <c r="C202" s="1870"/>
      <c r="D202" s="1870"/>
      <c r="E202" s="1870"/>
      <c r="F202" s="1862">
        <v>0.05</v>
      </c>
    </row>
    <row r="203" spans="1:6" ht="24.75" thickBot="1">
      <c r="A203" s="1856" t="s">
        <v>1413</v>
      </c>
      <c r="B203" s="1860" t="s">
        <v>2152</v>
      </c>
      <c r="C203" s="1870"/>
      <c r="D203" s="1870"/>
      <c r="E203" s="1870"/>
      <c r="F203" s="1862">
        <v>0.05</v>
      </c>
    </row>
    <row r="204" spans="1:6" ht="14.25" thickBot="1">
      <c r="A204" s="1856" t="s">
        <v>1413</v>
      </c>
      <c r="B204" s="1860" t="s">
        <v>2153</v>
      </c>
      <c r="C204" s="1870"/>
      <c r="D204" s="1870"/>
      <c r="E204" s="1870"/>
      <c r="F204" s="1862">
        <v>0.05</v>
      </c>
    </row>
    <row r="205" spans="1:6" ht="14.25" thickBot="1">
      <c r="A205" s="1864" t="s">
        <v>1413</v>
      </c>
      <c r="B205" s="1871" t="s">
        <v>2154</v>
      </c>
      <c r="C205" s="1867"/>
      <c r="D205" s="1867"/>
      <c r="E205" s="1867"/>
      <c r="F205" s="1872">
        <v>0.05</v>
      </c>
    </row>
    <row r="206" spans="1:6" ht="14.25" thickBot="1">
      <c r="A206" s="1856" t="s">
        <v>1415</v>
      </c>
      <c r="B206" s="1857" t="s">
        <v>2155</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2156</v>
      </c>
      <c r="C210" s="1861">
        <v>0.15</v>
      </c>
      <c r="D210" s="1861">
        <v>0.15</v>
      </c>
      <c r="E210" s="1861">
        <v>0.15</v>
      </c>
      <c r="F210" s="1862">
        <v>0.13800000000000001</v>
      </c>
    </row>
    <row r="211" spans="1:6" ht="14.25" thickBot="1">
      <c r="A211" s="1856" t="s">
        <v>1415</v>
      </c>
      <c r="B211" s="1860" t="s">
        <v>2157</v>
      </c>
      <c r="C211" s="1861">
        <v>0.13700000000000001</v>
      </c>
      <c r="D211" s="1861">
        <v>0.13500000000000001</v>
      </c>
      <c r="E211" s="1861">
        <v>0.13600000000000001</v>
      </c>
      <c r="F211" s="1862">
        <v>0.1</v>
      </c>
    </row>
    <row r="212" spans="1:6" ht="14.25" thickBot="1">
      <c r="A212" s="1856" t="s">
        <v>1415</v>
      </c>
      <c r="B212" s="1860" t="s">
        <v>2158</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2159</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2160</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2161</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2162</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2163</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2164</v>
      </c>
      <c r="C231" s="1861">
        <v>0.128</v>
      </c>
      <c r="D231" s="1861">
        <v>0.125</v>
      </c>
      <c r="E231" s="1861">
        <v>0.13200000000000001</v>
      </c>
      <c r="F231" s="1869"/>
    </row>
    <row r="232" spans="1:6" ht="14.25" thickBot="1">
      <c r="A232" s="1856" t="s">
        <v>1415</v>
      </c>
      <c r="B232" s="1860" t="s">
        <v>2165</v>
      </c>
      <c r="C232" s="1861">
        <v>0.14499999999999999</v>
      </c>
      <c r="D232" s="1861">
        <v>0.14399999999999999</v>
      </c>
      <c r="E232" s="1861">
        <v>0.14599999999999999</v>
      </c>
      <c r="F232" s="1862">
        <v>0.13800000000000001</v>
      </c>
    </row>
    <row r="233" spans="1:6" ht="14.25" thickBot="1">
      <c r="A233" s="1856" t="s">
        <v>1415</v>
      </c>
      <c r="B233" s="1860" t="s">
        <v>2166</v>
      </c>
      <c r="C233" s="1861">
        <v>0.14499999999999999</v>
      </c>
      <c r="D233" s="1861">
        <v>0.14299999999999999</v>
      </c>
      <c r="E233" s="1861">
        <v>0.14199999999999999</v>
      </c>
      <c r="F233" s="1869"/>
    </row>
    <row r="234" spans="1:6" ht="14.25" thickBot="1">
      <c r="A234" s="1856" t="s">
        <v>1415</v>
      </c>
      <c r="B234" s="1860" t="s">
        <v>2167</v>
      </c>
      <c r="C234" s="1861">
        <v>0.14000000000000001</v>
      </c>
      <c r="D234" s="1861">
        <v>0.14000000000000001</v>
      </c>
      <c r="E234" s="1861">
        <v>0.14399999999999999</v>
      </c>
      <c r="F234" s="1869"/>
    </row>
    <row r="235" spans="1:6" ht="14.25" thickBot="1">
      <c r="A235" s="1856" t="s">
        <v>1415</v>
      </c>
      <c r="B235" s="1860" t="s">
        <v>2168</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2169</v>
      </c>
      <c r="C237" s="1870"/>
      <c r="D237" s="1870"/>
      <c r="E237" s="1870"/>
      <c r="F237" s="1862">
        <v>0.05</v>
      </c>
    </row>
    <row r="238" spans="1:6" ht="24.75" thickBot="1">
      <c r="A238" s="1856" t="s">
        <v>1415</v>
      </c>
      <c r="B238" s="1860" t="s">
        <v>2170</v>
      </c>
      <c r="C238" s="1870"/>
      <c r="D238" s="1870"/>
      <c r="E238" s="1870"/>
      <c r="F238" s="1862">
        <v>0.05</v>
      </c>
    </row>
    <row r="239" spans="1:6" ht="24.75" thickBot="1">
      <c r="A239" s="1856" t="s">
        <v>1415</v>
      </c>
      <c r="B239" s="1860" t="s">
        <v>2171</v>
      </c>
      <c r="C239" s="1870"/>
      <c r="D239" s="1870"/>
      <c r="E239" s="1870"/>
      <c r="F239" s="1862">
        <v>0.05</v>
      </c>
    </row>
    <row r="240" spans="1:6" ht="24.75" thickBot="1">
      <c r="A240" s="1856" t="s">
        <v>1415</v>
      </c>
      <c r="B240" s="1860" t="s">
        <v>2172</v>
      </c>
      <c r="C240" s="1870"/>
      <c r="D240" s="1870"/>
      <c r="E240" s="1870"/>
      <c r="F240" s="1862">
        <v>0.05</v>
      </c>
    </row>
    <row r="241" spans="1:6" ht="24.75" thickBot="1">
      <c r="A241" s="1856" t="s">
        <v>1415</v>
      </c>
      <c r="B241" s="1860" t="s">
        <v>2173</v>
      </c>
      <c r="C241" s="1870"/>
      <c r="D241" s="1870"/>
      <c r="E241" s="1870"/>
      <c r="F241" s="1862">
        <v>0.05</v>
      </c>
    </row>
    <row r="242" spans="1:6" ht="24.75" thickBot="1">
      <c r="A242" s="1856" t="s">
        <v>1415</v>
      </c>
      <c r="B242" s="1860" t="s">
        <v>2174</v>
      </c>
      <c r="C242" s="1870"/>
      <c r="D242" s="1870"/>
      <c r="E242" s="1870"/>
      <c r="F242" s="1862">
        <v>0.05</v>
      </c>
    </row>
    <row r="243" spans="1:6" ht="24.75" thickBot="1">
      <c r="A243" s="1856" t="s">
        <v>1415</v>
      </c>
      <c r="B243" s="1860" t="s">
        <v>2175</v>
      </c>
      <c r="C243" s="1870"/>
      <c r="D243" s="1870"/>
      <c r="E243" s="1870"/>
      <c r="F243" s="1862">
        <v>0.05</v>
      </c>
    </row>
    <row r="244" spans="1:6" ht="24.75" thickBot="1">
      <c r="A244" s="1864" t="s">
        <v>1415</v>
      </c>
      <c r="B244" s="1871" t="s">
        <v>2176</v>
      </c>
      <c r="C244" s="1867"/>
      <c r="D244" s="1867"/>
      <c r="E244" s="1867"/>
      <c r="F244" s="1872">
        <v>0.05</v>
      </c>
    </row>
    <row r="245" spans="1:6" ht="14.25" thickBot="1">
      <c r="A245" s="1856" t="s">
        <v>1417</v>
      </c>
      <c r="B245" s="1857" t="s">
        <v>2177</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2178</v>
      </c>
      <c r="C247" s="1861">
        <v>0.15</v>
      </c>
      <c r="D247" s="1861">
        <v>0.15</v>
      </c>
      <c r="E247" s="1861">
        <v>0.15</v>
      </c>
      <c r="F247" s="1862">
        <v>0.15</v>
      </c>
    </row>
    <row r="248" spans="1:6" ht="14.25" thickBot="1">
      <c r="A248" s="1856" t="s">
        <v>1417</v>
      </c>
      <c r="B248" s="1860" t="s">
        <v>2179</v>
      </c>
      <c r="C248" s="1861">
        <v>0.15</v>
      </c>
      <c r="D248" s="1861">
        <v>0.15</v>
      </c>
      <c r="E248" s="1861">
        <v>0.15</v>
      </c>
      <c r="F248" s="1862">
        <v>0.14000000000000001</v>
      </c>
    </row>
    <row r="249" spans="1:6" ht="14.25" thickBot="1">
      <c r="A249" s="1856" t="s">
        <v>1417</v>
      </c>
      <c r="B249" s="1860" t="s">
        <v>2180</v>
      </c>
      <c r="C249" s="1861">
        <v>0.15</v>
      </c>
      <c r="D249" s="1861">
        <v>0.14899999999999999</v>
      </c>
      <c r="E249" s="1861">
        <v>0.15</v>
      </c>
      <c r="F249" s="1862">
        <v>0.1</v>
      </c>
    </row>
    <row r="250" spans="1:6" ht="14.25" thickBot="1">
      <c r="A250" s="1856" t="s">
        <v>1417</v>
      </c>
      <c r="B250" s="1860" t="s">
        <v>2181</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2182</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2183</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2184</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2185</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2186</v>
      </c>
      <c r="C273" s="1861">
        <v>0.14199999999999999</v>
      </c>
      <c r="D273" s="1861">
        <v>0.14299999999999999</v>
      </c>
      <c r="E273" s="1861">
        <v>0.15</v>
      </c>
      <c r="F273" s="1862">
        <v>0.1</v>
      </c>
    </row>
    <row r="274" spans="1:6" ht="14.25" thickBot="1">
      <c r="A274" s="1856" t="s">
        <v>1417</v>
      </c>
      <c r="B274" s="1860" t="s">
        <v>2187</v>
      </c>
      <c r="C274" s="1861">
        <v>0.14799999999999999</v>
      </c>
      <c r="D274" s="1861">
        <v>0.14799999999999999</v>
      </c>
      <c r="E274" s="1861">
        <v>0.15</v>
      </c>
      <c r="F274" s="1862">
        <v>6.7000000000000004E-2</v>
      </c>
    </row>
    <row r="275" spans="1:6" ht="14.25" thickBot="1">
      <c r="A275" s="1856" t="s">
        <v>1417</v>
      </c>
      <c r="B275" s="1860" t="s">
        <v>2188</v>
      </c>
      <c r="C275" s="1861">
        <v>0.15</v>
      </c>
      <c r="D275" s="1861">
        <v>0.15</v>
      </c>
      <c r="E275" s="1861">
        <v>0.15</v>
      </c>
      <c r="F275" s="1862">
        <v>0.15</v>
      </c>
    </row>
    <row r="276" spans="1:6" ht="14.25" thickBot="1">
      <c r="A276" s="1856" t="s">
        <v>1417</v>
      </c>
      <c r="B276" s="1860" t="s">
        <v>2189</v>
      </c>
      <c r="C276" s="1861">
        <v>0.14499999999999999</v>
      </c>
      <c r="D276" s="1861">
        <v>0.14299999999999999</v>
      </c>
      <c r="E276" s="1861">
        <v>0.15</v>
      </c>
      <c r="F276" s="1862">
        <v>5.8999999999999997E-2</v>
      </c>
    </row>
    <row r="277" spans="1:6" ht="14.25" thickBot="1">
      <c r="A277" s="1856" t="s">
        <v>1417</v>
      </c>
      <c r="B277" s="1860" t="s">
        <v>2190</v>
      </c>
      <c r="C277" s="1861">
        <v>0.15</v>
      </c>
      <c r="D277" s="1861">
        <v>0.15</v>
      </c>
      <c r="E277" s="1861">
        <v>0.15</v>
      </c>
      <c r="F277" s="1862">
        <v>0.121</v>
      </c>
    </row>
    <row r="278" spans="1:6" ht="14.25" thickBot="1">
      <c r="A278" s="1856" t="s">
        <v>1417</v>
      </c>
      <c r="B278" s="1860" t="s">
        <v>2191</v>
      </c>
      <c r="C278" s="1861">
        <v>0.15</v>
      </c>
      <c r="D278" s="1861">
        <v>0.15</v>
      </c>
      <c r="E278" s="1861">
        <v>0.15</v>
      </c>
      <c r="F278" s="1862">
        <v>0.13800000000000001</v>
      </c>
    </row>
    <row r="279" spans="1:6" ht="24.75" thickBot="1">
      <c r="A279" s="1856" t="s">
        <v>1417</v>
      </c>
      <c r="B279" s="1860" t="s">
        <v>2192</v>
      </c>
      <c r="C279" s="1870"/>
      <c r="D279" s="1870"/>
      <c r="E279" s="1870"/>
      <c r="F279" s="1862">
        <v>0.05</v>
      </c>
    </row>
    <row r="280" spans="1:6" ht="24.75" thickBot="1">
      <c r="A280" s="1856" t="s">
        <v>1417</v>
      </c>
      <c r="B280" s="1860" t="s">
        <v>2193</v>
      </c>
      <c r="C280" s="1870"/>
      <c r="D280" s="1870"/>
      <c r="E280" s="1870"/>
      <c r="F280" s="1862">
        <v>0.05</v>
      </c>
    </row>
    <row r="281" spans="1:6" ht="24.75" thickBot="1">
      <c r="A281" s="1856" t="s">
        <v>1417</v>
      </c>
      <c r="B281" s="1860" t="s">
        <v>2194</v>
      </c>
      <c r="C281" s="1870"/>
      <c r="D281" s="1870"/>
      <c r="E281" s="1870"/>
      <c r="F281" s="1862">
        <v>0.05</v>
      </c>
    </row>
    <row r="282" spans="1:6" ht="24.75" thickBot="1">
      <c r="A282" s="1856" t="s">
        <v>1417</v>
      </c>
      <c r="B282" s="1860" t="s">
        <v>2195</v>
      </c>
      <c r="C282" s="1870"/>
      <c r="D282" s="1870"/>
      <c r="E282" s="1870"/>
      <c r="F282" s="1862">
        <v>0.05</v>
      </c>
    </row>
    <row r="283" spans="1:6" ht="24.75" thickBot="1">
      <c r="A283" s="1856" t="s">
        <v>1417</v>
      </c>
      <c r="B283" s="1860" t="s">
        <v>2196</v>
      </c>
      <c r="C283" s="1870"/>
      <c r="D283" s="1870"/>
      <c r="E283" s="1870"/>
      <c r="F283" s="1862">
        <v>0.05</v>
      </c>
    </row>
    <row r="284" spans="1:6" ht="24.75" thickBot="1">
      <c r="A284" s="1856" t="s">
        <v>1417</v>
      </c>
      <c r="B284" s="1860" t="s">
        <v>2197</v>
      </c>
      <c r="C284" s="1870"/>
      <c r="D284" s="1870"/>
      <c r="E284" s="1870"/>
      <c r="F284" s="1862">
        <v>0.05</v>
      </c>
    </row>
    <row r="285" spans="1:6" ht="24.75" thickBot="1">
      <c r="A285" s="1856" t="s">
        <v>1417</v>
      </c>
      <c r="B285" s="1860" t="s">
        <v>2198</v>
      </c>
      <c r="C285" s="1870"/>
      <c r="D285" s="1870"/>
      <c r="E285" s="1870"/>
      <c r="F285" s="1862">
        <v>0.05</v>
      </c>
    </row>
    <row r="286" spans="1:6" ht="24.75" thickBot="1">
      <c r="A286" s="1856" t="s">
        <v>1417</v>
      </c>
      <c r="B286" s="1860" t="s">
        <v>2199</v>
      </c>
      <c r="C286" s="1870"/>
      <c r="D286" s="1870"/>
      <c r="E286" s="1870"/>
      <c r="F286" s="1862">
        <v>0.05</v>
      </c>
    </row>
    <row r="287" spans="1:6" ht="24.75" thickBot="1">
      <c r="A287" s="1856" t="s">
        <v>1417</v>
      </c>
      <c r="B287" s="1860" t="s">
        <v>2200</v>
      </c>
      <c r="C287" s="1870"/>
      <c r="D287" s="1870"/>
      <c r="E287" s="1870"/>
      <c r="F287" s="1862">
        <v>0.05</v>
      </c>
    </row>
    <row r="288" spans="1:6" ht="24.75" thickBot="1">
      <c r="A288" s="1856" t="s">
        <v>1417</v>
      </c>
      <c r="B288" s="1860" t="s">
        <v>2201</v>
      </c>
      <c r="C288" s="1870"/>
      <c r="D288" s="1870"/>
      <c r="E288" s="1870"/>
      <c r="F288" s="1862">
        <v>0.05</v>
      </c>
    </row>
    <row r="289" spans="1:6" ht="24.75" thickBot="1">
      <c r="A289" s="1864" t="s">
        <v>1417</v>
      </c>
      <c r="B289" s="1871" t="s">
        <v>2202</v>
      </c>
      <c r="C289" s="1867"/>
      <c r="D289" s="1867"/>
      <c r="E289" s="1867"/>
      <c r="F289" s="1872">
        <v>0.05</v>
      </c>
    </row>
    <row r="290" spans="1:6" ht="14.25" thickBot="1">
      <c r="A290" s="1856" t="s">
        <v>1421</v>
      </c>
      <c r="B290" s="1857" t="s">
        <v>2203</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2204</v>
      </c>
      <c r="C292" s="1861">
        <v>0.15</v>
      </c>
      <c r="D292" s="1861">
        <v>0.15</v>
      </c>
      <c r="E292" s="1861">
        <v>0.15</v>
      </c>
      <c r="F292" s="1862">
        <v>0.14699999999999999</v>
      </c>
    </row>
    <row r="293" spans="1:6" ht="14.25" thickBot="1">
      <c r="A293" s="1856" t="s">
        <v>1421</v>
      </c>
      <c r="B293" s="1860" t="s">
        <v>2205</v>
      </c>
      <c r="C293" s="1870"/>
      <c r="D293" s="1870"/>
      <c r="E293" s="1870"/>
      <c r="F293" s="1862">
        <v>0.1</v>
      </c>
    </row>
    <row r="294" spans="1:6" ht="14.25" thickBot="1">
      <c r="A294" s="1856" t="s">
        <v>1421</v>
      </c>
      <c r="B294" s="1860" t="s">
        <v>2206</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2207</v>
      </c>
      <c r="C296" s="1861">
        <v>0.15</v>
      </c>
      <c r="D296" s="1861">
        <v>0.15</v>
      </c>
      <c r="E296" s="1861">
        <v>0.15</v>
      </c>
      <c r="F296" s="1862">
        <v>0.15</v>
      </c>
    </row>
    <row r="297" spans="1:6" ht="14.25" thickBot="1">
      <c r="A297" s="1856" t="s">
        <v>1421</v>
      </c>
      <c r="B297" s="1860" t="s">
        <v>2208</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2209</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2210</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2211</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2212</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2213</v>
      </c>
      <c r="C310" s="1861">
        <v>0.15</v>
      </c>
      <c r="D310" s="1861">
        <v>0.15</v>
      </c>
      <c r="E310" s="1861">
        <v>0.15</v>
      </c>
      <c r="F310" s="1862">
        <v>0.13700000000000001</v>
      </c>
    </row>
    <row r="311" spans="1:6" ht="14.25" thickBot="1">
      <c r="A311" s="1856" t="s">
        <v>1421</v>
      </c>
      <c r="B311" s="1860" t="s">
        <v>2214</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2215</v>
      </c>
      <c r="C313" s="1861">
        <v>0.15</v>
      </c>
      <c r="D313" s="1861">
        <v>0.15</v>
      </c>
      <c r="E313" s="1861">
        <v>0.15</v>
      </c>
      <c r="F313" s="1862">
        <v>0.15</v>
      </c>
    </row>
    <row r="314" spans="1:6" ht="24.75" thickBot="1">
      <c r="A314" s="1856" t="s">
        <v>1421</v>
      </c>
      <c r="B314" s="1860" t="s">
        <v>2216</v>
      </c>
      <c r="C314" s="1870"/>
      <c r="D314" s="1870"/>
      <c r="E314" s="1870"/>
      <c r="F314" s="1862">
        <v>0.05</v>
      </c>
    </row>
    <row r="315" spans="1:6" ht="24.75" thickBot="1">
      <c r="A315" s="1856" t="s">
        <v>1421</v>
      </c>
      <c r="B315" s="1860" t="s">
        <v>2217</v>
      </c>
      <c r="C315" s="1870"/>
      <c r="D315" s="1870"/>
      <c r="E315" s="1870"/>
      <c r="F315" s="1862">
        <v>0.05</v>
      </c>
    </row>
    <row r="316" spans="1:6" ht="24.75" thickBot="1">
      <c r="A316" s="1864" t="s">
        <v>1421</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1109</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1178</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1198</v>
      </c>
      <c r="C328" s="1861">
        <v>0.15</v>
      </c>
      <c r="D328" s="1861">
        <v>0.15</v>
      </c>
      <c r="E328" s="1861">
        <v>0.15</v>
      </c>
      <c r="F328" s="1862">
        <v>0.14099999999999999</v>
      </c>
    </row>
    <row r="329" spans="1:6" ht="14.25" thickBot="1">
      <c r="A329" s="1856" t="s">
        <v>2219</v>
      </c>
      <c r="B329" s="1860" t="s">
        <v>1208</v>
      </c>
      <c r="C329" s="1861">
        <v>0.15</v>
      </c>
      <c r="D329" s="1861">
        <v>0.15</v>
      </c>
      <c r="E329" s="1861">
        <v>0.15</v>
      </c>
      <c r="F329" s="1862">
        <v>0.15</v>
      </c>
    </row>
    <row r="330" spans="1:6" ht="14.25" thickBot="1">
      <c r="A330" s="1856" t="s">
        <v>2219</v>
      </c>
      <c r="B330" s="1860" t="s">
        <v>1218</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1238</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1258</v>
      </c>
      <c r="C334" s="1861">
        <v>0.15</v>
      </c>
      <c r="D334" s="1861">
        <v>0.15</v>
      </c>
      <c r="E334" s="1861">
        <v>0.15</v>
      </c>
      <c r="F334" s="1862">
        <v>0.15</v>
      </c>
    </row>
    <row r="335" spans="1:6" ht="14.25" thickBot="1">
      <c r="A335" s="1856" t="s">
        <v>2219</v>
      </c>
      <c r="B335" s="1860" t="s">
        <v>1268</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1286</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2960</v>
      </c>
      <c r="B1" s="3134"/>
      <c r="C1" s="3134"/>
      <c r="D1" s="3134"/>
      <c r="E1" s="3134"/>
      <c r="F1" s="3134"/>
    </row>
    <row r="2" spans="1:6" ht="14.25">
      <c r="A2" s="3135" t="s">
        <v>2954</v>
      </c>
      <c r="B2" s="3136" t="e">
        <f ca="1">SUMIF(B7:B14,"&lt;&gt;#ref!",B7:B14)</f>
        <v>#DIV/0!</v>
      </c>
      <c r="C2" s="3135" t="s">
        <v>2955</v>
      </c>
      <c r="D2" s="3134"/>
      <c r="E2" s="3134"/>
      <c r="F2" s="3134"/>
    </row>
    <row r="3" spans="1:6" ht="14.25">
      <c r="A3" s="3135" t="s">
        <v>2957</v>
      </c>
      <c r="B3" s="3136" t="e">
        <f ca="1">ROUND(B2*10000/E3,0)</f>
        <v>#DIV/0!</v>
      </c>
      <c r="C3" s="3135" t="s">
        <v>2081</v>
      </c>
      <c r="D3" s="3135" t="s">
        <v>2956</v>
      </c>
      <c r="E3" s="3136" t="e">
        <f ca="1">SUM(E7:E14)</f>
        <v>#REF!</v>
      </c>
      <c r="F3" s="3134"/>
    </row>
    <row r="4" spans="1:6" ht="14.25">
      <c r="A4" s="3135" t="s">
        <v>2964</v>
      </c>
      <c r="B4" s="3136" t="e">
        <f ca="1">ROUND(B2*10000/E4,0)</f>
        <v>#DIV/0!</v>
      </c>
      <c r="C4" s="3135" t="s">
        <v>2081</v>
      </c>
      <c r="D4" s="3135" t="s">
        <v>2965</v>
      </c>
      <c r="E4" s="3136" t="e">
        <f ca="1">SUM(F7:F14)</f>
        <v>#REF!</v>
      </c>
      <c r="F4" s="3134"/>
    </row>
    <row r="5" spans="1:6" ht="14.25">
      <c r="A5" s="3137"/>
      <c r="B5" s="1882"/>
      <c r="C5" s="1882"/>
      <c r="D5" s="1882"/>
      <c r="E5" s="1882"/>
      <c r="F5" s="3134"/>
    </row>
    <row r="6" spans="1:6" ht="28.5">
      <c r="A6" s="3138" t="s">
        <v>2961</v>
      </c>
      <c r="B6" s="3135" t="s">
        <v>2958</v>
      </c>
      <c r="C6" s="3136"/>
      <c r="D6" s="1882"/>
      <c r="E6" s="3135" t="s">
        <v>2959</v>
      </c>
      <c r="F6" s="3135" t="s">
        <v>2963</v>
      </c>
    </row>
    <row r="7" spans="1:6" ht="14.25">
      <c r="A7" s="259" t="s">
        <v>2962</v>
      </c>
      <c r="B7" s="3139" t="e">
        <f ca="1">SUMIF(INDIRECT("'"&amp;A7&amp;"'"&amp;"!A:A"),"总价",INDIRECT("'"&amp;A7&amp;"'"&amp;"!B:B"))</f>
        <v>#DIV/0!</v>
      </c>
      <c r="C7" s="3135" t="s">
        <v>2955</v>
      </c>
      <c r="D7" s="1882"/>
      <c r="E7" s="3140">
        <f ca="1">SUMIF(INDIRECT("'"&amp;A7&amp;"'"&amp;"!C:C"),"建筑面积",INDIRECT("'"&amp;A7&amp;"'"&amp;"!D:D"))</f>
        <v>0</v>
      </c>
      <c r="F7" s="3140">
        <f ca="1">SUMIF(INDIRECT("'"&amp;A7&amp;"'"&amp;"!E:E"),"土地面积",INDIRECT("'"&amp;A7&amp;"'"&amp;"!F:F"))</f>
        <v>0</v>
      </c>
    </row>
    <row r="8" spans="1:6" ht="14.25">
      <c r="A8" s="259"/>
      <c r="B8" s="3139" t="e">
        <f t="shared" ref="B8:B14" ca="1" si="0">SUMIF(INDIRECT("'"&amp;A8&amp;"'"&amp;"!A:A"),"总价",INDIRECT("'"&amp;A8&amp;"'"&amp;"!B:B"))</f>
        <v>#REF!</v>
      </c>
      <c r="C8" s="3135" t="s">
        <v>2955</v>
      </c>
      <c r="D8" s="1882"/>
      <c r="E8" s="3140" t="e">
        <f t="shared" ref="E8:E14" ca="1" si="1">SUMIF(INDIRECT("'"&amp;A8&amp;"'"&amp;"!C:C"),"建筑面积",INDIRECT("'"&amp;A8&amp;"'"&amp;"!D:D"))</f>
        <v>#REF!</v>
      </c>
      <c r="F8" s="3140" t="e">
        <f t="shared" ref="F8:F14" ca="1" si="2">SUMIF(INDIRECT("'"&amp;A8&amp;"'"&amp;"!E:E"),"土地面积",INDIRECT("'"&amp;A8&amp;"'"&amp;"!F:F"))</f>
        <v>#REF!</v>
      </c>
    </row>
    <row r="9" spans="1:6" ht="14.25">
      <c r="A9" s="259"/>
      <c r="B9" s="3139" t="e">
        <f t="shared" ca="1" si="0"/>
        <v>#REF!</v>
      </c>
      <c r="C9" s="3135" t="s">
        <v>2955</v>
      </c>
      <c r="D9" s="1882"/>
      <c r="E9" s="3140" t="e">
        <f t="shared" ca="1" si="1"/>
        <v>#REF!</v>
      </c>
      <c r="F9" s="3140" t="e">
        <f t="shared" ca="1" si="2"/>
        <v>#REF!</v>
      </c>
    </row>
    <row r="10" spans="1:6" ht="14.25">
      <c r="A10" s="259"/>
      <c r="B10" s="3139" t="e">
        <f t="shared" ca="1" si="0"/>
        <v>#REF!</v>
      </c>
      <c r="C10" s="3135" t="s">
        <v>2955</v>
      </c>
      <c r="D10" s="1882"/>
      <c r="E10" s="3140" t="e">
        <f t="shared" ca="1" si="1"/>
        <v>#REF!</v>
      </c>
      <c r="F10" s="3140" t="e">
        <f t="shared" ca="1" si="2"/>
        <v>#REF!</v>
      </c>
    </row>
    <row r="11" spans="1:6" ht="14.25">
      <c r="A11" s="259"/>
      <c r="B11" s="3139" t="e">
        <f t="shared" ca="1" si="0"/>
        <v>#REF!</v>
      </c>
      <c r="C11" s="3135" t="s">
        <v>2955</v>
      </c>
      <c r="D11" s="1882"/>
      <c r="E11" s="3140" t="e">
        <f t="shared" ca="1" si="1"/>
        <v>#REF!</v>
      </c>
      <c r="F11" s="3140" t="e">
        <f t="shared" ca="1" si="2"/>
        <v>#REF!</v>
      </c>
    </row>
    <row r="12" spans="1:6" ht="14.25">
      <c r="A12" s="259"/>
      <c r="B12" s="3139" t="e">
        <f t="shared" ca="1" si="0"/>
        <v>#REF!</v>
      </c>
      <c r="C12" s="3135" t="s">
        <v>2955</v>
      </c>
      <c r="D12" s="1882"/>
      <c r="E12" s="3140" t="e">
        <f t="shared" ca="1" si="1"/>
        <v>#REF!</v>
      </c>
      <c r="F12" s="3140" t="e">
        <f t="shared" ca="1" si="2"/>
        <v>#REF!</v>
      </c>
    </row>
    <row r="13" spans="1:6" ht="14.25">
      <c r="A13" s="259"/>
      <c r="B13" s="3139" t="e">
        <f t="shared" ca="1" si="0"/>
        <v>#REF!</v>
      </c>
      <c r="C13" s="3135" t="s">
        <v>2955</v>
      </c>
      <c r="D13" s="1882"/>
      <c r="E13" s="3140" t="e">
        <f t="shared" ca="1" si="1"/>
        <v>#REF!</v>
      </c>
      <c r="F13" s="3140" t="e">
        <f t="shared" ca="1" si="2"/>
        <v>#REF!</v>
      </c>
    </row>
    <row r="14" spans="1:6" ht="14.25">
      <c r="A14" s="3133"/>
      <c r="B14" s="3139" t="e">
        <f t="shared" ca="1" si="0"/>
        <v>#REF!</v>
      </c>
      <c r="C14" s="3135" t="s">
        <v>2955</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3" t="s">
        <v>629</v>
      </c>
      <c r="B1" s="739"/>
      <c r="C1" s="774"/>
      <c r="D1" s="2051"/>
      <c r="E1" s="2409" t="s">
        <v>2378</v>
      </c>
      <c r="F1" s="2410">
        <f ca="1">J54</f>
        <v>0</v>
      </c>
      <c r="G1" s="775">
        <f>MATCH(C1,'数据-取费表'!A6:A16,0)+5</f>
        <v>10</v>
      </c>
      <c r="H1" s="1349"/>
      <c r="I1" s="2052"/>
      <c r="J1" s="2052"/>
      <c r="K1" s="2053"/>
      <c r="L1" s="2052"/>
      <c r="M1" s="2052"/>
      <c r="N1" s="2054"/>
      <c r="O1" s="2054"/>
      <c r="P1" s="2054"/>
      <c r="Q1" s="2054"/>
      <c r="R1" s="2054"/>
      <c r="S1" s="2054"/>
      <c r="T1" s="2054"/>
      <c r="U1" s="2054"/>
      <c r="V1" s="2054"/>
      <c r="W1" s="2054"/>
      <c r="X1" s="2054"/>
      <c r="Y1" s="2054"/>
    </row>
    <row r="2" spans="1:25" ht="18" customHeight="1">
      <c r="A2" s="1644" t="s">
        <v>630</v>
      </c>
      <c r="B2" s="776">
        <f ca="1">IF(ISERROR(C45+J31),0,C45+J31)</f>
        <v>0</v>
      </c>
      <c r="C2" s="1350"/>
      <c r="D2" s="2056"/>
      <c r="E2" s="2057"/>
      <c r="F2" s="2057"/>
      <c r="G2" s="1590"/>
      <c r="H2" s="1362"/>
      <c r="I2" s="2058"/>
      <c r="J2" s="2058"/>
      <c r="K2" s="2059"/>
      <c r="L2" s="2058"/>
      <c r="M2" s="2058"/>
    </row>
    <row r="3" spans="1:25" ht="18" customHeight="1">
      <c r="A3" s="1645" t="s">
        <v>1688</v>
      </c>
      <c r="B3" s="1391">
        <f ca="1">ROUND(B2*10000/'数据-汇总表'!E3,0)</f>
        <v>0</v>
      </c>
      <c r="C3" s="1350"/>
      <c r="D3" s="2056"/>
      <c r="E3" s="2057"/>
      <c r="F3" s="2057"/>
      <c r="G3" s="1590"/>
      <c r="H3" s="777" t="s">
        <v>696</v>
      </c>
      <c r="I3" s="2058"/>
      <c r="J3" s="2058"/>
      <c r="K3" s="2059"/>
      <c r="L3" s="2058"/>
      <c r="M3" s="2058"/>
    </row>
    <row r="4" spans="1:25" ht="18" customHeight="1">
      <c r="A4" s="1646" t="s">
        <v>697</v>
      </c>
      <c r="B4" s="1351">
        <f ca="1">ROUND(B2*10000/'数据-汇总表'!D3,0)</f>
        <v>0</v>
      </c>
      <c r="C4" s="430"/>
      <c r="D4" s="2056"/>
      <c r="E4" s="2057"/>
      <c r="F4" s="2057"/>
      <c r="G4" s="1590"/>
      <c r="H4" s="777"/>
      <c r="I4" s="2058"/>
      <c r="J4" s="2058"/>
      <c r="K4" s="2059"/>
      <c r="L4" s="2058"/>
      <c r="M4" s="2058"/>
    </row>
    <row r="5" spans="1:25" ht="18" customHeight="1" thickBot="1">
      <c r="A5" s="1647"/>
      <c r="B5" s="432">
        <f ca="1">ROUND(B2/('数据-汇总表'!D3/666.67),0)</f>
        <v>0</v>
      </c>
      <c r="C5" s="433" t="s">
        <v>698</v>
      </c>
      <c r="D5" s="2056"/>
      <c r="E5" s="2057"/>
      <c r="F5" s="2057"/>
      <c r="G5" s="1590"/>
      <c r="H5" s="777"/>
      <c r="I5" s="2058"/>
      <c r="J5" s="2058"/>
      <c r="K5" s="2059"/>
      <c r="L5" s="2058"/>
      <c r="M5" s="2058"/>
    </row>
    <row r="6" spans="1:25" ht="18" customHeight="1">
      <c r="A6" s="1829" t="s">
        <v>699</v>
      </c>
      <c r="B6" s="1821" t="s">
        <v>700</v>
      </c>
      <c r="C6" s="1821" t="s">
        <v>633</v>
      </c>
      <c r="D6" s="1821" t="s">
        <v>634</v>
      </c>
      <c r="E6" s="780" t="s">
        <v>635</v>
      </c>
      <c r="F6" s="781"/>
      <c r="G6" s="1592"/>
      <c r="H6" s="1829" t="s">
        <v>631</v>
      </c>
      <c r="I6" s="1821" t="s">
        <v>632</v>
      </c>
      <c r="J6" s="1821" t="s">
        <v>633</v>
      </c>
      <c r="K6" s="1821" t="s">
        <v>634</v>
      </c>
      <c r="L6" s="780" t="s">
        <v>635</v>
      </c>
      <c r="M6" s="781"/>
    </row>
    <row r="7" spans="1:25" ht="18" customHeight="1">
      <c r="A7" s="782">
        <v>1</v>
      </c>
      <c r="B7" s="783" t="s">
        <v>2463</v>
      </c>
      <c r="C7" s="52">
        <f ca="1">C8+C12+C14</f>
        <v>0</v>
      </c>
      <c r="D7" s="2518" t="s">
        <v>2466</v>
      </c>
      <c r="E7" s="2512"/>
      <c r="F7" s="2513"/>
      <c r="G7" s="1592"/>
      <c r="H7" s="782">
        <v>1</v>
      </c>
      <c r="I7" s="783" t="s">
        <v>2463</v>
      </c>
      <c r="J7" s="52">
        <f ca="1">J8+J12+J14</f>
        <v>0</v>
      </c>
      <c r="K7" s="2518" t="s">
        <v>2466</v>
      </c>
      <c r="L7" s="2512"/>
      <c r="M7" s="2513"/>
    </row>
    <row r="8" spans="1:25" ht="18" customHeight="1">
      <c r="A8" s="1831" t="s">
        <v>1826</v>
      </c>
      <c r="B8" s="3467" t="s">
        <v>2468</v>
      </c>
      <c r="C8" s="1826">
        <f ca="1">ROUND(F8*F10*F9*(1-F11)/10000,0)</f>
        <v>0</v>
      </c>
      <c r="D8" s="1823" t="s">
        <v>2540</v>
      </c>
      <c r="E8" s="60" t="s">
        <v>638</v>
      </c>
      <c r="F8" s="786">
        <f ca="1">INDIRECT("'数据-取费表'!u"&amp;$G$1)</f>
        <v>0</v>
      </c>
      <c r="G8" s="1592"/>
      <c r="H8" s="2526" t="s">
        <v>1826</v>
      </c>
      <c r="I8" s="3467" t="s">
        <v>2468</v>
      </c>
      <c r="J8" s="784">
        <f ca="1">ROUND(M8*M10*M9*(1-M11)/10000,0)</f>
        <v>0</v>
      </c>
      <c r="K8" s="343" t="s">
        <v>2540</v>
      </c>
      <c r="L8" s="785" t="s">
        <v>1740</v>
      </c>
      <c r="M8" s="786">
        <f ca="1">INDIRECT("'数据-取费表'!z"&amp;$G$1)</f>
        <v>0</v>
      </c>
    </row>
    <row r="9" spans="1:25" ht="18" customHeight="1">
      <c r="A9" s="2522"/>
      <c r="B9" s="3468"/>
      <c r="C9" s="1827"/>
      <c r="D9" s="1824"/>
      <c r="E9" s="60" t="s">
        <v>639</v>
      </c>
      <c r="F9" s="786">
        <f ca="1">IF(INDIRECT("'数据-取费表'!ah"&amp;$G$1)="",INDIRECT("'数据-取费表'!k"&amp;$G$1),INDIRECT("'数据-取费表'!ah"&amp;$G$1))</f>
        <v>0</v>
      </c>
      <c r="G9" s="1592"/>
      <c r="H9" s="2511"/>
      <c r="I9" s="3468"/>
      <c r="J9" s="789"/>
      <c r="K9" s="790"/>
      <c r="L9" s="785" t="s">
        <v>1741</v>
      </c>
      <c r="M9" s="786">
        <f ca="1">F9</f>
        <v>0</v>
      </c>
    </row>
    <row r="10" spans="1:25" ht="18" customHeight="1">
      <c r="A10" s="2515"/>
      <c r="B10" s="3469"/>
      <c r="C10" s="1827"/>
      <c r="D10" s="1824"/>
      <c r="E10" s="60" t="s">
        <v>640</v>
      </c>
      <c r="F10" s="786">
        <f ca="1">INDIRECT("'数据-取费表'!ai"&amp;$G$1)</f>
        <v>0</v>
      </c>
      <c r="G10" s="1592"/>
      <c r="H10" s="2511"/>
      <c r="I10" s="3469"/>
      <c r="J10" s="789"/>
      <c r="K10" s="790"/>
      <c r="L10" s="785" t="s">
        <v>1742</v>
      </c>
      <c r="M10" s="786">
        <f ca="1">INDIRECT("'数据-取费表'!ai"&amp;$G$1)</f>
        <v>0</v>
      </c>
    </row>
    <row r="11" spans="1:25" ht="18" customHeight="1">
      <c r="A11" s="787"/>
      <c r="B11" s="3470"/>
      <c r="C11" s="1827"/>
      <c r="D11" s="1824"/>
      <c r="E11" s="60" t="s">
        <v>641</v>
      </c>
      <c r="F11" s="795">
        <f ca="1">INDIRECT("'数据-取费表'!w"&amp;$G$1)</f>
        <v>0</v>
      </c>
      <c r="G11" s="1592"/>
      <c r="H11" s="2527"/>
      <c r="I11" s="3469"/>
      <c r="J11" s="789"/>
      <c r="K11" s="790"/>
      <c r="L11" s="796" t="s">
        <v>1743</v>
      </c>
      <c r="M11" s="797">
        <f ca="1">INDIRECT("'数据-取费表'!ab"&amp;$G$1)</f>
        <v>0</v>
      </c>
    </row>
    <row r="12" spans="1:25" ht="18" customHeight="1">
      <c r="A12" s="1831" t="s">
        <v>1827</v>
      </c>
      <c r="B12" s="2516" t="s">
        <v>2464</v>
      </c>
      <c r="C12" s="800">
        <f ca="1">ROUND(IF(F12="押一",F8*F10*F9/12*F13,IF(F12="押二",F8*F10*F9/12*2*F13,IF(F12="押三",F8*F10*F9/12*3*F13,C13*F13)))/10000,0)</f>
        <v>0</v>
      </c>
      <c r="D12" s="2523" t="s">
        <v>2471</v>
      </c>
      <c r="E12" s="2520" t="s">
        <v>2469</v>
      </c>
      <c r="F12" s="2643"/>
      <c r="G12" s="1592"/>
      <c r="H12" s="2583" t="s">
        <v>1827</v>
      </c>
      <c r="I12" s="2588" t="s">
        <v>2464</v>
      </c>
      <c r="J12" s="784">
        <f ca="1">ROUND(IF(M12="押一",M8*M10*M9/12*M13,IF(M12="押二",M8*M10*M9/12*2*M13,IF(M12="押三",M8*M10*M9/12*3*M13,J13*M13)))/10000,0)</f>
        <v>0</v>
      </c>
      <c r="K12" s="2523" t="s">
        <v>2471</v>
      </c>
      <c r="L12" s="2520" t="s">
        <v>2469</v>
      </c>
      <c r="M12" s="2643"/>
    </row>
    <row r="13" spans="1:25" ht="18" customHeight="1">
      <c r="A13" s="791"/>
      <c r="B13" s="2517" t="s">
        <v>2579</v>
      </c>
      <c r="C13" s="2521"/>
      <c r="D13" s="790"/>
      <c r="E13" s="2520" t="s">
        <v>2461</v>
      </c>
      <c r="F13" s="797">
        <f ca="1">'数据-取费表'!B39</f>
        <v>1.4999999999999999E-2</v>
      </c>
      <c r="G13" s="1592"/>
      <c r="H13" s="2584"/>
      <c r="I13" s="2517" t="s">
        <v>2579</v>
      </c>
      <c r="J13" s="2521"/>
      <c r="K13" s="2585"/>
      <c r="L13" s="2520" t="s">
        <v>2461</v>
      </c>
      <c r="M13" s="2514">
        <f ca="1">'数据-取费表'!B39</f>
        <v>1.4999999999999999E-2</v>
      </c>
    </row>
    <row r="14" spans="1:25" ht="18" customHeight="1" thickBot="1">
      <c r="A14" s="2559" t="s">
        <v>2473</v>
      </c>
      <c r="B14" s="2560" t="s">
        <v>2465</v>
      </c>
      <c r="C14" s="2561"/>
      <c r="D14" s="2562"/>
      <c r="E14" s="2563"/>
      <c r="F14" s="2564"/>
      <c r="G14" s="1592"/>
      <c r="H14" s="2573" t="s">
        <v>2473</v>
      </c>
      <c r="I14" s="2586" t="s">
        <v>2465</v>
      </c>
      <c r="J14" s="2587"/>
      <c r="K14" s="2562"/>
      <c r="L14" s="2563"/>
      <c r="M14" s="2576"/>
    </row>
    <row r="15" spans="1:25" ht="18" customHeight="1" thickTop="1">
      <c r="A15" s="1830" t="s">
        <v>1876</v>
      </c>
      <c r="B15" s="1828" t="s">
        <v>642</v>
      </c>
      <c r="C15" s="793">
        <f ca="1">ROUND(C31*F15,0)</f>
        <v>0</v>
      </c>
      <c r="D15" s="1835" t="s">
        <v>643</v>
      </c>
      <c r="E15" s="796" t="s">
        <v>644</v>
      </c>
      <c r="F15" s="801">
        <f ca="1">INDIRECT("'数据-取费表'!y"&amp;$G$1)</f>
        <v>0</v>
      </c>
      <c r="G15" s="1592"/>
      <c r="H15" s="1830" t="s">
        <v>1828</v>
      </c>
      <c r="I15" s="1828" t="s">
        <v>645</v>
      </c>
      <c r="J15" s="1820">
        <f ca="1">ROUND(J16*J17,0)</f>
        <v>0</v>
      </c>
      <c r="K15" s="1822" t="s">
        <v>643</v>
      </c>
      <c r="L15" s="802"/>
      <c r="M15" s="803"/>
    </row>
    <row r="16" spans="1:25" ht="18" customHeight="1">
      <c r="A16" s="804" t="s">
        <v>1877</v>
      </c>
      <c r="B16" s="785" t="s">
        <v>646</v>
      </c>
      <c r="C16" s="805">
        <f ca="1">INDIRECT("'数据-取费表'!m"&amp;$G$1)+INDIRECT("'数据-取费表'!t"&amp;$G$1)</f>
        <v>0</v>
      </c>
      <c r="D16" s="1980" t="s">
        <v>647</v>
      </c>
      <c r="E16" s="1981"/>
      <c r="F16" s="806"/>
      <c r="G16" s="1592"/>
      <c r="H16" s="804" t="s">
        <v>2072</v>
      </c>
      <c r="I16" s="2232" t="s">
        <v>2833</v>
      </c>
      <c r="J16" s="52">
        <f ca="1">C31</f>
        <v>0</v>
      </c>
      <c r="K16" s="25"/>
      <c r="L16" s="802"/>
      <c r="M16" s="803"/>
    </row>
    <row r="17" spans="1:25" s="2065" customFormat="1" ht="18" customHeight="1">
      <c r="A17" s="804" t="s">
        <v>1851</v>
      </c>
      <c r="B17" s="785" t="s">
        <v>648</v>
      </c>
      <c r="C17" s="52">
        <f ca="1">ROUND(C16*F17,0)</f>
        <v>0</v>
      </c>
      <c r="D17" s="807" t="s">
        <v>649</v>
      </c>
      <c r="E17" s="807" t="s">
        <v>650</v>
      </c>
      <c r="F17" s="808">
        <f>'数据-取费表'!B33</f>
        <v>0.03</v>
      </c>
      <c r="G17" s="1593"/>
      <c r="H17" s="804" t="s">
        <v>2073</v>
      </c>
      <c r="I17" s="785" t="s">
        <v>644</v>
      </c>
      <c r="J17" s="809">
        <f ca="1">INDIRECT("'数据-取费表'!ad"&amp;$G$1)</f>
        <v>0</v>
      </c>
      <c r="K17" s="25"/>
      <c r="L17" s="802"/>
      <c r="M17" s="803"/>
      <c r="N17" s="2064"/>
      <c r="O17" s="2064"/>
      <c r="P17" s="2064"/>
      <c r="Q17" s="2064"/>
      <c r="R17" s="2064"/>
      <c r="S17" s="2064"/>
      <c r="T17" s="2064"/>
      <c r="U17" s="2064"/>
      <c r="V17" s="2064"/>
      <c r="W17" s="2064"/>
      <c r="X17" s="2064"/>
      <c r="Y17" s="2064"/>
    </row>
    <row r="18" spans="1:25" ht="18" customHeight="1">
      <c r="A18" s="804" t="s">
        <v>1852</v>
      </c>
      <c r="B18" s="785" t="s">
        <v>651</v>
      </c>
      <c r="C18" s="52">
        <f ca="1">ROUND(INDIRECT("'数据-取费表'!m"&amp;$G$1)*F18,0)</f>
        <v>0</v>
      </c>
      <c r="D18" s="785" t="s">
        <v>649</v>
      </c>
      <c r="E18" s="785" t="s">
        <v>650</v>
      </c>
      <c r="F18" s="810">
        <f ca="1">IF(INDIRECT("'数据-取费表'!c"&amp;$G$1)="住宅",'数据-取费表'!B34,0)</f>
        <v>0</v>
      </c>
      <c r="G18" s="1592"/>
      <c r="H18" s="798" t="s">
        <v>1829</v>
      </c>
      <c r="I18" s="799" t="s">
        <v>652</v>
      </c>
      <c r="J18" s="800">
        <f ca="1">ROUND(J19+J24+J25+J26,0)</f>
        <v>0</v>
      </c>
      <c r="K18" s="25" t="s">
        <v>653</v>
      </c>
      <c r="L18" s="1983"/>
      <c r="M18" s="55"/>
    </row>
    <row r="19" spans="1:25" s="2065" customFormat="1" ht="18" customHeight="1">
      <c r="A19" s="804" t="s">
        <v>1853</v>
      </c>
      <c r="B19" s="785" t="s">
        <v>654</v>
      </c>
      <c r="C19" s="52">
        <f ca="1">ROUND(F19*(INDIRECT("'数据-取费表'!k"&amp;$G$1)+INDIRECT("'数据-取费表'!S"&amp;$G$1))/10000,0)</f>
        <v>0</v>
      </c>
      <c r="D19" s="785" t="s">
        <v>655</v>
      </c>
      <c r="E19" s="785" t="s">
        <v>656</v>
      </c>
      <c r="F19" s="55">
        <f>'数据-取费表'!B35</f>
        <v>200</v>
      </c>
      <c r="G19" s="1593"/>
      <c r="H19" s="804" t="s">
        <v>2072</v>
      </c>
      <c r="I19" s="785" t="s">
        <v>657</v>
      </c>
      <c r="J19" s="52">
        <f ca="1">ROUND(IF(项目基本情况!B11="自然人",J7*M19,J20+J21+J22),0)</f>
        <v>0</v>
      </c>
      <c r="K19" s="1980" t="s">
        <v>658</v>
      </c>
      <c r="L19" s="1978" t="s">
        <v>659</v>
      </c>
      <c r="M19" s="811"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4" t="s">
        <v>1854</v>
      </c>
      <c r="B20" s="785" t="s">
        <v>660</v>
      </c>
      <c r="C20" s="52">
        <f ca="1">ROUND(C16*F20,0)</f>
        <v>0</v>
      </c>
      <c r="D20" s="785" t="s">
        <v>649</v>
      </c>
      <c r="E20" s="785" t="s">
        <v>650</v>
      </c>
      <c r="F20" s="810">
        <f>'数据-取费表'!B36</f>
        <v>1.4999999999999999E-2</v>
      </c>
      <c r="G20" s="1593"/>
      <c r="H20" s="804" t="s">
        <v>1833</v>
      </c>
      <c r="I20" s="785" t="s">
        <v>661</v>
      </c>
      <c r="J20" s="52">
        <f ca="1">ROUND(J7*M20/1.05,1)</f>
        <v>0</v>
      </c>
      <c r="K20" s="1978" t="s">
        <v>662</v>
      </c>
      <c r="L20" s="785" t="s">
        <v>650</v>
      </c>
      <c r="M20" s="810">
        <f>'数据-取费表'!B41</f>
        <v>5.6000000000000001E-2</v>
      </c>
      <c r="N20" s="2064"/>
      <c r="O20" s="2064"/>
      <c r="P20" s="2064"/>
      <c r="Q20" s="2064"/>
      <c r="R20" s="2064"/>
      <c r="S20" s="2064"/>
      <c r="T20" s="2064"/>
      <c r="U20" s="2064"/>
      <c r="V20" s="2064"/>
      <c r="W20" s="2064"/>
      <c r="X20" s="2064"/>
      <c r="Y20" s="2064"/>
    </row>
    <row r="21" spans="1:25" ht="18" customHeight="1">
      <c r="A21" s="804" t="s">
        <v>1878</v>
      </c>
      <c r="B21" s="785" t="s">
        <v>663</v>
      </c>
      <c r="C21" s="52">
        <f ca="1">SUM(C16:C20)</f>
        <v>0</v>
      </c>
      <c r="D21" s="260" t="s">
        <v>664</v>
      </c>
      <c r="E21" s="1983"/>
      <c r="F21" s="55"/>
      <c r="G21" s="1592"/>
      <c r="H21" s="1831" t="s">
        <v>1851</v>
      </c>
      <c r="I21" s="785" t="s">
        <v>665</v>
      </c>
      <c r="J21" s="52">
        <f ca="1">IF(K21="按租金收入计税",ROUND(J7*M21,1),ROUND(C31*F35*0.7,1))</f>
        <v>0</v>
      </c>
      <c r="K21" s="812" t="s">
        <v>666</v>
      </c>
      <c r="L21" s="785" t="s">
        <v>650</v>
      </c>
      <c r="M21" s="810">
        <f>IF(K21="按租金收入计税",'数据-取费表'!B51,'数据-取费表'!B50)</f>
        <v>1.2E-2</v>
      </c>
    </row>
    <row r="22" spans="1:25" s="2065" customFormat="1" ht="18" customHeight="1">
      <c r="A22" s="804" t="s">
        <v>1879</v>
      </c>
      <c r="B22" s="785" t="s">
        <v>667</v>
      </c>
      <c r="C22" s="52">
        <f ca="1">ROUND(C21*F22,0)</f>
        <v>0</v>
      </c>
      <c r="D22" s="813" t="s">
        <v>668</v>
      </c>
      <c r="E22" s="785" t="s">
        <v>650</v>
      </c>
      <c r="F22" s="810">
        <f>'数据-取费表'!B37</f>
        <v>1.4999999999999999E-2</v>
      </c>
      <c r="G22" s="1593"/>
      <c r="H22" s="1833" t="s">
        <v>1852</v>
      </c>
      <c r="I22" s="1823" t="s">
        <v>669</v>
      </c>
      <c r="J22" s="53">
        <f ca="1">ROUND(M22*M23/10000,0)</f>
        <v>0</v>
      </c>
      <c r="K22" s="815" t="s">
        <v>670</v>
      </c>
      <c r="L22" s="785" t="s">
        <v>671</v>
      </c>
      <c r="M22" s="641">
        <f>'数据-取费表'!B52</f>
        <v>16</v>
      </c>
      <c r="N22" s="2064"/>
      <c r="O22" s="2064"/>
      <c r="P22" s="2064"/>
      <c r="Q22" s="2064"/>
      <c r="R22" s="2064"/>
      <c r="S22" s="2064"/>
      <c r="T22" s="2064"/>
      <c r="U22" s="2064"/>
      <c r="V22" s="2064"/>
      <c r="W22" s="2064"/>
      <c r="X22" s="2064"/>
      <c r="Y22" s="2064"/>
    </row>
    <row r="23" spans="1:25" s="2065" customFormat="1" ht="18" customHeight="1">
      <c r="A23" s="804" t="s">
        <v>1880</v>
      </c>
      <c r="B23" s="785" t="s">
        <v>672</v>
      </c>
      <c r="C23" s="52" t="s">
        <v>1</v>
      </c>
      <c r="D23" s="813" t="s">
        <v>673</v>
      </c>
      <c r="E23" s="785" t="s">
        <v>674</v>
      </c>
      <c r="F23" s="810">
        <f>'数据-取费表'!B38</f>
        <v>1.4999999999999999E-2</v>
      </c>
      <c r="G23" s="1593"/>
      <c r="H23" s="1834"/>
      <c r="I23" s="1825"/>
      <c r="J23" s="68"/>
      <c r="K23" s="817"/>
      <c r="L23" s="785" t="s">
        <v>675</v>
      </c>
      <c r="M23" s="786">
        <f ca="1">INDIRECT("'数据-取费表'!r"&amp;$G$1)</f>
        <v>0</v>
      </c>
      <c r="N23" s="2064"/>
      <c r="O23" s="2064"/>
      <c r="P23" s="2064"/>
      <c r="Q23" s="2064"/>
      <c r="R23" s="2064"/>
      <c r="S23" s="2064"/>
      <c r="T23" s="2064"/>
      <c r="U23" s="2064"/>
      <c r="V23" s="2064"/>
      <c r="W23" s="2064"/>
      <c r="X23" s="2064"/>
      <c r="Y23" s="2064"/>
    </row>
    <row r="24" spans="1:25" ht="18" customHeight="1">
      <c r="A24" s="804" t="s">
        <v>1881</v>
      </c>
      <c r="B24" s="785" t="s">
        <v>676</v>
      </c>
      <c r="C24" s="52"/>
      <c r="D24" s="2594" t="str">
        <f>IF(F25&lt;=1,"单利计息。","复利计息。")&amp;"建造成本、管理费用、销售费用产生的利息。"</f>
        <v>复利计息。建造成本、管理费用、销售费用产生的利息。</v>
      </c>
      <c r="E24" s="1983"/>
      <c r="F24" s="55"/>
      <c r="G24" s="1592"/>
      <c r="H24" s="1832" t="s">
        <v>2073</v>
      </c>
      <c r="I24" s="785" t="s">
        <v>677</v>
      </c>
      <c r="J24" s="52">
        <f ca="1">ROUND(J16*M24,0)</f>
        <v>0</v>
      </c>
      <c r="K24" s="1978" t="s">
        <v>678</v>
      </c>
      <c r="L24" s="785" t="s">
        <v>650</v>
      </c>
      <c r="M24" s="818">
        <f ca="1">INDIRECT("'数据-取费表'!Ak"&amp;$G$1)</f>
        <v>0</v>
      </c>
    </row>
    <row r="25" spans="1:25" s="2065" customFormat="1" ht="18" customHeight="1">
      <c r="A25" s="804" t="s">
        <v>1877</v>
      </c>
      <c r="B25" s="785" t="s">
        <v>2441</v>
      </c>
      <c r="C25" s="52">
        <f ca="1">ROUND(IF('数据-取费表'!B22&lt;=1,(C21+C22)*F26*F25/2,(C21+C22)*(POWER((1+F26),F25/2)-1)),0)</f>
        <v>0</v>
      </c>
      <c r="D25" s="2593" t="str">
        <f>IF(F25&lt;=1,"(建造成本+管理费用)×利率×(建设周期÷2)","(建造成本+管理费用)×((1+利率)^(建设周期÷2)-1)")</f>
        <v>(建造成本+管理费用)×((1+利率)^(建设周期÷2)-1)</v>
      </c>
      <c r="E25" s="785" t="s">
        <v>679</v>
      </c>
      <c r="F25" s="641">
        <f>'数据-取费表'!B20</f>
        <v>2</v>
      </c>
      <c r="G25" s="1593"/>
      <c r="H25" s="804" t="s">
        <v>1880</v>
      </c>
      <c r="I25" s="785" t="s">
        <v>680</v>
      </c>
      <c r="J25" s="52">
        <f ca="1">ROUND(J15*M25,0)</f>
        <v>0</v>
      </c>
      <c r="K25" s="1978" t="s">
        <v>681</v>
      </c>
      <c r="L25" s="785" t="s">
        <v>650</v>
      </c>
      <c r="M25" s="819">
        <f ca="1">INDIRECT("'数据-取费表'!Al"&amp;$G$1)</f>
        <v>0</v>
      </c>
      <c r="N25" s="2064"/>
      <c r="O25" s="2064"/>
      <c r="P25" s="2064"/>
      <c r="Q25" s="2064"/>
      <c r="R25" s="2064"/>
      <c r="S25" s="2064"/>
      <c r="T25" s="2064"/>
      <c r="U25" s="2064"/>
      <c r="V25" s="2064"/>
      <c r="W25" s="2064"/>
      <c r="X25" s="2064"/>
      <c r="Y25" s="2064"/>
    </row>
    <row r="26" spans="1:25" s="2065" customFormat="1" ht="18" customHeight="1">
      <c r="A26" s="804" t="s">
        <v>1851</v>
      </c>
      <c r="B26" s="785" t="s">
        <v>682</v>
      </c>
      <c r="C26" s="52">
        <f ca="1">ROUND(IF('数据-取费表'!B22&lt;=1,F23*F26*F25/2,F23*(POWER((1+F26),F25/2)-1)),4)</f>
        <v>6.9999999999999999E-4</v>
      </c>
      <c r="D26" s="2593" t="str">
        <f>IF(F25&lt;=1,"销售费用×利率×(建设周期÷2)","销售费用×((1+利率)^(建设周期÷2)-1)")</f>
        <v>销售费用×((1+利率)^(建设周期÷2)-1)</v>
      </c>
      <c r="E26" s="785" t="s">
        <v>683</v>
      </c>
      <c r="F26" s="820">
        <f ca="1">'数据-取费表'!B40</f>
        <v>4.7500000000000001E-2</v>
      </c>
      <c r="G26" s="1593"/>
      <c r="H26" s="804" t="s">
        <v>1881</v>
      </c>
      <c r="I26" s="785" t="s">
        <v>667</v>
      </c>
      <c r="J26" s="52">
        <f ca="1">ROUND(J7*M26,0)</f>
        <v>0</v>
      </c>
      <c r="K26" s="1978" t="s">
        <v>684</v>
      </c>
      <c r="L26" s="785" t="s">
        <v>650</v>
      </c>
      <c r="M26" s="795">
        <f ca="1">INDIRECT("'数据-取费表'!Am"&amp;$G$1)</f>
        <v>0</v>
      </c>
      <c r="N26" s="2064"/>
      <c r="O26" s="2064"/>
      <c r="P26" s="2064"/>
      <c r="Q26" s="2064"/>
      <c r="R26" s="2064"/>
      <c r="S26" s="2064"/>
      <c r="T26" s="2064"/>
      <c r="U26" s="2064"/>
      <c r="V26" s="2064"/>
      <c r="W26" s="2064"/>
      <c r="X26" s="2064"/>
      <c r="Y26" s="2064"/>
    </row>
    <row r="27" spans="1:25" ht="18" customHeight="1">
      <c r="A27" s="804" t="s">
        <v>1883</v>
      </c>
      <c r="B27" s="785" t="s">
        <v>685</v>
      </c>
      <c r="C27" s="52"/>
      <c r="D27" s="260" t="s">
        <v>686</v>
      </c>
      <c r="E27" s="1983"/>
      <c r="F27" s="55"/>
      <c r="G27" s="1592"/>
      <c r="H27" s="798" t="s">
        <v>1830</v>
      </c>
      <c r="I27" s="3035" t="s">
        <v>2830</v>
      </c>
      <c r="J27" s="800">
        <f ca="1">J7-J18</f>
        <v>0</v>
      </c>
      <c r="K27" s="1980" t="s">
        <v>701</v>
      </c>
      <c r="L27" s="1982"/>
      <c r="M27" s="821"/>
    </row>
    <row r="28" spans="1:25" ht="18" customHeight="1">
      <c r="A28" s="804" t="s">
        <v>1877</v>
      </c>
      <c r="B28" s="785" t="s">
        <v>2442</v>
      </c>
      <c r="C28" s="52">
        <f ca="1">ROUND((C21+C22)*F28,0)</f>
        <v>0</v>
      </c>
      <c r="D28" s="813" t="s">
        <v>702</v>
      </c>
      <c r="E28" s="796" t="s">
        <v>703</v>
      </c>
      <c r="F28" s="795">
        <f ca="1">INDIRECT("'数据-取费表'!q"&amp;$G$1)</f>
        <v>0</v>
      </c>
      <c r="G28" s="1592"/>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2">
        <f ca="1">ROUND(F23*F28,4)</f>
        <v>0</v>
      </c>
      <c r="D29" s="813" t="s">
        <v>707</v>
      </c>
      <c r="E29" s="807"/>
      <c r="F29" s="808"/>
      <c r="G29" s="1592"/>
      <c r="H29" s="787"/>
      <c r="I29" s="788"/>
      <c r="J29" s="789"/>
      <c r="K29" s="822" t="s">
        <v>708</v>
      </c>
      <c r="L29" s="785" t="s">
        <v>709</v>
      </c>
      <c r="M29" s="823">
        <f ca="1">INDIRECT("'数据-取费表'!ag"&amp;$G$1)</f>
        <v>0</v>
      </c>
    </row>
    <row r="30" spans="1:25" s="2065" customFormat="1" ht="18" customHeight="1">
      <c r="A30" s="804" t="s">
        <v>1884</v>
      </c>
      <c r="B30" s="785" t="s">
        <v>688</v>
      </c>
      <c r="C30" s="52">
        <f>ROUND(F30/(1+'数据-取费表'!C42),4)</f>
        <v>5.33E-2</v>
      </c>
      <c r="D30" s="813" t="s">
        <v>710</v>
      </c>
      <c r="E30" s="785" t="s">
        <v>650</v>
      </c>
      <c r="F30" s="810">
        <f>'数据-取费表'!B41</f>
        <v>5.6000000000000001E-2</v>
      </c>
      <c r="G30" s="1593"/>
      <c r="H30" s="791"/>
      <c r="I30" s="792"/>
      <c r="J30" s="793"/>
      <c r="K30" s="817"/>
      <c r="L30" s="785" t="s">
        <v>711</v>
      </c>
      <c r="M30" s="795">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2" t="s">
        <v>1885</v>
      </c>
      <c r="B31" s="2563" t="s">
        <v>2831</v>
      </c>
      <c r="C31" s="2566">
        <f ca="1">ROUND((C21+C22+C25+C28)/(1-F23-C26-C29-C30),0)</f>
        <v>0</v>
      </c>
      <c r="D31" s="2567"/>
      <c r="E31" s="2568"/>
      <c r="F31" s="2569"/>
      <c r="G31" s="1593"/>
      <c r="H31" s="824" t="s">
        <v>1874</v>
      </c>
      <c r="I31" s="3036" t="s">
        <v>2832</v>
      </c>
      <c r="J31" s="826">
        <f ca="1">ROUND(J28/(1+F45)^F46,0)</f>
        <v>0</v>
      </c>
      <c r="K31" s="827" t="s">
        <v>689</v>
      </c>
      <c r="L31" s="828"/>
      <c r="M31" s="829">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3">
        <f ca="1">ROUND(C33+C38+C39+C40,0)</f>
        <v>0</v>
      </c>
      <c r="D32" s="1822" t="s">
        <v>653</v>
      </c>
      <c r="E32" s="2509"/>
      <c r="F32" s="2513"/>
      <c r="G32" s="2063"/>
      <c r="H32" s="2066"/>
      <c r="I32" s="2067"/>
      <c r="J32" s="2068"/>
      <c r="K32" s="2069"/>
      <c r="L32" s="2070"/>
      <c r="M32" s="2071"/>
    </row>
    <row r="33" spans="1:18" ht="18" customHeight="1">
      <c r="A33" s="804" t="s">
        <v>1878</v>
      </c>
      <c r="B33" s="785" t="s">
        <v>657</v>
      </c>
      <c r="C33" s="52">
        <f ca="1">ROUND(IF(项目基本情况!B11="自然人",C7*F33,C34+C35+C36),1)</f>
        <v>0</v>
      </c>
      <c r="D33" s="1980" t="s">
        <v>658</v>
      </c>
      <c r="E33" s="1978" t="s">
        <v>691</v>
      </c>
      <c r="F33" s="811" t="str">
        <f ca="1">IF(项目基本情况!B11="企业","",IF(INDIRECT("'数据-取费表'!c"&amp;$G$1)="住宅",5%,IF(F8*F9*F10/12/(1+'数据-取费表'!C42)&gt;20000,12%,7%)))</f>
        <v/>
      </c>
      <c r="G33" s="2063"/>
      <c r="H33" s="2066"/>
      <c r="I33" s="2067"/>
      <c r="J33" s="2068"/>
      <c r="K33" s="2069"/>
      <c r="L33" s="2070"/>
      <c r="M33" s="2071"/>
    </row>
    <row r="34" spans="1:18" ht="18" customHeight="1">
      <c r="A34" s="804" t="s">
        <v>1877</v>
      </c>
      <c r="B34" s="785" t="s">
        <v>661</v>
      </c>
      <c r="C34" s="52">
        <f ca="1">ROUND(C7*F34/1.05,1)</f>
        <v>0</v>
      </c>
      <c r="D34" s="1978" t="s">
        <v>662</v>
      </c>
      <c r="E34" s="785" t="s">
        <v>650</v>
      </c>
      <c r="F34" s="810">
        <f>'数据-取费表'!B41</f>
        <v>5.6000000000000001E-2</v>
      </c>
      <c r="G34" s="2063"/>
      <c r="H34" s="2072"/>
      <c r="I34" s="2073"/>
      <c r="J34" s="2074"/>
      <c r="K34" s="2075"/>
      <c r="L34" s="2076"/>
      <c r="M34" s="2077"/>
    </row>
    <row r="35" spans="1:18" ht="18" customHeight="1">
      <c r="A35" s="804" t="s">
        <v>1851</v>
      </c>
      <c r="B35" s="785" t="s">
        <v>665</v>
      </c>
      <c r="C35" s="52">
        <f ca="1">IF(D35="按租金收入计税",ROUND(C7*F35,1),IF(D35="按房产原值计税",ROUND(C31*F35*0.7,1),INDIRECT("'数据-取费表'!Aj"&amp;$G$1)))</f>
        <v>0</v>
      </c>
      <c r="D35" s="812" t="s">
        <v>1682</v>
      </c>
      <c r="E35" s="785" t="s">
        <v>650</v>
      </c>
      <c r="F35" s="810">
        <f>IF(D35="按租金收入计税",'数据-取费表'!B51,'数据-取费表'!B50)</f>
        <v>1.2E-2</v>
      </c>
      <c r="G35" s="2063"/>
      <c r="H35" s="2078"/>
      <c r="I35" s="2078"/>
      <c r="J35" s="2078"/>
      <c r="K35" s="2079"/>
      <c r="L35" s="2078"/>
      <c r="M35" s="2078"/>
    </row>
    <row r="36" spans="1:18" ht="18" customHeight="1">
      <c r="A36" s="814" t="s">
        <v>1882</v>
      </c>
      <c r="B36" s="343" t="s">
        <v>669</v>
      </c>
      <c r="C36" s="53">
        <f ca="1">ROUND(F36*F37/10000,1)</f>
        <v>0</v>
      </c>
      <c r="D36" s="815" t="s">
        <v>670</v>
      </c>
      <c r="E36" s="785" t="s">
        <v>671</v>
      </c>
      <c r="F36" s="641">
        <f>'数据-取费表'!B52</f>
        <v>16</v>
      </c>
      <c r="G36" s="2063"/>
      <c r="H36" s="2066"/>
      <c r="I36" s="3466"/>
      <c r="J36" s="2080"/>
      <c r="K36" s="2081"/>
      <c r="L36" s="2080"/>
      <c r="M36" s="2080"/>
    </row>
    <row r="37" spans="1:18" ht="18" customHeight="1">
      <c r="A37" s="816"/>
      <c r="B37" s="794"/>
      <c r="C37" s="68"/>
      <c r="D37" s="817"/>
      <c r="E37" s="785" t="s">
        <v>675</v>
      </c>
      <c r="F37" s="786">
        <f ca="1">INDIRECT("'数据-取费表'!r"&amp;$G$1)</f>
        <v>0</v>
      </c>
      <c r="G37" s="2063"/>
      <c r="H37" s="2066"/>
      <c r="I37" s="3466"/>
      <c r="J37" s="2078"/>
      <c r="K37" s="2079"/>
      <c r="L37" s="2078"/>
      <c r="M37" s="2078"/>
    </row>
    <row r="38" spans="1:18" ht="18" customHeight="1">
      <c r="A38" s="804" t="s">
        <v>1879</v>
      </c>
      <c r="B38" s="785" t="s">
        <v>677</v>
      </c>
      <c r="C38" s="52">
        <f ca="1">ROUND(C31*F38,1)</f>
        <v>0</v>
      </c>
      <c r="D38" s="1978" t="s">
        <v>692</v>
      </c>
      <c r="E38" s="785" t="s">
        <v>650</v>
      </c>
      <c r="F38" s="818">
        <f ca="1">INDIRECT("'数据-取费表'!Ak"&amp;$G$1)</f>
        <v>0</v>
      </c>
      <c r="G38" s="2063"/>
      <c r="H38" s="2078"/>
      <c r="I38" s="2082"/>
      <c r="J38" s="1989"/>
      <c r="K38" s="2083"/>
      <c r="L38" s="2078"/>
      <c r="M38" s="2078"/>
    </row>
    <row r="39" spans="1:18" ht="18" customHeight="1">
      <c r="A39" s="804" t="s">
        <v>1880</v>
      </c>
      <c r="B39" s="785" t="s">
        <v>680</v>
      </c>
      <c r="C39" s="52">
        <f ca="1">ROUND(C15*F39,1)</f>
        <v>0</v>
      </c>
      <c r="D39" s="1978" t="s">
        <v>681</v>
      </c>
      <c r="E39" s="785" t="s">
        <v>650</v>
      </c>
      <c r="F39" s="819">
        <f ca="1">INDIRECT("'数据-取费表'!Al"&amp;$G$1)</f>
        <v>0</v>
      </c>
      <c r="G39" s="2063"/>
      <c r="H39" s="2078"/>
      <c r="I39" s="2082"/>
      <c r="J39" s="1989"/>
      <c r="K39" s="2083"/>
      <c r="L39" s="2078"/>
      <c r="M39" s="2078"/>
    </row>
    <row r="40" spans="1:18" ht="18" customHeight="1" thickBot="1">
      <c r="A40" s="2582" t="s">
        <v>1881</v>
      </c>
      <c r="B40" s="2568" t="s">
        <v>667</v>
      </c>
      <c r="C40" s="2566">
        <f ca="1">ROUND(C7*F40,1)</f>
        <v>0</v>
      </c>
      <c r="D40" s="2567" t="s">
        <v>684</v>
      </c>
      <c r="E40" s="2568" t="s">
        <v>650</v>
      </c>
      <c r="F40" s="2564">
        <f ca="1">INDIRECT("'数据-取费表'!Am"&amp;$G$1)</f>
        <v>0</v>
      </c>
      <c r="G40" s="2063"/>
      <c r="H40" s="2078"/>
      <c r="I40" s="2082"/>
      <c r="J40" s="1989"/>
      <c r="K40" s="2084"/>
      <c r="L40" s="2078"/>
      <c r="M40" s="2078"/>
    </row>
    <row r="41" spans="1:18" ht="18" customHeight="1" thickTop="1">
      <c r="A41" s="1830">
        <v>4</v>
      </c>
      <c r="B41" s="1828" t="s">
        <v>693</v>
      </c>
      <c r="C41" s="1352"/>
      <c r="D41" s="1353"/>
      <c r="E41" s="1353"/>
      <c r="F41" s="1354"/>
      <c r="G41" s="2063"/>
      <c r="H41" s="2063"/>
      <c r="I41" s="2063"/>
      <c r="J41" s="2063"/>
      <c r="K41" s="2084"/>
      <c r="L41" s="2063"/>
      <c r="M41" s="2063"/>
    </row>
    <row r="42" spans="1:18" ht="18" customHeight="1">
      <c r="A42" s="804" t="s">
        <v>1878</v>
      </c>
      <c r="B42" s="836" t="s">
        <v>694</v>
      </c>
      <c r="C42" s="830">
        <f ca="1">C7-C32</f>
        <v>0</v>
      </c>
      <c r="D42" s="1980" t="s">
        <v>695</v>
      </c>
      <c r="E42" s="1982"/>
      <c r="F42" s="821"/>
      <c r="G42" s="2063"/>
      <c r="H42" s="2063"/>
      <c r="I42" s="2063"/>
      <c r="J42" s="2063"/>
      <c r="K42" s="2084"/>
      <c r="L42" s="2063"/>
      <c r="M42" s="2063"/>
    </row>
    <row r="43" spans="1:18" ht="18" customHeight="1">
      <c r="A43" s="804" t="s">
        <v>1879</v>
      </c>
      <c r="B43" s="836" t="s">
        <v>712</v>
      </c>
      <c r="C43" s="837">
        <f ca="1">ROUND(C15*F43,0)</f>
        <v>0</v>
      </c>
      <c r="D43" s="1355" t="s">
        <v>713</v>
      </c>
      <c r="E43" s="3153" t="s">
        <v>2973</v>
      </c>
      <c r="F43" s="3154">
        <f ca="1">INDIRECT("'数据-取费表'!j"&amp;$G$1)</f>
        <v>0</v>
      </c>
      <c r="G43" s="2063"/>
      <c r="H43" s="2063"/>
      <c r="I43" s="2063"/>
      <c r="J43" s="2063"/>
      <c r="K43" s="2084"/>
      <c r="L43" s="2063"/>
      <c r="M43" s="2063"/>
    </row>
    <row r="44" spans="1:18" ht="18" customHeight="1">
      <c r="A44" s="804" t="s">
        <v>1880</v>
      </c>
      <c r="B44" s="836" t="s">
        <v>714</v>
      </c>
      <c r="C44" s="1356">
        <f ca="1">C42-C43</f>
        <v>0</v>
      </c>
      <c r="D44" s="465" t="s">
        <v>715</v>
      </c>
      <c r="E44" s="466"/>
      <c r="F44" s="467"/>
      <c r="G44" s="2063"/>
      <c r="H44" s="2063"/>
      <c r="I44" s="2063"/>
      <c r="J44" s="2063"/>
      <c r="K44" s="2084"/>
      <c r="L44" s="2063"/>
      <c r="M44" s="2063"/>
    </row>
    <row r="45" spans="1:18" ht="18" customHeight="1">
      <c r="A45" s="804" t="s">
        <v>1881</v>
      </c>
      <c r="B45" s="1355" t="s">
        <v>716</v>
      </c>
      <c r="C45" s="3062">
        <f ca="1">ROUND(-PV(F45,F46,C44,0),0)</f>
        <v>0</v>
      </c>
      <c r="D45" s="1357" t="s">
        <v>717</v>
      </c>
      <c r="E45" s="807" t="s">
        <v>718</v>
      </c>
      <c r="F45" s="831">
        <f ca="1">INDIRECT("'数据-取费表'!h"&amp;$G$1)</f>
        <v>0</v>
      </c>
      <c r="G45" s="2063"/>
      <c r="H45" s="2063"/>
      <c r="I45" s="2063"/>
      <c r="J45" s="2063"/>
      <c r="K45" s="2084"/>
      <c r="L45" s="2063"/>
      <c r="M45" s="2063"/>
    </row>
    <row r="46" spans="1:18" ht="18" customHeight="1" thickBot="1">
      <c r="A46" s="832"/>
      <c r="B46" s="1358"/>
      <c r="C46" s="1359"/>
      <c r="D46" s="1360"/>
      <c r="E46" s="3155" t="s">
        <v>2976</v>
      </c>
      <c r="F46" s="829">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6" t="s">
        <v>2346</v>
      </c>
      <c r="J47" s="2377"/>
      <c r="K47" s="2378"/>
      <c r="L47" s="2379" t="str">
        <f ca="1">IF(M48="住宅",0,IF(L49&gt;J52,L61,J61))</f>
        <v>0</v>
      </c>
      <c r="O47" s="2416" t="s">
        <v>2414</v>
      </c>
      <c r="P47" s="1592"/>
      <c r="Q47" s="1604"/>
      <c r="R47" s="1592"/>
    </row>
    <row r="48" spans="1:18" s="2060" customFormat="1" ht="18" customHeight="1" thickBot="1">
      <c r="A48" s="2085"/>
      <c r="C48" s="2088"/>
      <c r="D48" s="2089"/>
      <c r="E48" s="2089"/>
      <c r="F48" s="2090"/>
      <c r="G48" s="2091"/>
      <c r="I48" s="2380" t="s">
        <v>2347</v>
      </c>
      <c r="J48" s="2385"/>
      <c r="K48" s="2386" t="s">
        <v>2353</v>
      </c>
      <c r="L48" s="2387">
        <f ca="1">INDIRECT("'数据-取费表'!d"&amp;$G$1)</f>
        <v>0</v>
      </c>
      <c r="M48" s="3150" t="str">
        <f>IF(ISNUMBER(FIND("住宅",C1)),"住宅","非住宅")</f>
        <v>非住宅</v>
      </c>
      <c r="O48" s="2417" t="s">
        <v>2379</v>
      </c>
      <c r="P48" s="2418" t="s">
        <v>2380</v>
      </c>
      <c r="Q48" s="2419" t="s">
        <v>2381</v>
      </c>
      <c r="R48" s="2418" t="s">
        <v>2382</v>
      </c>
    </row>
    <row r="49" spans="1:18" s="2060" customFormat="1" ht="18" customHeight="1" thickBot="1">
      <c r="A49" s="2085"/>
      <c r="D49" s="2092"/>
      <c r="E49" s="2093"/>
      <c r="F49" s="2090"/>
      <c r="G49" s="2091"/>
      <c r="H49" s="2094"/>
      <c r="I49" s="2381" t="s">
        <v>2348</v>
      </c>
      <c r="J49" s="2388"/>
      <c r="K49" s="2389" t="s">
        <v>2355</v>
      </c>
      <c r="L49" s="2390">
        <f ca="1">INDIRECT("'数据-取费表'!f"&amp;$G$1)</f>
        <v>0</v>
      </c>
      <c r="O49" s="2420" t="s">
        <v>2383</v>
      </c>
      <c r="P49" s="2421" t="s">
        <v>2409</v>
      </c>
      <c r="Q49" s="2422">
        <f ca="1">C41+J31</f>
        <v>0</v>
      </c>
      <c r="R49" s="2421" t="s">
        <v>2384</v>
      </c>
    </row>
    <row r="50" spans="1:18" s="2060" customFormat="1" ht="18" customHeight="1" thickBot="1">
      <c r="A50" s="2085"/>
      <c r="D50" s="2095"/>
      <c r="E50" s="2095"/>
      <c r="F50" s="2089"/>
      <c r="G50" s="2096"/>
      <c r="H50" s="2094"/>
      <c r="I50" s="2381" t="s">
        <v>2349</v>
      </c>
      <c r="J50" s="2391"/>
      <c r="K50" s="2392" t="s">
        <v>2356</v>
      </c>
      <c r="L50" s="2393"/>
      <c r="O50" s="2420" t="s">
        <v>2385</v>
      </c>
      <c r="P50" s="2421" t="s">
        <v>2410</v>
      </c>
      <c r="Q50" s="2422" t="str">
        <f ca="1">J61</f>
        <v>0</v>
      </c>
      <c r="R50" s="2421" t="s">
        <v>2386</v>
      </c>
    </row>
    <row r="51" spans="1:18" s="2060" customFormat="1" ht="18" customHeight="1" thickBot="1">
      <c r="A51" s="2097"/>
      <c r="D51" s="2095"/>
      <c r="E51" s="2095"/>
      <c r="F51" s="2086"/>
      <c r="H51" s="2094"/>
      <c r="I51" s="2381" t="s">
        <v>2350</v>
      </c>
      <c r="J51" s="2394">
        <f>SUMPRODUCT((I64:I66=J48)*(J63:L63=J49)*(J64:L66))</f>
        <v>0</v>
      </c>
      <c r="K51" s="2392" t="s">
        <v>2357</v>
      </c>
      <c r="L51" s="2393"/>
      <c r="O51" s="2423" t="s">
        <v>2387</v>
      </c>
      <c r="P51" s="2421" t="s">
        <v>2411</v>
      </c>
      <c r="Q51" s="2422">
        <f ca="1">C31</f>
        <v>0</v>
      </c>
      <c r="R51" s="2421" t="s">
        <v>2384</v>
      </c>
    </row>
    <row r="52" spans="1:18" s="2060" customFormat="1" ht="18" customHeight="1" thickBot="1">
      <c r="A52" s="2097"/>
      <c r="F52" s="2086"/>
      <c r="I52" s="2382" t="s">
        <v>2351</v>
      </c>
      <c r="J52" s="2395">
        <f>IF(J50="",J51,J50+J51-YEAR('数据-取费表'!B3))</f>
        <v>0</v>
      </c>
      <c r="K52" s="2381" t="s">
        <v>2358</v>
      </c>
      <c r="L52" s="2396">
        <f ca="1">ROUND(-PV(INDIRECT("'数据-取费表'!h"&amp;$G$1),L49,(C40-C14*J36),0),0)</f>
        <v>0</v>
      </c>
      <c r="O52" s="2423" t="s">
        <v>2388</v>
      </c>
      <c r="P52" s="2421" t="s">
        <v>2389</v>
      </c>
      <c r="Q52" s="2424" t="e">
        <f ca="1">J59</f>
        <v>#VALUE!</v>
      </c>
      <c r="R52" s="2425"/>
    </row>
    <row r="53" spans="1:18" s="2060" customFormat="1" ht="18" customHeight="1" thickBot="1">
      <c r="A53" s="2097"/>
      <c r="F53" s="2086"/>
      <c r="I53" s="2383" t="s">
        <v>2425</v>
      </c>
      <c r="J53" s="2397"/>
      <c r="K53" s="2383" t="s">
        <v>2424</v>
      </c>
      <c r="L53" s="2397"/>
      <c r="O53" s="2423" t="s">
        <v>2390</v>
      </c>
      <c r="P53" s="2421" t="s">
        <v>2391</v>
      </c>
      <c r="Q53" s="2424">
        <f>J53</f>
        <v>0</v>
      </c>
      <c r="R53" s="2425"/>
    </row>
    <row r="54" spans="1:18" s="2060" customFormat="1" ht="43.5" thickBot="1">
      <c r="A54" s="2097"/>
      <c r="I54" s="2384" t="s">
        <v>2352</v>
      </c>
      <c r="J54" s="2398">
        <f ca="1">IF(M48="住宅",J52,IF(J52&gt;L49,L49-'数据-取费表'!B25,J52))</f>
        <v>0</v>
      </c>
      <c r="K54" s="3471"/>
      <c r="L54" s="3472"/>
      <c r="O54" s="2423" t="s">
        <v>2392</v>
      </c>
      <c r="P54" s="2421" t="s">
        <v>2393</v>
      </c>
      <c r="Q54" s="2422">
        <f ca="1">J54</f>
        <v>0</v>
      </c>
      <c r="R54" s="2421" t="s">
        <v>2394</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0" t="s">
        <v>2395</v>
      </c>
      <c r="P55" s="2421" t="s">
        <v>2412</v>
      </c>
      <c r="Q55" s="2422">
        <f ca="1">Q49+Q50</f>
        <v>0</v>
      </c>
      <c r="R55" s="2425" t="s">
        <v>2396</v>
      </c>
    </row>
    <row r="56" spans="1:18" s="2060" customFormat="1" ht="16.5" thickBot="1">
      <c r="A56" s="2097"/>
      <c r="B56" s="2098"/>
      <c r="C56" s="2098"/>
      <c r="I56" s="3127" t="s">
        <v>2359</v>
      </c>
      <c r="J56" s="3151" t="e">
        <f ca="1">ROUND(IF(J48="钢混",J58/J51,1-(1-2%)*(J51-J58)/J51),3)</f>
        <v>#VALUE!</v>
      </c>
      <c r="K56" s="2399" t="s">
        <v>2360</v>
      </c>
      <c r="L56" s="2400"/>
      <c r="O56" s="2426" t="s">
        <v>2415</v>
      </c>
      <c r="P56" s="1592"/>
      <c r="Q56" s="1604"/>
      <c r="R56" s="1592"/>
    </row>
    <row r="57" spans="1:18" s="2060" customFormat="1" ht="43.5" thickBot="1">
      <c r="A57" s="2097"/>
      <c r="B57" s="2098"/>
      <c r="C57" s="2098"/>
      <c r="I57" s="2401" t="s">
        <v>2361</v>
      </c>
      <c r="J57" s="3150" t="s">
        <v>1680</v>
      </c>
      <c r="K57" s="2381" t="s">
        <v>2366</v>
      </c>
      <c r="L57" s="2390">
        <f ca="1">IF(L49&lt;J52,"——",L49-J52)</f>
        <v>0</v>
      </c>
      <c r="O57" s="2417" t="s">
        <v>2379</v>
      </c>
      <c r="P57" s="2418" t="s">
        <v>2380</v>
      </c>
      <c r="Q57" s="2419" t="s">
        <v>2381</v>
      </c>
      <c r="R57" s="2418" t="s">
        <v>2382</v>
      </c>
    </row>
    <row r="58" spans="1:18" s="2060" customFormat="1" ht="29.25" thickBot="1">
      <c r="A58" s="2097"/>
      <c r="B58" s="2098"/>
      <c r="C58" s="2098"/>
      <c r="I58" s="2402" t="s">
        <v>2362</v>
      </c>
      <c r="J58" s="2404" t="str">
        <f ca="1">IF(OR(M48="住宅",J52&lt;L49,J57="是"),"——",J52-L49)</f>
        <v>——</v>
      </c>
      <c r="K58" s="2381" t="s">
        <v>2367</v>
      </c>
      <c r="L58" s="2390">
        <f ca="1">IF(L49&lt;J52,"——",IF(L56="比较法",L50,IF(L56="基准地价",L51,L52)))</f>
        <v>0</v>
      </c>
      <c r="O58" s="2420" t="s">
        <v>2383</v>
      </c>
      <c r="P58" s="2421" t="s">
        <v>2409</v>
      </c>
      <c r="Q58" s="2422">
        <f ca="1">C41+J31</f>
        <v>0</v>
      </c>
      <c r="R58" s="2421" t="s">
        <v>2384</v>
      </c>
    </row>
    <row r="59" spans="1:18" s="2060" customFormat="1" ht="29.25" thickBot="1">
      <c r="A59" s="2097"/>
      <c r="B59" s="2098"/>
      <c r="C59" s="2098"/>
      <c r="I59" s="2402" t="s">
        <v>2363</v>
      </c>
      <c r="J59" s="3152" t="e">
        <f ca="1">IF(J56&lt;0.4,0.4,J56)</f>
        <v>#VALUE!</v>
      </c>
      <c r="K59" s="2381" t="s">
        <v>2368</v>
      </c>
      <c r="L59" s="2390">
        <f ca="1">IF(ISERROR(POWER(1+L53,L48-L49)*(POWER(1+L53,L49)-1)/(POWER(1+L53,L48)-1)),0,POWER(1+L53,L48-L49)*(POWER(1+L53,L49)-1)/(POWER(1+L53,L48)-1))</f>
        <v>0</v>
      </c>
      <c r="O59" s="2420" t="s">
        <v>2385</v>
      </c>
      <c r="P59" s="2421" t="s">
        <v>2416</v>
      </c>
      <c r="Q59" s="2422" t="e">
        <f ca="1">L61</f>
        <v>#DIV/0!</v>
      </c>
      <c r="R59" s="2425" t="s">
        <v>2418</v>
      </c>
    </row>
    <row r="60" spans="1:18" s="2060" customFormat="1" ht="29.25" thickBot="1">
      <c r="A60" s="2097"/>
      <c r="B60" s="2098"/>
      <c r="C60" s="2098"/>
      <c r="I60" s="2402" t="s">
        <v>2364</v>
      </c>
      <c r="J60" s="2404" t="str">
        <f ca="1">IF(OR(M48="住宅",J52&lt;L49,J57="是"),"——",ROUND(C30*J59,0))</f>
        <v>——</v>
      </c>
      <c r="K60" s="2381" t="s">
        <v>2369</v>
      </c>
      <c r="L60" s="2390">
        <f ca="1">IF(ISERROR(POWER(1+L53,L48-J52)*(POWER(1+L53,J52)-1)/(POWER(1+L53,L48)-1)),0,POWER(1+L53,L48-J52)*(POWER(1+L53,J52)-1)/(POWER(1+L53,L48)-1))</f>
        <v>0</v>
      </c>
      <c r="O60" s="2423" t="s">
        <v>2387</v>
      </c>
      <c r="P60" s="2421" t="s">
        <v>2417</v>
      </c>
      <c r="Q60" s="2422">
        <f>IF(L56="比较法",L50,IF(L56="基准地价",L51,0))</f>
        <v>0</v>
      </c>
      <c r="R60" s="2421" t="s">
        <v>2384</v>
      </c>
    </row>
    <row r="61" spans="1:18" s="2060" customFormat="1" ht="15.75" thickBot="1">
      <c r="A61" s="2097"/>
      <c r="B61" s="2098"/>
      <c r="C61" s="2098"/>
      <c r="I61" s="2403" t="s">
        <v>2365</v>
      </c>
      <c r="J61" s="2405" t="str">
        <f ca="1">IF(OR(M48="住宅",J52&lt;L49,J57="是"),"0",ROUND(J60/(1+J53)^J54,0))</f>
        <v>0</v>
      </c>
      <c r="K61" s="2406" t="s">
        <v>2370</v>
      </c>
      <c r="L61" s="2405" t="e">
        <f ca="1">IF(OR(M48="住宅",L49&lt;J52),0,ROUND(L58*(L59/L60-1),0))</f>
        <v>#DIV/0!</v>
      </c>
      <c r="O61" s="2423" t="s">
        <v>2388</v>
      </c>
      <c r="P61" s="2421" t="s">
        <v>2397</v>
      </c>
      <c r="Q61" s="2424">
        <f>L53</f>
        <v>0</v>
      </c>
      <c r="R61" s="2425"/>
    </row>
    <row r="62" spans="1:18" s="2060" customFormat="1" ht="20.25" thickBot="1">
      <c r="A62" s="2097"/>
      <c r="B62" s="2098"/>
      <c r="C62" s="2098"/>
      <c r="K62" s="2087"/>
      <c r="O62" s="2423" t="s">
        <v>2390</v>
      </c>
      <c r="P62" s="2421" t="s">
        <v>2398</v>
      </c>
      <c r="Q62" s="2422">
        <f ca="1">L59</f>
        <v>0</v>
      </c>
      <c r="R62" s="2425" t="s">
        <v>2399</v>
      </c>
    </row>
    <row r="63" spans="1:18" s="2060" customFormat="1" ht="20.25" thickBot="1">
      <c r="A63" s="2097"/>
      <c r="B63" s="2098"/>
      <c r="C63" s="2098"/>
      <c r="I63" s="2407" t="s">
        <v>2371</v>
      </c>
      <c r="J63" s="2408" t="s">
        <v>2372</v>
      </c>
      <c r="K63" s="2408" t="s">
        <v>2373</v>
      </c>
      <c r="L63" s="2408" t="s">
        <v>2354</v>
      </c>
      <c r="M63" s="3129" t="s">
        <v>2952</v>
      </c>
      <c r="O63" s="2423" t="s">
        <v>2392</v>
      </c>
      <c r="P63" s="2421" t="s">
        <v>2400</v>
      </c>
      <c r="Q63" s="2422">
        <f ca="1">L60</f>
        <v>0</v>
      </c>
      <c r="R63" s="2425" t="s">
        <v>2401</v>
      </c>
    </row>
    <row r="64" spans="1:18" s="2060" customFormat="1" ht="15.75" thickBot="1">
      <c r="A64" s="2097"/>
      <c r="B64" s="2098"/>
      <c r="C64" s="2098"/>
      <c r="I64" s="2407" t="s">
        <v>2374</v>
      </c>
      <c r="J64" s="2408">
        <v>70</v>
      </c>
      <c r="K64" s="2408">
        <v>50</v>
      </c>
      <c r="L64" s="2408">
        <v>80</v>
      </c>
      <c r="M64" s="3130">
        <v>0.02</v>
      </c>
      <c r="O64" s="2420" t="s">
        <v>2395</v>
      </c>
      <c r="P64" s="2421" t="s">
        <v>2412</v>
      </c>
      <c r="Q64" s="2422" t="e">
        <f ca="1">Q58+Q59</f>
        <v>#DIV/0!</v>
      </c>
      <c r="R64" s="2425" t="s">
        <v>2396</v>
      </c>
    </row>
    <row r="65" spans="1:18" s="2060" customFormat="1" ht="16.5" thickBot="1">
      <c r="A65" s="2097"/>
      <c r="B65" s="2098"/>
      <c r="C65" s="2098"/>
      <c r="I65" s="2407" t="s">
        <v>2375</v>
      </c>
      <c r="J65" s="2408">
        <v>50</v>
      </c>
      <c r="K65" s="2408">
        <v>35</v>
      </c>
      <c r="L65" s="2408">
        <v>60</v>
      </c>
      <c r="M65" s="3131">
        <v>0</v>
      </c>
      <c r="O65" s="2426" t="s">
        <v>2419</v>
      </c>
      <c r="P65" s="1592"/>
      <c r="Q65" s="1604"/>
      <c r="R65" s="1592"/>
    </row>
    <row r="66" spans="1:18" s="2060" customFormat="1" ht="15.75" thickBot="1">
      <c r="A66" s="2097"/>
      <c r="B66" s="2098"/>
      <c r="C66" s="2098"/>
      <c r="I66" s="2407" t="s">
        <v>2376</v>
      </c>
      <c r="J66" s="2408">
        <v>40</v>
      </c>
      <c r="K66" s="2408">
        <v>30</v>
      </c>
      <c r="L66" s="2408">
        <v>50</v>
      </c>
      <c r="M66" s="3130">
        <v>0.02</v>
      </c>
      <c r="O66" s="2417" t="s">
        <v>2379</v>
      </c>
      <c r="P66" s="2418" t="s">
        <v>2380</v>
      </c>
      <c r="Q66" s="2419" t="s">
        <v>2381</v>
      </c>
      <c r="R66" s="2418" t="s">
        <v>2382</v>
      </c>
    </row>
    <row r="67" spans="1:18" s="2060" customFormat="1" ht="15.75" thickBot="1">
      <c r="A67" s="2097"/>
      <c r="B67" s="2098"/>
      <c r="C67" s="2098"/>
      <c r="K67" s="2087"/>
      <c r="O67" s="2420" t="s">
        <v>2383</v>
      </c>
      <c r="P67" s="2421" t="s">
        <v>2409</v>
      </c>
      <c r="Q67" s="2422">
        <f ca="1">C41+J31</f>
        <v>0</v>
      </c>
      <c r="R67" s="2421" t="s">
        <v>2384</v>
      </c>
    </row>
    <row r="68" spans="1:18" s="2060" customFormat="1" ht="20.25" thickBot="1">
      <c r="A68" s="2097"/>
      <c r="B68" s="2098"/>
      <c r="C68" s="2098"/>
      <c r="K68" s="2087"/>
      <c r="O68" s="2420" t="s">
        <v>2385</v>
      </c>
      <c r="P68" s="2421" t="s">
        <v>2416</v>
      </c>
      <c r="Q68" s="2422" t="e">
        <f ca="1">L61</f>
        <v>#DIV/0!</v>
      </c>
      <c r="R68" s="2425" t="s">
        <v>2418</v>
      </c>
    </row>
    <row r="69" spans="1:18" s="2060" customFormat="1" ht="21.75" thickBot="1">
      <c r="A69" s="2097"/>
      <c r="B69" s="2098"/>
      <c r="C69" s="2098"/>
      <c r="K69" s="2087"/>
      <c r="O69" s="2423" t="s">
        <v>2387</v>
      </c>
      <c r="P69" s="2421" t="s">
        <v>2417</v>
      </c>
      <c r="Q69" s="2427">
        <f ca="1">L52</f>
        <v>0</v>
      </c>
      <c r="R69" s="2428" t="s">
        <v>2420</v>
      </c>
    </row>
    <row r="70" spans="1:18" s="2060" customFormat="1" ht="20.25" thickBot="1">
      <c r="A70" s="2097"/>
      <c r="B70" s="2098"/>
      <c r="C70" s="2098"/>
      <c r="K70" s="2087"/>
      <c r="O70" s="2423" t="s">
        <v>2388</v>
      </c>
      <c r="P70" s="2429" t="s">
        <v>2402</v>
      </c>
      <c r="Q70" s="2422">
        <f ca="1">ROUND(Q71-Q72*Q73,0)</f>
        <v>0</v>
      </c>
      <c r="R70" s="2425"/>
    </row>
    <row r="71" spans="1:18" s="2060" customFormat="1" ht="15.75" thickBot="1">
      <c r="A71" s="2097"/>
      <c r="B71" s="2098"/>
      <c r="C71" s="2098"/>
      <c r="K71" s="2087"/>
      <c r="O71" s="2423" t="s">
        <v>2403</v>
      </c>
      <c r="P71" s="2429" t="s">
        <v>2404</v>
      </c>
      <c r="Q71" s="2422">
        <f ca="1">C42</f>
        <v>0</v>
      </c>
      <c r="R71" s="2421" t="s">
        <v>2384</v>
      </c>
    </row>
    <row r="72" spans="1:18" s="2060" customFormat="1" ht="15.75" thickBot="1">
      <c r="A72" s="2097"/>
      <c r="B72" s="2098"/>
      <c r="C72" s="2098"/>
      <c r="K72" s="2087"/>
      <c r="O72" s="2423" t="s">
        <v>2405</v>
      </c>
      <c r="P72" s="2429" t="s">
        <v>2406</v>
      </c>
      <c r="Q72" s="2422">
        <f ca="1">C15</f>
        <v>0</v>
      </c>
      <c r="R72" s="2421" t="s">
        <v>2384</v>
      </c>
    </row>
    <row r="73" spans="1:18" s="2060" customFormat="1" ht="15.75" thickBot="1">
      <c r="A73" s="2097"/>
      <c r="B73" s="2098"/>
      <c r="C73" s="2098"/>
      <c r="K73" s="2087"/>
      <c r="O73" s="2423" t="s">
        <v>2407</v>
      </c>
      <c r="P73" s="2429" t="s">
        <v>2408</v>
      </c>
      <c r="Q73" s="2424">
        <f ca="1">F43</f>
        <v>0</v>
      </c>
      <c r="R73" s="2425"/>
    </row>
    <row r="74" spans="1:18" s="2060" customFormat="1" ht="15.75" thickBot="1">
      <c r="A74" s="2097"/>
      <c r="B74" s="2098"/>
      <c r="C74" s="2098"/>
      <c r="K74" s="2087"/>
      <c r="O74" s="2423" t="s">
        <v>2390</v>
      </c>
      <c r="P74" s="2421" t="s">
        <v>2397</v>
      </c>
      <c r="Q74" s="2424">
        <f>L53</f>
        <v>0</v>
      </c>
      <c r="R74" s="2425"/>
    </row>
    <row r="75" spans="1:18" s="2060" customFormat="1" ht="20.25" thickBot="1">
      <c r="A75" s="2097"/>
      <c r="B75" s="2098"/>
      <c r="C75" s="2098"/>
      <c r="K75" s="2087"/>
      <c r="O75" s="2423" t="s">
        <v>2392</v>
      </c>
      <c r="P75" s="2421" t="s">
        <v>2398</v>
      </c>
      <c r="Q75" s="2422">
        <f ca="1">L59</f>
        <v>0</v>
      </c>
      <c r="R75" s="2425" t="s">
        <v>2399</v>
      </c>
    </row>
    <row r="76" spans="1:18" s="2060" customFormat="1" ht="20.25" thickBot="1">
      <c r="A76" s="2097"/>
      <c r="B76" s="2098"/>
      <c r="C76" s="2098"/>
      <c r="K76" s="2087"/>
      <c r="O76" s="2423" t="s">
        <v>2421</v>
      </c>
      <c r="P76" s="2421" t="s">
        <v>2400</v>
      </c>
      <c r="Q76" s="2422">
        <f ca="1">L60</f>
        <v>0</v>
      </c>
      <c r="R76" s="2425" t="s">
        <v>2401</v>
      </c>
    </row>
    <row r="77" spans="1:18" s="2060" customFormat="1" ht="15.75" thickBot="1">
      <c r="A77" s="2097"/>
      <c r="B77" s="2098"/>
      <c r="C77" s="2098"/>
      <c r="K77" s="2087"/>
      <c r="O77" s="2420" t="s">
        <v>2395</v>
      </c>
      <c r="P77" s="2421" t="s">
        <v>2412</v>
      </c>
      <c r="Q77" s="2422" t="e">
        <f ca="1">Q67+Q68</f>
        <v>#DIV/0!</v>
      </c>
      <c r="R77" s="2425" t="s">
        <v>2396</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79" t="s">
        <v>2582</v>
      </c>
      <c r="C1" s="3479"/>
      <c r="D1" s="3479"/>
      <c r="E1" s="3479"/>
      <c r="F1" s="3479"/>
      <c r="G1" s="3478" t="s">
        <v>2583</v>
      </c>
      <c r="H1" s="3478"/>
      <c r="I1" s="3478"/>
      <c r="J1" s="3478"/>
      <c r="K1" s="3478"/>
      <c r="L1" s="3478"/>
      <c r="N1" s="3478" t="s">
        <v>2584</v>
      </c>
      <c r="O1" s="3478"/>
      <c r="P1" s="3478"/>
      <c r="Q1" s="3478"/>
      <c r="R1" s="2677"/>
      <c r="S1" s="3478" t="s">
        <v>2585</v>
      </c>
      <c r="T1" s="3478"/>
      <c r="U1" s="3478"/>
      <c r="V1" s="3478"/>
      <c r="X1" s="3477" t="s">
        <v>2646</v>
      </c>
      <c r="Y1" s="3478"/>
      <c r="Z1" s="3478"/>
      <c r="AA1" s="3478"/>
      <c r="AB1" s="3478"/>
      <c r="AD1" s="3477" t="s">
        <v>2651</v>
      </c>
      <c r="AE1" s="3478"/>
      <c r="AF1" s="3478"/>
      <c r="AG1" s="3478"/>
      <c r="AH1" s="3478"/>
    </row>
    <row r="2" spans="1:34" s="2779" customFormat="1" ht="14.25" thickBot="1">
      <c r="B2" s="2788" t="s">
        <v>2586</v>
      </c>
      <c r="C2" s="2788" t="s">
        <v>2649</v>
      </c>
      <c r="D2" s="2780" t="s">
        <v>1646</v>
      </c>
      <c r="E2" s="2780" t="s">
        <v>1953</v>
      </c>
      <c r="F2" s="2788" t="s">
        <v>2650</v>
      </c>
      <c r="G2" s="2783"/>
      <c r="H2" s="2782"/>
      <c r="I2" s="2788" t="s">
        <v>2967</v>
      </c>
      <c r="J2" s="2780" t="s">
        <v>2969</v>
      </c>
      <c r="K2" s="2780" t="s">
        <v>2970</v>
      </c>
      <c r="L2" s="2788" t="s">
        <v>2971</v>
      </c>
      <c r="N2" s="2788" t="s">
        <v>2586</v>
      </c>
      <c r="O2" s="2780" t="s">
        <v>2968</v>
      </c>
      <c r="P2" s="2780" t="s">
        <v>1953</v>
      </c>
      <c r="Q2" s="2788" t="s">
        <v>2650</v>
      </c>
      <c r="R2" s="2781"/>
      <c r="S2" s="2788" t="s">
        <v>2586</v>
      </c>
      <c r="T2" s="2780" t="s">
        <v>2968</v>
      </c>
      <c r="U2" s="2780" t="s">
        <v>1953</v>
      </c>
      <c r="V2" s="2788" t="s">
        <v>2650</v>
      </c>
      <c r="X2" s="2788" t="s">
        <v>2586</v>
      </c>
      <c r="Y2" s="2788" t="s">
        <v>2649</v>
      </c>
      <c r="Z2" s="2780" t="s">
        <v>1646</v>
      </c>
      <c r="AA2" s="2780" t="s">
        <v>1953</v>
      </c>
      <c r="AB2" s="2788" t="s">
        <v>2650</v>
      </c>
      <c r="AD2" s="2788" t="s">
        <v>2586</v>
      </c>
      <c r="AE2" s="2788" t="s">
        <v>2649</v>
      </c>
      <c r="AF2" s="2780" t="s">
        <v>1646</v>
      </c>
      <c r="AG2" s="2780" t="s">
        <v>1953</v>
      </c>
      <c r="AH2" s="2788" t="s">
        <v>2650</v>
      </c>
    </row>
    <row r="3" spans="1:34" s="2772" customFormat="1" ht="14.25">
      <c r="B3" s="2773"/>
      <c r="C3" s="2773"/>
      <c r="D3" s="2774"/>
      <c r="E3" s="2774"/>
      <c r="F3" s="2773"/>
      <c r="G3" s="2778"/>
      <c r="H3" s="2775"/>
      <c r="I3" s="3161"/>
      <c r="J3" s="3161"/>
      <c r="K3" s="3161"/>
      <c r="L3" s="3161"/>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2979</v>
      </c>
      <c r="B4" s="2692">
        <f>B5*(1+N4)</f>
        <v>453.57903691012211</v>
      </c>
      <c r="C4" s="2692">
        <f>C5*(1+O4)</f>
        <v>331.18001284964259</v>
      </c>
      <c r="D4" s="2692">
        <f t="shared" ref="D4:D9" si="2">C4</f>
        <v>331.18001284964259</v>
      </c>
      <c r="E4" s="2692">
        <f>E5*(1+P4)</f>
        <v>650.68458238034486</v>
      </c>
      <c r="F4" s="2692">
        <f>F5*(1+Q4)</f>
        <v>287.29097305893981</v>
      </c>
      <c r="G4" s="2778">
        <v>2018</v>
      </c>
      <c r="H4" s="2775">
        <v>1</v>
      </c>
      <c r="I4" s="3161">
        <f>ROUND(AVERAGE(I5:I20),2)</f>
        <v>2.4900000000000002</v>
      </c>
      <c r="J4" s="3161">
        <f>ROUND(AVERAGE(J5:J20),2)</f>
        <v>1.64</v>
      </c>
      <c r="K4" s="3161">
        <f>ROUND(AVERAGE(K5:K20),2)</f>
        <v>2.78</v>
      </c>
      <c r="L4" s="3161">
        <f>ROUND(AVERAGE(L5:L20),2)</f>
        <v>1.39</v>
      </c>
      <c r="N4" s="3159">
        <f t="shared" ref="N4:N9" si="3">I4/100</f>
        <v>2.4900000000000002E-2</v>
      </c>
      <c r="O4" s="3160">
        <f t="shared" ref="O4:Q8" si="4">J4/100</f>
        <v>1.6399999999999998E-2</v>
      </c>
      <c r="P4" s="3160">
        <f t="shared" si="4"/>
        <v>2.7799999999999998E-2</v>
      </c>
      <c r="Q4" s="3160">
        <f t="shared" si="4"/>
        <v>1.3899999999999999E-2</v>
      </c>
      <c r="R4" s="2776"/>
      <c r="S4" s="2778"/>
      <c r="T4" s="2776"/>
      <c r="U4" s="2776"/>
      <c r="V4" s="2776"/>
      <c r="X4" s="2777"/>
      <c r="Y4" s="2777"/>
      <c r="Z4" s="2777"/>
      <c r="AA4" s="2777"/>
      <c r="AB4" s="2777"/>
      <c r="AD4" s="2697"/>
      <c r="AE4" s="2697"/>
      <c r="AF4" s="2697"/>
      <c r="AG4" s="2697"/>
      <c r="AH4" s="2697"/>
    </row>
    <row r="5" spans="1:34" s="3144" customFormat="1">
      <c r="A5" s="3142" t="s">
        <v>2978</v>
      </c>
      <c r="B5" s="2819">
        <f>B6*(1+N5)</f>
        <v>442.55931008890832</v>
      </c>
      <c r="C5" s="2819">
        <f>C6*(1+O5)</f>
        <v>325.83629756950273</v>
      </c>
      <c r="D5" s="2819">
        <f t="shared" si="2"/>
        <v>325.83629756950273</v>
      </c>
      <c r="E5" s="2819">
        <f>E6*(1+P5)</f>
        <v>633.08482426575677</v>
      </c>
      <c r="F5" s="2819">
        <f>F6*(1+Q5)</f>
        <v>283.35237504580311</v>
      </c>
      <c r="G5" s="3476">
        <v>2017</v>
      </c>
      <c r="H5" s="3143">
        <v>4</v>
      </c>
      <c r="I5" s="3162">
        <f>ROUND(AVERAGE(I6:I20),2)</f>
        <v>2.4900000000000002</v>
      </c>
      <c r="J5" s="3162">
        <f>ROUND(AVERAGE(J6:J20),2)</f>
        <v>1.64</v>
      </c>
      <c r="K5" s="3162">
        <f>ROUND(AVERAGE(K6:K20),2)</f>
        <v>2.78</v>
      </c>
      <c r="L5" s="3162">
        <f>ROUND(AVERAGE(L6:L20),2)</f>
        <v>1.39</v>
      </c>
      <c r="N5" s="2785">
        <f t="shared" si="3"/>
        <v>2.4900000000000002E-2</v>
      </c>
      <c r="O5" s="2785">
        <f t="shared" si="4"/>
        <v>1.6399999999999998E-2</v>
      </c>
      <c r="P5" s="2785">
        <f t="shared" si="4"/>
        <v>2.7799999999999998E-2</v>
      </c>
      <c r="Q5" s="2785">
        <f t="shared" si="4"/>
        <v>1.3899999999999999E-2</v>
      </c>
      <c r="R5" s="3145"/>
      <c r="S5" s="3146"/>
      <c r="T5" s="3145"/>
      <c r="U5" s="3145"/>
      <c r="V5" s="3145"/>
      <c r="W5" s="2786" t="s">
        <v>2647</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8" t="s">
        <v>2587</v>
      </c>
      <c r="B6" s="2692">
        <f t="shared" ref="B6:C8" si="5">B7*(1+N6)</f>
        <v>431.80730811680002</v>
      </c>
      <c r="C6" s="2692">
        <f t="shared" si="5"/>
        <v>320.57880516480003</v>
      </c>
      <c r="D6" s="2692">
        <f t="shared" si="2"/>
        <v>320.57880516480003</v>
      </c>
      <c r="E6" s="2692">
        <f t="shared" ref="E6:F8" si="6">E7*(1+P6)</f>
        <v>615.96110553196797</v>
      </c>
      <c r="F6" s="2692">
        <f t="shared" si="6"/>
        <v>279.46777300108801</v>
      </c>
      <c r="G6" s="3474"/>
      <c r="H6" s="2682">
        <v>3</v>
      </c>
      <c r="I6" s="2682">
        <v>2.98</v>
      </c>
      <c r="J6" s="2682">
        <v>2.11</v>
      </c>
      <c r="K6" s="2682">
        <v>3.24</v>
      </c>
      <c r="L6" s="2693">
        <v>1.72</v>
      </c>
      <c r="N6" s="2687">
        <f t="shared" si="3"/>
        <v>2.98E-2</v>
      </c>
      <c r="O6" s="2688">
        <f t="shared" si="4"/>
        <v>2.1099999999999997E-2</v>
      </c>
      <c r="P6" s="2688">
        <f t="shared" si="4"/>
        <v>3.2400000000000005E-2</v>
      </c>
      <c r="Q6" s="2688">
        <f t="shared" si="4"/>
        <v>1.72E-2</v>
      </c>
      <c r="R6" s="3145"/>
      <c r="S6" s="2681"/>
      <c r="T6" s="3158"/>
      <c r="U6" s="3158"/>
      <c r="V6" s="3158"/>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2588</v>
      </c>
      <c r="B7" s="2692">
        <f t="shared" si="5"/>
        <v>419.31181600000002</v>
      </c>
      <c r="C7" s="2692">
        <f t="shared" si="5"/>
        <v>313.95436800000004</v>
      </c>
      <c r="D7" s="2692">
        <f t="shared" si="2"/>
        <v>313.95436800000004</v>
      </c>
      <c r="E7" s="2692">
        <f t="shared" si="6"/>
        <v>596.63028431999999</v>
      </c>
      <c r="F7" s="2692">
        <f t="shared" si="6"/>
        <v>274.74220703999998</v>
      </c>
      <c r="G7" s="3474"/>
      <c r="H7" s="2683">
        <v>2</v>
      </c>
      <c r="I7" s="2683">
        <v>3.4</v>
      </c>
      <c r="J7" s="2683">
        <v>2</v>
      </c>
      <c r="K7" s="2683">
        <v>3.82</v>
      </c>
      <c r="L7" s="2694">
        <v>1.68</v>
      </c>
      <c r="N7" s="2687">
        <f t="shared" si="3"/>
        <v>3.4000000000000002E-2</v>
      </c>
      <c r="O7" s="2688">
        <f t="shared" si="4"/>
        <v>0.02</v>
      </c>
      <c r="P7" s="2688">
        <f t="shared" si="4"/>
        <v>3.8199999999999998E-2</v>
      </c>
      <c r="Q7" s="2688">
        <f t="shared" si="4"/>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2589</v>
      </c>
      <c r="B8" s="2692">
        <f t="shared" si="5"/>
        <v>405.524</v>
      </c>
      <c r="C8" s="2692">
        <f t="shared" si="5"/>
        <v>307.79840000000002</v>
      </c>
      <c r="D8" s="2692">
        <f t="shared" si="2"/>
        <v>307.79840000000002</v>
      </c>
      <c r="E8" s="2692">
        <f t="shared" si="6"/>
        <v>574.67759999999998</v>
      </c>
      <c r="F8" s="2692">
        <f t="shared" si="6"/>
        <v>270.20280000000002</v>
      </c>
      <c r="G8" s="3475"/>
      <c r="H8" s="2682">
        <v>1</v>
      </c>
      <c r="I8" s="2682">
        <v>3.45</v>
      </c>
      <c r="J8" s="2682">
        <v>1.92</v>
      </c>
      <c r="K8" s="2682">
        <v>3.92</v>
      </c>
      <c r="L8" s="2693">
        <v>1.58</v>
      </c>
      <c r="M8" s="2686"/>
      <c r="N8" s="2687">
        <f t="shared" si="3"/>
        <v>3.4500000000000003E-2</v>
      </c>
      <c r="O8" s="2688">
        <f t="shared" si="4"/>
        <v>1.9199999999999998E-2</v>
      </c>
      <c r="P8" s="2688">
        <f t="shared" si="4"/>
        <v>3.9199999999999999E-2</v>
      </c>
      <c r="Q8" s="2688">
        <f t="shared" si="4"/>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2"/>
        <v>302</v>
      </c>
      <c r="E9" s="2684">
        <v>553</v>
      </c>
      <c r="F9" s="2685">
        <v>266</v>
      </c>
      <c r="G9" s="3476">
        <v>2016</v>
      </c>
      <c r="H9" s="2679">
        <v>4</v>
      </c>
      <c r="I9" s="2679">
        <v>4.5599999999999996</v>
      </c>
      <c r="J9" s="2679">
        <v>2.15</v>
      </c>
      <c r="K9" s="2679">
        <v>5.32</v>
      </c>
      <c r="L9" s="2680">
        <v>1.57</v>
      </c>
      <c r="N9" s="2687">
        <f t="shared" si="3"/>
        <v>4.5599999999999995E-2</v>
      </c>
      <c r="O9" s="2688">
        <f t="shared" ref="O9:Q24" si="7">J9/100</f>
        <v>2.1499999999999998E-2</v>
      </c>
      <c r="P9" s="2688">
        <f t="shared" si="7"/>
        <v>5.3200000000000004E-2</v>
      </c>
      <c r="Q9" s="2688">
        <f t="shared" si="7"/>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8">B9/(1+N9)</f>
        <v>374.90436113236416</v>
      </c>
      <c r="C10" s="2692">
        <f t="shared" si="8"/>
        <v>295.64366128242779</v>
      </c>
      <c r="D10" s="2692">
        <f t="shared" ref="D10:D69" si="9">C10</f>
        <v>295.64366128242779</v>
      </c>
      <c r="E10" s="2692">
        <f t="shared" ref="E10:F12" si="10">E9/(1+P9)</f>
        <v>525.06646410938095</v>
      </c>
      <c r="F10" s="2692">
        <f t="shared" si="10"/>
        <v>261.88835286009646</v>
      </c>
      <c r="G10" s="3474"/>
      <c r="H10" s="2682">
        <v>3</v>
      </c>
      <c r="I10" s="2682">
        <v>4.12</v>
      </c>
      <c r="J10" s="2682">
        <v>2</v>
      </c>
      <c r="K10" s="2682">
        <v>4.79</v>
      </c>
      <c r="L10" s="2693">
        <v>1.97</v>
      </c>
      <c r="N10" s="2687">
        <f t="shared" ref="N10:Q44" si="11">I10/100</f>
        <v>4.1200000000000001E-2</v>
      </c>
      <c r="O10" s="2688">
        <f t="shared" si="7"/>
        <v>0.02</v>
      </c>
      <c r="P10" s="2688">
        <f t="shared" si="7"/>
        <v>4.7899999999999998E-2</v>
      </c>
      <c r="Q10" s="2688">
        <f t="shared" si="7"/>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8"/>
        <v>360.06949782209392</v>
      </c>
      <c r="C11" s="2692">
        <f t="shared" si="8"/>
        <v>289.84672674747821</v>
      </c>
      <c r="D11" s="2692">
        <f t="shared" si="9"/>
        <v>289.84672674747821</v>
      </c>
      <c r="E11" s="2692">
        <f t="shared" si="10"/>
        <v>501.06543001181495</v>
      </c>
      <c r="F11" s="2692">
        <f t="shared" si="10"/>
        <v>256.82882500744967</v>
      </c>
      <c r="G11" s="3474"/>
      <c r="H11" s="2683">
        <v>2</v>
      </c>
      <c r="I11" s="2683">
        <v>3.85</v>
      </c>
      <c r="J11" s="2683">
        <v>1.95</v>
      </c>
      <c r="K11" s="2683">
        <v>4.4800000000000004</v>
      </c>
      <c r="L11" s="2694">
        <v>1.41</v>
      </c>
      <c r="N11" s="2687">
        <f t="shared" si="11"/>
        <v>3.85E-2</v>
      </c>
      <c r="O11" s="2688">
        <f t="shared" si="7"/>
        <v>1.95E-2</v>
      </c>
      <c r="P11" s="2688">
        <f t="shared" si="7"/>
        <v>4.4800000000000006E-2</v>
      </c>
      <c r="Q11" s="2688">
        <f t="shared" si="7"/>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8"/>
        <v>346.720748986128</v>
      </c>
      <c r="C12" s="2692">
        <f t="shared" si="8"/>
        <v>284.30282172386285</v>
      </c>
      <c r="D12" s="2692">
        <f t="shared" si="9"/>
        <v>284.30282172386285</v>
      </c>
      <c r="E12" s="2692">
        <f t="shared" si="10"/>
        <v>479.58023546306947</v>
      </c>
      <c r="F12" s="2692">
        <f t="shared" si="10"/>
        <v>253.25788877571213</v>
      </c>
      <c r="G12" s="3475"/>
      <c r="H12" s="2682">
        <v>1</v>
      </c>
      <c r="I12" s="2682">
        <v>4.09</v>
      </c>
      <c r="J12" s="2682">
        <v>2.93</v>
      </c>
      <c r="K12" s="2682">
        <v>4.54</v>
      </c>
      <c r="L12" s="2693">
        <v>1.48</v>
      </c>
      <c r="N12" s="2687">
        <f t="shared" si="11"/>
        <v>4.0899999999999999E-2</v>
      </c>
      <c r="O12" s="2688">
        <f t="shared" si="7"/>
        <v>2.9300000000000003E-2</v>
      </c>
      <c r="P12" s="2688">
        <f t="shared" si="7"/>
        <v>4.5400000000000003E-2</v>
      </c>
      <c r="Q12" s="2688">
        <f t="shared" si="7"/>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9"/>
        <v>277</v>
      </c>
      <c r="E13" s="2684">
        <v>459</v>
      </c>
      <c r="F13" s="2685">
        <v>249</v>
      </c>
      <c r="G13" s="3473">
        <v>2015</v>
      </c>
      <c r="H13" s="2698">
        <v>4</v>
      </c>
      <c r="I13" s="2698">
        <v>1.63</v>
      </c>
      <c r="J13" s="2698">
        <v>1.1100000000000001</v>
      </c>
      <c r="K13" s="2698">
        <v>1.77</v>
      </c>
      <c r="L13" s="2699">
        <v>1.89</v>
      </c>
      <c r="N13" s="2700">
        <f t="shared" si="11"/>
        <v>1.6299999999999999E-2</v>
      </c>
      <c r="O13" s="2701">
        <f t="shared" si="7"/>
        <v>1.11E-2</v>
      </c>
      <c r="P13" s="2701">
        <f t="shared" si="7"/>
        <v>1.77E-2</v>
      </c>
      <c r="Q13" s="2701">
        <f t="shared" si="7"/>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12">B13/(1+N13)</f>
        <v>327.65915576109415</v>
      </c>
      <c r="C14" s="2692">
        <f t="shared" si="12"/>
        <v>273.95905449510434</v>
      </c>
      <c r="D14" s="2692">
        <f t="shared" si="9"/>
        <v>273.95905449510434</v>
      </c>
      <c r="E14" s="2692">
        <f t="shared" ref="E14:F16" si="13">E13/(1+P13)</f>
        <v>451.01699911565294</v>
      </c>
      <c r="F14" s="2692">
        <f t="shared" si="13"/>
        <v>244.38119540681129</v>
      </c>
      <c r="G14" s="3474"/>
      <c r="H14" s="2703">
        <v>3</v>
      </c>
      <c r="I14" s="2703">
        <v>1.65</v>
      </c>
      <c r="J14" s="2703">
        <v>0.92</v>
      </c>
      <c r="K14" s="2703">
        <v>1.88</v>
      </c>
      <c r="L14" s="2704">
        <v>1.26</v>
      </c>
      <c r="N14" s="2687">
        <f t="shared" si="11"/>
        <v>1.6500000000000001E-2</v>
      </c>
      <c r="O14" s="2705">
        <f t="shared" si="7"/>
        <v>9.1999999999999998E-3</v>
      </c>
      <c r="P14" s="2705">
        <f t="shared" si="7"/>
        <v>1.8799999999999997E-2</v>
      </c>
      <c r="Q14" s="2705">
        <f t="shared" si="7"/>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12"/>
        <v>322.34053690220776</v>
      </c>
      <c r="C15" s="2692">
        <f t="shared" si="12"/>
        <v>271.46160770422546</v>
      </c>
      <c r="D15" s="2692">
        <f t="shared" si="9"/>
        <v>271.46160770422546</v>
      </c>
      <c r="E15" s="2692">
        <f t="shared" si="13"/>
        <v>442.69434542172456</v>
      </c>
      <c r="F15" s="2692">
        <f t="shared" si="13"/>
        <v>241.34030753190925</v>
      </c>
      <c r="G15" s="3474"/>
      <c r="H15" s="2683">
        <v>2</v>
      </c>
      <c r="I15" s="2683">
        <v>0.77</v>
      </c>
      <c r="J15" s="2683">
        <v>0.69</v>
      </c>
      <c r="K15" s="2683">
        <v>0.8</v>
      </c>
      <c r="L15" s="2694">
        <v>0.88</v>
      </c>
      <c r="N15" s="2687">
        <f t="shared" si="11"/>
        <v>7.7000000000000002E-3</v>
      </c>
      <c r="O15" s="2705">
        <f t="shared" si="7"/>
        <v>6.8999999999999999E-3</v>
      </c>
      <c r="P15" s="2705">
        <f t="shared" si="7"/>
        <v>8.0000000000000002E-3</v>
      </c>
      <c r="Q15" s="2705">
        <f t="shared" si="7"/>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12"/>
        <v>319.87748030386797</v>
      </c>
      <c r="C16" s="2692">
        <f t="shared" si="12"/>
        <v>269.60135833173649</v>
      </c>
      <c r="D16" s="2692">
        <f t="shared" si="9"/>
        <v>269.60135833173649</v>
      </c>
      <c r="E16" s="2692">
        <f t="shared" si="13"/>
        <v>439.18089823583784</v>
      </c>
      <c r="F16" s="2692">
        <f t="shared" si="13"/>
        <v>239.23503918706311</v>
      </c>
      <c r="G16" s="3475"/>
      <c r="H16" s="2682">
        <v>1</v>
      </c>
      <c r="I16" s="2682">
        <v>0.51</v>
      </c>
      <c r="J16" s="2682">
        <v>0.54</v>
      </c>
      <c r="K16" s="2682">
        <v>0.48</v>
      </c>
      <c r="L16" s="2693">
        <v>0.93</v>
      </c>
      <c r="N16" s="2695">
        <f t="shared" si="11"/>
        <v>5.1000000000000004E-3</v>
      </c>
      <c r="O16" s="2696">
        <f t="shared" si="7"/>
        <v>5.4000000000000003E-3</v>
      </c>
      <c r="P16" s="2696">
        <f t="shared" si="7"/>
        <v>4.7999999999999996E-3</v>
      </c>
      <c r="Q16" s="2696">
        <f t="shared" si="7"/>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9"/>
        <v>268</v>
      </c>
      <c r="E17" s="2706">
        <v>437</v>
      </c>
      <c r="F17" s="2707">
        <v>237</v>
      </c>
      <c r="G17" s="3473">
        <v>2014</v>
      </c>
      <c r="H17" s="2698">
        <v>4</v>
      </c>
      <c r="I17" s="2698">
        <v>0.21</v>
      </c>
      <c r="J17" s="2698">
        <v>0.41</v>
      </c>
      <c r="K17" s="2698">
        <v>0.12</v>
      </c>
      <c r="L17" s="2699">
        <v>0.89</v>
      </c>
      <c r="N17" s="2687">
        <f t="shared" si="11"/>
        <v>2.0999999999999999E-3</v>
      </c>
      <c r="O17" s="2688">
        <f t="shared" si="7"/>
        <v>4.0999999999999995E-3</v>
      </c>
      <c r="P17" s="2688">
        <f t="shared" si="7"/>
        <v>1.1999999999999999E-3</v>
      </c>
      <c r="Q17" s="2688">
        <f t="shared" si="7"/>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14">B17/(1+N17)</f>
        <v>317.33359944117353</v>
      </c>
      <c r="C18" s="2692">
        <f t="shared" si="14"/>
        <v>266.90568668459315</v>
      </c>
      <c r="D18" s="2692">
        <f t="shared" si="9"/>
        <v>266.90568668459315</v>
      </c>
      <c r="E18" s="2692">
        <f t="shared" ref="E18:F20" si="15">E17/(1+P17)</f>
        <v>436.47622852576905</v>
      </c>
      <c r="F18" s="2692">
        <f t="shared" si="15"/>
        <v>234.90930716622066</v>
      </c>
      <c r="G18" s="3474"/>
      <c r="H18" s="2708">
        <v>3</v>
      </c>
      <c r="I18" s="2708">
        <v>0.83</v>
      </c>
      <c r="J18" s="2708">
        <v>1.47</v>
      </c>
      <c r="K18" s="2708">
        <v>0.65</v>
      </c>
      <c r="L18" s="2709">
        <v>0.72</v>
      </c>
      <c r="N18" s="2687">
        <f t="shared" si="11"/>
        <v>8.3000000000000001E-3</v>
      </c>
      <c r="O18" s="2688">
        <f t="shared" si="7"/>
        <v>1.47E-2</v>
      </c>
      <c r="P18" s="2688">
        <f t="shared" si="7"/>
        <v>6.5000000000000006E-3</v>
      </c>
      <c r="Q18" s="2688">
        <f t="shared" si="7"/>
        <v>7.1999999999999998E-3</v>
      </c>
      <c r="R18" s="2689"/>
      <c r="S18" s="2687"/>
      <c r="T18" s="2688"/>
      <c r="U18" s="2688"/>
      <c r="V18" s="2688"/>
      <c r="X18" s="2777">
        <f>ROUND(SUMPRODUCT(PRODUCT(1+N18:N$19)),4)</f>
        <v>1.0325</v>
      </c>
      <c r="Y18" s="2777">
        <f>ROUND(SUMPRODUCT(PRODUCT(1+O18:O$19)),4)</f>
        <v>1.0353000000000001</v>
      </c>
      <c r="Z18" s="2777">
        <f>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14"/>
        <v>314.72141172386546</v>
      </c>
      <c r="C19" s="2692">
        <f t="shared" si="14"/>
        <v>263.03901319069001</v>
      </c>
      <c r="D19" s="2692">
        <f t="shared" si="9"/>
        <v>263.03901319069001</v>
      </c>
      <c r="E19" s="2692">
        <f t="shared" si="15"/>
        <v>433.65745506782821</v>
      </c>
      <c r="F19" s="2692">
        <f t="shared" si="15"/>
        <v>233.23005080045735</v>
      </c>
      <c r="G19" s="3474"/>
      <c r="H19" s="2698">
        <v>2</v>
      </c>
      <c r="I19" s="2698">
        <v>2.4</v>
      </c>
      <c r="J19" s="2698">
        <v>2.0299999999999998</v>
      </c>
      <c r="K19" s="2698">
        <v>2.59</v>
      </c>
      <c r="L19" s="2699">
        <v>1.52</v>
      </c>
      <c r="N19" s="2687">
        <f t="shared" si="11"/>
        <v>2.4E-2</v>
      </c>
      <c r="O19" s="2688">
        <f t="shared" si="7"/>
        <v>2.0299999999999999E-2</v>
      </c>
      <c r="P19" s="2688">
        <f t="shared" si="7"/>
        <v>2.5899999999999999E-2</v>
      </c>
      <c r="Q19" s="2688">
        <f t="shared" si="7"/>
        <v>1.52E-2</v>
      </c>
      <c r="R19" s="2689"/>
      <c r="S19" s="2687"/>
      <c r="T19" s="2688"/>
      <c r="U19" s="2688"/>
      <c r="V19" s="2688"/>
      <c r="X19" s="2777">
        <f>1+N19</f>
        <v>1.024</v>
      </c>
      <c r="Y19" s="2777">
        <f>1+O19</f>
        <v>1.0203</v>
      </c>
      <c r="Z19" s="2777">
        <f>Y19</f>
        <v>1.0203</v>
      </c>
      <c r="AA19" s="2777">
        <f>1+P19</f>
        <v>1.0259</v>
      </c>
      <c r="AB19" s="2777">
        <f>1+Q19</f>
        <v>1.0152000000000001</v>
      </c>
      <c r="AD19" s="2697">
        <f>ROUND(AVERAGE(I19:I$20)/100,4)</f>
        <v>2.69E-2</v>
      </c>
      <c r="AE19" s="2697">
        <f>ROUND(AVERAGE(J19:J$20)/100,4)</f>
        <v>2.1899999999999999E-2</v>
      </c>
      <c r="AF19" s="2697">
        <f>AE19</f>
        <v>2.1899999999999999E-2</v>
      </c>
      <c r="AG19" s="2697">
        <f>ROUND(AVERAGE(K19:K$20)/100,4)</f>
        <v>2.9399999999999999E-2</v>
      </c>
      <c r="AH19" s="2697">
        <f>ROUND(AVERAGE(L19:L$20)/100,4)</f>
        <v>1.44E-2</v>
      </c>
    </row>
    <row r="20" spans="1:34" s="2714" customFormat="1" ht="13.5" thickBot="1">
      <c r="A20" s="2710" t="s">
        <v>962</v>
      </c>
      <c r="B20" s="2711">
        <f t="shared" si="14"/>
        <v>307.34512863658733</v>
      </c>
      <c r="C20" s="2711">
        <f t="shared" si="14"/>
        <v>257.80556031626975</v>
      </c>
      <c r="D20" s="2711">
        <f t="shared" si="9"/>
        <v>257.80556031626975</v>
      </c>
      <c r="E20" s="2711">
        <f t="shared" si="15"/>
        <v>422.70928459677179</v>
      </c>
      <c r="F20" s="2711">
        <f t="shared" si="15"/>
        <v>229.73803270336617</v>
      </c>
      <c r="G20" s="3475"/>
      <c r="H20" s="2712">
        <v>1</v>
      </c>
      <c r="I20" s="2712">
        <v>2.97</v>
      </c>
      <c r="J20" s="2712">
        <v>2.34</v>
      </c>
      <c r="K20" s="2712">
        <v>3.28</v>
      </c>
      <c r="L20" s="2713">
        <v>1.36</v>
      </c>
      <c r="N20" s="2715">
        <f t="shared" si="11"/>
        <v>2.9700000000000001E-2</v>
      </c>
      <c r="O20" s="2716">
        <f t="shared" si="7"/>
        <v>2.3399999999999997E-2</v>
      </c>
      <c r="P20" s="2716">
        <f t="shared" si="7"/>
        <v>3.2799999999999996E-2</v>
      </c>
      <c r="Q20" s="2716">
        <f t="shared" si="7"/>
        <v>1.3600000000000001E-2</v>
      </c>
      <c r="R20" s="2717"/>
      <c r="S20" s="2718">
        <f>B20/B21-1</f>
        <v>2.7910129219355539E-2</v>
      </c>
      <c r="T20" s="2719">
        <f>C20/C21-1</f>
        <v>2.3037937762975247E-2</v>
      </c>
      <c r="U20" s="2719">
        <f>E20/E21-1</f>
        <v>3.3519033243940788E-2</v>
      </c>
      <c r="V20" s="2719">
        <f>F20/F21-1</f>
        <v>1.2061818076502862E-2</v>
      </c>
      <c r="W20" s="2787" t="s">
        <v>2648</v>
      </c>
      <c r="X20" s="2789">
        <v>1</v>
      </c>
      <c r="Y20" s="2789">
        <v>1</v>
      </c>
      <c r="Z20" s="2789">
        <v>1</v>
      </c>
      <c r="AA20" s="2789">
        <v>1</v>
      </c>
      <c r="AB20" s="2789">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8" t="s">
        <v>2590</v>
      </c>
      <c r="B21" s="2684">
        <v>299</v>
      </c>
      <c r="C21" s="2684">
        <v>252</v>
      </c>
      <c r="D21" s="2684">
        <f t="shared" si="9"/>
        <v>252</v>
      </c>
      <c r="E21" s="2684">
        <v>409</v>
      </c>
      <c r="F21" s="2685">
        <v>227</v>
      </c>
      <c r="G21" s="3480">
        <v>2013</v>
      </c>
      <c r="H21" s="2720">
        <v>4</v>
      </c>
      <c r="I21" s="2720">
        <v>1.83</v>
      </c>
      <c r="J21" s="2720">
        <v>1.68</v>
      </c>
      <c r="K21" s="2720">
        <v>1.97</v>
      </c>
      <c r="L21" s="2721">
        <v>0.87</v>
      </c>
      <c r="N21" s="2700">
        <f t="shared" si="11"/>
        <v>1.83E-2</v>
      </c>
      <c r="O21" s="2701">
        <f t="shared" si="7"/>
        <v>1.6799999999999999E-2</v>
      </c>
      <c r="P21" s="2701">
        <f t="shared" si="7"/>
        <v>1.9699999999999999E-2</v>
      </c>
      <c r="Q21" s="2701">
        <f t="shared" si="7"/>
        <v>8.6999999999999994E-3</v>
      </c>
      <c r="R21" s="2689"/>
      <c r="S21" s="2690"/>
      <c r="T21" s="2691"/>
      <c r="U21" s="2691"/>
      <c r="V21" s="2691"/>
      <c r="X21" s="2691"/>
      <c r="Y21" s="2691"/>
      <c r="Z21" s="2691"/>
    </row>
    <row r="22" spans="1:34">
      <c r="A22" s="2678" t="s">
        <v>2591</v>
      </c>
      <c r="B22" s="2692">
        <f t="shared" ref="B22:C24" si="16">B21/(1+N21)</f>
        <v>293.62663262299913</v>
      </c>
      <c r="C22" s="2692">
        <f t="shared" si="16"/>
        <v>247.83634933123525</v>
      </c>
      <c r="D22" s="2692">
        <f t="shared" si="9"/>
        <v>247.83634933123525</v>
      </c>
      <c r="E22" s="2692">
        <f t="shared" ref="E22:F24" si="17">E21/(1+P21)</f>
        <v>401.09836226341076</v>
      </c>
      <c r="F22" s="2692">
        <f t="shared" si="17"/>
        <v>225.04213343908003</v>
      </c>
      <c r="G22" s="3481"/>
      <c r="H22" s="2703">
        <v>3</v>
      </c>
      <c r="I22" s="2703">
        <v>1.86</v>
      </c>
      <c r="J22" s="2703">
        <v>1.72</v>
      </c>
      <c r="K22" s="2703">
        <v>1.98</v>
      </c>
      <c r="L22" s="2704">
        <v>0.88</v>
      </c>
      <c r="N22" s="2687">
        <f t="shared" si="11"/>
        <v>1.8600000000000002E-2</v>
      </c>
      <c r="O22" s="2705">
        <f t="shared" si="7"/>
        <v>1.72E-2</v>
      </c>
      <c r="P22" s="2705">
        <f t="shared" si="7"/>
        <v>1.9799999999999998E-2</v>
      </c>
      <c r="Q22" s="2705">
        <f t="shared" si="7"/>
        <v>8.8000000000000005E-3</v>
      </c>
      <c r="R22" s="2689"/>
      <c r="S22" s="2687"/>
      <c r="T22" s="2688"/>
      <c r="U22" s="2688"/>
      <c r="V22" s="2688"/>
    </row>
    <row r="23" spans="1:34">
      <c r="A23" s="2678" t="s">
        <v>2592</v>
      </c>
      <c r="B23" s="2692">
        <f t="shared" si="16"/>
        <v>288.2649053828776</v>
      </c>
      <c r="C23" s="2692">
        <f t="shared" si="16"/>
        <v>243.64564425013293</v>
      </c>
      <c r="D23" s="2692">
        <f t="shared" si="9"/>
        <v>243.64564425013293</v>
      </c>
      <c r="E23" s="2692">
        <f t="shared" si="17"/>
        <v>393.31080825986544</v>
      </c>
      <c r="F23" s="2692">
        <f t="shared" si="17"/>
        <v>223.07903790551154</v>
      </c>
      <c r="G23" s="3481"/>
      <c r="H23" s="2683">
        <v>2</v>
      </c>
      <c r="I23" s="2683">
        <v>2.04</v>
      </c>
      <c r="J23" s="2683">
        <v>2.33</v>
      </c>
      <c r="K23" s="2683">
        <v>2.0699999999999998</v>
      </c>
      <c r="L23" s="2694">
        <v>0.69</v>
      </c>
      <c r="N23" s="2687">
        <f t="shared" si="11"/>
        <v>2.0400000000000001E-2</v>
      </c>
      <c r="O23" s="2705">
        <f t="shared" si="7"/>
        <v>2.3300000000000001E-2</v>
      </c>
      <c r="P23" s="2705">
        <f t="shared" si="7"/>
        <v>2.07E-2</v>
      </c>
      <c r="Q23" s="2705">
        <f t="shared" si="7"/>
        <v>6.8999999999999999E-3</v>
      </c>
      <c r="R23" s="2689"/>
      <c r="S23" s="2687"/>
      <c r="T23" s="2688"/>
      <c r="U23" s="2688"/>
      <c r="V23" s="2688"/>
      <c r="X23" s="2790"/>
      <c r="Y23" s="2792"/>
    </row>
    <row r="24" spans="1:34">
      <c r="A24" s="2678" t="s">
        <v>2593</v>
      </c>
      <c r="B24" s="2692">
        <f t="shared" si="16"/>
        <v>282.50186729015837</v>
      </c>
      <c r="C24" s="2692">
        <f t="shared" si="16"/>
        <v>238.09796174155468</v>
      </c>
      <c r="D24" s="2692">
        <f t="shared" si="9"/>
        <v>238.09796174155468</v>
      </c>
      <c r="E24" s="2692">
        <f t="shared" si="17"/>
        <v>385.33438646014054</v>
      </c>
      <c r="F24" s="2692">
        <f t="shared" si="17"/>
        <v>221.55034055567739</v>
      </c>
      <c r="G24" s="3482"/>
      <c r="H24" s="2682">
        <v>1</v>
      </c>
      <c r="I24" s="2682">
        <v>1.67</v>
      </c>
      <c r="J24" s="2682">
        <v>1.31</v>
      </c>
      <c r="K24" s="2682">
        <v>1.85</v>
      </c>
      <c r="L24" s="2693">
        <v>0.96</v>
      </c>
      <c r="N24" s="2695">
        <f t="shared" si="11"/>
        <v>1.67E-2</v>
      </c>
      <c r="O24" s="2696">
        <f t="shared" si="7"/>
        <v>1.3100000000000001E-2</v>
      </c>
      <c r="P24" s="2696">
        <f t="shared" si="7"/>
        <v>1.8500000000000003E-2</v>
      </c>
      <c r="Q24" s="2696">
        <f t="shared" si="7"/>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2594</v>
      </c>
      <c r="B25" s="2722">
        <v>278</v>
      </c>
      <c r="C25" s="2722">
        <v>234</v>
      </c>
      <c r="D25" s="2722">
        <f t="shared" si="9"/>
        <v>234</v>
      </c>
      <c r="E25" s="2722">
        <v>379</v>
      </c>
      <c r="F25" s="2723">
        <v>220</v>
      </c>
      <c r="G25" s="3473">
        <v>2012</v>
      </c>
      <c r="H25" s="2698">
        <v>4</v>
      </c>
      <c r="I25" s="2698">
        <v>0.91</v>
      </c>
      <c r="J25" s="2698">
        <v>0.68</v>
      </c>
      <c r="K25" s="2698">
        <v>0.98</v>
      </c>
      <c r="L25" s="2699">
        <v>0.9</v>
      </c>
      <c r="N25" s="2687">
        <f t="shared" si="11"/>
        <v>9.1000000000000004E-3</v>
      </c>
      <c r="O25" s="2688">
        <f t="shared" si="11"/>
        <v>6.8000000000000005E-3</v>
      </c>
      <c r="P25" s="2688">
        <f t="shared" si="11"/>
        <v>9.7999999999999997E-3</v>
      </c>
      <c r="Q25" s="2688">
        <f t="shared" si="11"/>
        <v>9.0000000000000011E-3</v>
      </c>
      <c r="R25" s="2689"/>
      <c r="S25" s="2690"/>
      <c r="T25" s="2691"/>
      <c r="U25" s="2691"/>
      <c r="V25" s="2691"/>
      <c r="X25" s="2691"/>
      <c r="Y25" s="2691"/>
      <c r="Z25" s="2691"/>
    </row>
    <row r="26" spans="1:34">
      <c r="A26" s="2678" t="s">
        <v>2595</v>
      </c>
      <c r="B26" s="2692">
        <f>B25/(1+N25)</f>
        <v>275.49301357645425</v>
      </c>
      <c r="C26" s="2692">
        <f>C25/(1+O25)</f>
        <v>232.41954707985698</v>
      </c>
      <c r="D26" s="2692">
        <f t="shared" si="9"/>
        <v>232.41954707985698</v>
      </c>
      <c r="E26" s="2692">
        <f t="shared" ref="E26:F28" si="18">E25/(1+P25)</f>
        <v>375.32184591008121</v>
      </c>
      <c r="F26" s="2692">
        <f t="shared" si="18"/>
        <v>218.03766105054513</v>
      </c>
      <c r="G26" s="3474"/>
      <c r="H26" s="2703">
        <v>3</v>
      </c>
      <c r="I26" s="2703">
        <v>0.09</v>
      </c>
      <c r="J26" s="2703">
        <v>0.28999999999999998</v>
      </c>
      <c r="K26" s="2703">
        <v>-0.01</v>
      </c>
      <c r="L26" s="2704">
        <v>0.57999999999999996</v>
      </c>
      <c r="N26" s="2687">
        <f t="shared" si="11"/>
        <v>8.9999999999999998E-4</v>
      </c>
      <c r="O26" s="2688">
        <f t="shared" si="11"/>
        <v>2.8999999999999998E-3</v>
      </c>
      <c r="P26" s="2688">
        <f t="shared" si="11"/>
        <v>-1E-4</v>
      </c>
      <c r="Q26" s="2688">
        <f t="shared" si="11"/>
        <v>5.7999999999999996E-3</v>
      </c>
      <c r="R26" s="2689"/>
      <c r="S26" s="2687"/>
      <c r="T26" s="2688"/>
      <c r="U26" s="2688"/>
      <c r="V26" s="2688"/>
    </row>
    <row r="27" spans="1:34">
      <c r="A27" s="2678" t="s">
        <v>2596</v>
      </c>
      <c r="B27" s="2692">
        <f>B26/(1+N26)</f>
        <v>275.24529281292263</v>
      </c>
      <c r="C27" s="2692">
        <f>C26/(1+O26)</f>
        <v>231.74747938962707</v>
      </c>
      <c r="D27" s="2692">
        <f t="shared" si="9"/>
        <v>231.74747938962707</v>
      </c>
      <c r="E27" s="2692">
        <f t="shared" si="18"/>
        <v>375.35938184826603</v>
      </c>
      <c r="F27" s="2692">
        <f t="shared" si="18"/>
        <v>216.78033510692495</v>
      </c>
      <c r="G27" s="3474"/>
      <c r="H27" s="2683">
        <v>2</v>
      </c>
      <c r="I27" s="2683">
        <v>0.02</v>
      </c>
      <c r="J27" s="2683">
        <v>0.12</v>
      </c>
      <c r="K27" s="2683">
        <v>-0.08</v>
      </c>
      <c r="L27" s="2694">
        <v>1.24</v>
      </c>
      <c r="N27" s="2687">
        <f t="shared" si="11"/>
        <v>2.0000000000000001E-4</v>
      </c>
      <c r="O27" s="2688">
        <f t="shared" si="11"/>
        <v>1.1999999999999999E-3</v>
      </c>
      <c r="P27" s="2688">
        <f t="shared" si="11"/>
        <v>-8.0000000000000004E-4</v>
      </c>
      <c r="Q27" s="2688">
        <f t="shared" si="11"/>
        <v>1.24E-2</v>
      </c>
      <c r="R27" s="2689"/>
      <c r="S27" s="2687"/>
      <c r="T27" s="2688"/>
      <c r="U27" s="2688"/>
      <c r="V27" s="2688"/>
    </row>
    <row r="28" spans="1:34" ht="13.5" thickBot="1">
      <c r="A28" s="2678" t="s">
        <v>2597</v>
      </c>
      <c r="B28" s="2692">
        <f>B27/(1+N27)</f>
        <v>275.19025476197027</v>
      </c>
      <c r="C28" s="2724">
        <v>232</v>
      </c>
      <c r="D28" s="2724">
        <f t="shared" si="9"/>
        <v>232</v>
      </c>
      <c r="E28" s="2692">
        <f t="shared" si="18"/>
        <v>375.65990977608692</v>
      </c>
      <c r="F28" s="2692">
        <f t="shared" si="18"/>
        <v>214.12518283971252</v>
      </c>
      <c r="G28" s="3475"/>
      <c r="H28" s="2682">
        <v>1</v>
      </c>
      <c r="I28" s="2682">
        <v>0.02</v>
      </c>
      <c r="J28" s="2682">
        <v>0.13</v>
      </c>
      <c r="K28" s="2682">
        <v>-0.04</v>
      </c>
      <c r="L28" s="2693">
        <v>0.46</v>
      </c>
      <c r="N28" s="2687">
        <f t="shared" si="11"/>
        <v>2.0000000000000001E-4</v>
      </c>
      <c r="O28" s="2688">
        <f t="shared" si="11"/>
        <v>1.2999999999999999E-3</v>
      </c>
      <c r="P28" s="2688">
        <f t="shared" si="11"/>
        <v>-4.0000000000000002E-4</v>
      </c>
      <c r="Q28" s="2688">
        <f t="shared" si="11"/>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2598</v>
      </c>
      <c r="B29" s="2684">
        <v>275</v>
      </c>
      <c r="C29" s="2684">
        <v>232</v>
      </c>
      <c r="D29" s="2684">
        <f t="shared" si="9"/>
        <v>232</v>
      </c>
      <c r="E29" s="2684">
        <v>376</v>
      </c>
      <c r="F29" s="2685">
        <v>213</v>
      </c>
      <c r="G29" s="3473">
        <v>2011</v>
      </c>
      <c r="H29" s="2698">
        <v>4</v>
      </c>
      <c r="I29" s="2698">
        <v>-0.2</v>
      </c>
      <c r="J29" s="2698">
        <v>0.04</v>
      </c>
      <c r="K29" s="2698">
        <v>-0.34</v>
      </c>
      <c r="L29" s="2699">
        <v>0.46</v>
      </c>
      <c r="N29" s="2700">
        <f t="shared" si="11"/>
        <v>-2E-3</v>
      </c>
      <c r="O29" s="2701">
        <f t="shared" si="11"/>
        <v>4.0000000000000002E-4</v>
      </c>
      <c r="P29" s="2701">
        <f t="shared" si="11"/>
        <v>-3.4000000000000002E-3</v>
      </c>
      <c r="Q29" s="2701">
        <f t="shared" si="11"/>
        <v>4.5999999999999999E-3</v>
      </c>
      <c r="R29" s="2689"/>
      <c r="S29" s="2690"/>
      <c r="T29" s="2691"/>
      <c r="U29" s="2691"/>
      <c r="V29" s="2691"/>
      <c r="X29" s="2691"/>
      <c r="Y29" s="2691"/>
      <c r="Z29" s="2691"/>
    </row>
    <row r="30" spans="1:34">
      <c r="A30" s="2678" t="s">
        <v>2599</v>
      </c>
      <c r="B30" s="2692">
        <f t="shared" ref="B30:C32" si="19">B29/(1+N29)</f>
        <v>275.55110220440883</v>
      </c>
      <c r="C30" s="2692">
        <f t="shared" si="19"/>
        <v>231.90723710515795</v>
      </c>
      <c r="D30" s="2692">
        <f t="shared" si="9"/>
        <v>231.90723710515795</v>
      </c>
      <c r="E30" s="2692">
        <f t="shared" ref="E30:F32" si="20">E29/(1+P29)</f>
        <v>377.28276138872161</v>
      </c>
      <c r="F30" s="2692">
        <f t="shared" si="20"/>
        <v>212.02468644236512</v>
      </c>
      <c r="G30" s="3474">
        <v>2011</v>
      </c>
      <c r="H30" s="2703">
        <v>3</v>
      </c>
      <c r="I30" s="2703">
        <v>0.13</v>
      </c>
      <c r="J30" s="2703">
        <v>0.75</v>
      </c>
      <c r="K30" s="2703">
        <v>-0.08</v>
      </c>
      <c r="L30" s="2704">
        <v>0.53</v>
      </c>
      <c r="N30" s="2687">
        <f t="shared" si="11"/>
        <v>1.2999999999999999E-3</v>
      </c>
      <c r="O30" s="2705">
        <f t="shared" si="11"/>
        <v>7.4999999999999997E-3</v>
      </c>
      <c r="P30" s="2705">
        <f t="shared" si="11"/>
        <v>-8.0000000000000004E-4</v>
      </c>
      <c r="Q30" s="2705">
        <f t="shared" si="11"/>
        <v>5.3E-3</v>
      </c>
      <c r="R30" s="2689"/>
      <c r="S30" s="2687"/>
      <c r="T30" s="2688"/>
      <c r="U30" s="2688"/>
      <c r="V30" s="2688"/>
    </row>
    <row r="31" spans="1:34">
      <c r="A31" s="2678" t="s">
        <v>2600</v>
      </c>
      <c r="B31" s="2692">
        <f t="shared" si="19"/>
        <v>275.19335084830601</v>
      </c>
      <c r="C31" s="2692">
        <f t="shared" si="19"/>
        <v>230.18088050139744</v>
      </c>
      <c r="D31" s="2692">
        <f t="shared" si="9"/>
        <v>230.18088050139744</v>
      </c>
      <c r="E31" s="2692">
        <f t="shared" si="20"/>
        <v>377.58482925212331</v>
      </c>
      <c r="F31" s="2692">
        <f t="shared" si="20"/>
        <v>210.90687997847917</v>
      </c>
      <c r="G31" s="3474">
        <v>2011</v>
      </c>
      <c r="H31" s="2683">
        <v>2</v>
      </c>
      <c r="I31" s="2683">
        <v>-0.4</v>
      </c>
      <c r="J31" s="2683">
        <v>0.17</v>
      </c>
      <c r="K31" s="2683">
        <v>-0.57999999999999996</v>
      </c>
      <c r="L31" s="2694">
        <v>-0.2</v>
      </c>
      <c r="N31" s="2687">
        <f t="shared" si="11"/>
        <v>-4.0000000000000001E-3</v>
      </c>
      <c r="O31" s="2705">
        <f t="shared" si="11"/>
        <v>1.7000000000000001E-3</v>
      </c>
      <c r="P31" s="2705">
        <f t="shared" si="11"/>
        <v>-5.7999999999999996E-3</v>
      </c>
      <c r="Q31" s="2705">
        <f t="shared" si="11"/>
        <v>-2E-3</v>
      </c>
      <c r="R31" s="2689"/>
      <c r="S31" s="2687"/>
      <c r="T31" s="2688"/>
      <c r="U31" s="2688"/>
      <c r="V31" s="2688"/>
    </row>
    <row r="32" spans="1:34" ht="13.5" thickBot="1">
      <c r="A32" s="2678" t="s">
        <v>2601</v>
      </c>
      <c r="B32" s="2692">
        <f t="shared" si="19"/>
        <v>276.29854502841971</v>
      </c>
      <c r="C32" s="2692">
        <f t="shared" si="19"/>
        <v>229.79023709833027</v>
      </c>
      <c r="D32" s="2692">
        <f t="shared" si="9"/>
        <v>229.79023709833027</v>
      </c>
      <c r="E32" s="2692">
        <f t="shared" si="20"/>
        <v>379.78759731655936</v>
      </c>
      <c r="F32" s="2692">
        <f t="shared" si="20"/>
        <v>211.32953905659235</v>
      </c>
      <c r="G32" s="3475">
        <v>2011</v>
      </c>
      <c r="H32" s="2682">
        <v>1</v>
      </c>
      <c r="I32" s="2682">
        <v>2.65</v>
      </c>
      <c r="J32" s="2682">
        <v>3.76</v>
      </c>
      <c r="K32" s="2682">
        <v>1.89</v>
      </c>
      <c r="L32" s="2693">
        <v>7.95</v>
      </c>
      <c r="N32" s="2695">
        <f t="shared" si="11"/>
        <v>2.6499999999999999E-2</v>
      </c>
      <c r="O32" s="2696">
        <f t="shared" si="11"/>
        <v>3.7599999999999995E-2</v>
      </c>
      <c r="P32" s="2696">
        <f t="shared" si="11"/>
        <v>1.89E-2</v>
      </c>
      <c r="Q32" s="2696">
        <f t="shared" si="11"/>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2602</v>
      </c>
      <c r="B33" s="2684">
        <v>269</v>
      </c>
      <c r="C33" s="2684">
        <v>221</v>
      </c>
      <c r="D33" s="2684">
        <f t="shared" si="9"/>
        <v>221</v>
      </c>
      <c r="E33" s="2684">
        <v>373</v>
      </c>
      <c r="F33" s="2685">
        <v>196</v>
      </c>
      <c r="G33" s="3473">
        <v>2010</v>
      </c>
      <c r="H33" s="2698">
        <v>4</v>
      </c>
      <c r="I33" s="2698">
        <v>5.72</v>
      </c>
      <c r="J33" s="2698">
        <v>6.57</v>
      </c>
      <c r="K33" s="2698">
        <v>5.72</v>
      </c>
      <c r="L33" s="2699">
        <v>2.72</v>
      </c>
      <c r="N33" s="2687">
        <f t="shared" si="11"/>
        <v>5.7200000000000001E-2</v>
      </c>
      <c r="O33" s="2688">
        <f t="shared" si="11"/>
        <v>6.5700000000000008E-2</v>
      </c>
      <c r="P33" s="2688">
        <f t="shared" si="11"/>
        <v>5.7200000000000001E-2</v>
      </c>
      <c r="Q33" s="2688">
        <f t="shared" si="11"/>
        <v>2.7200000000000002E-2</v>
      </c>
      <c r="R33" s="2689"/>
      <c r="S33" s="2690"/>
      <c r="T33" s="2691"/>
      <c r="U33" s="2691"/>
      <c r="V33" s="2691"/>
      <c r="X33" s="2691"/>
      <c r="Y33" s="2691"/>
      <c r="Z33" s="2691"/>
    </row>
    <row r="34" spans="1:26">
      <c r="A34" s="2678" t="s">
        <v>2603</v>
      </c>
      <c r="B34" s="2692">
        <f t="shared" ref="B34:C36" si="21">B33/(1+N33)</f>
        <v>254.44570563753314</v>
      </c>
      <c r="C34" s="2692">
        <f t="shared" si="21"/>
        <v>207.37543398705074</v>
      </c>
      <c r="D34" s="2692">
        <f t="shared" si="9"/>
        <v>207.37543398705074</v>
      </c>
      <c r="E34" s="2692">
        <f t="shared" ref="E34:F36" si="22">E33/(1+P33)</f>
        <v>352.81876655315932</v>
      </c>
      <c r="F34" s="2692">
        <f t="shared" si="22"/>
        <v>190.809968847352</v>
      </c>
      <c r="G34" s="3474">
        <v>2010</v>
      </c>
      <c r="H34" s="2703">
        <v>3</v>
      </c>
      <c r="I34" s="2703">
        <v>4.7300000000000004</v>
      </c>
      <c r="J34" s="2703">
        <v>3.9</v>
      </c>
      <c r="K34" s="2703">
        <v>5.03</v>
      </c>
      <c r="L34" s="2704">
        <v>4.21</v>
      </c>
      <c r="N34" s="2687">
        <f t="shared" si="11"/>
        <v>4.7300000000000002E-2</v>
      </c>
      <c r="O34" s="2688">
        <f t="shared" si="11"/>
        <v>3.9E-2</v>
      </c>
      <c r="P34" s="2688">
        <f t="shared" si="11"/>
        <v>5.0300000000000004E-2</v>
      </c>
      <c r="Q34" s="2688">
        <f t="shared" si="11"/>
        <v>4.2099999999999999E-2</v>
      </c>
      <c r="R34" s="2689"/>
      <c r="S34" s="2687"/>
      <c r="T34" s="2688"/>
      <c r="U34" s="2688"/>
      <c r="V34" s="2688"/>
    </row>
    <row r="35" spans="1:26">
      <c r="A35" s="2678" t="s">
        <v>2604</v>
      </c>
      <c r="B35" s="2692">
        <f t="shared" si="21"/>
        <v>242.95398227588385</v>
      </c>
      <c r="C35" s="2692">
        <f t="shared" si="21"/>
        <v>199.59137053614126</v>
      </c>
      <c r="D35" s="2692">
        <f t="shared" si="9"/>
        <v>199.59137053614126</v>
      </c>
      <c r="E35" s="2692">
        <f t="shared" si="22"/>
        <v>335.92189522342125</v>
      </c>
      <c r="F35" s="2692">
        <f t="shared" si="22"/>
        <v>183.10139991109489</v>
      </c>
      <c r="G35" s="3474">
        <v>2010</v>
      </c>
      <c r="H35" s="2683">
        <v>2</v>
      </c>
      <c r="I35" s="2683">
        <v>4.6900000000000004</v>
      </c>
      <c r="J35" s="2683">
        <v>3.55</v>
      </c>
      <c r="K35" s="2683">
        <v>5.07</v>
      </c>
      <c r="L35" s="2694">
        <v>4.2300000000000004</v>
      </c>
      <c r="N35" s="2687">
        <f t="shared" si="11"/>
        <v>4.6900000000000004E-2</v>
      </c>
      <c r="O35" s="2688">
        <f t="shared" si="11"/>
        <v>3.5499999999999997E-2</v>
      </c>
      <c r="P35" s="2688">
        <f t="shared" si="11"/>
        <v>5.0700000000000002E-2</v>
      </c>
      <c r="Q35" s="2688">
        <f t="shared" si="11"/>
        <v>4.2300000000000004E-2</v>
      </c>
      <c r="R35" s="2689"/>
      <c r="S35" s="2687"/>
      <c r="T35" s="2688"/>
      <c r="U35" s="2688"/>
      <c r="V35" s="2688"/>
    </row>
    <row r="36" spans="1:26" ht="13.5" thickBot="1">
      <c r="A36" s="2678" t="s">
        <v>2605</v>
      </c>
      <c r="B36" s="2692">
        <f t="shared" si="21"/>
        <v>232.06990378821649</v>
      </c>
      <c r="C36" s="2692">
        <f t="shared" si="21"/>
        <v>192.74878854286936</v>
      </c>
      <c r="D36" s="2692">
        <f t="shared" si="9"/>
        <v>192.74878854286936</v>
      </c>
      <c r="E36" s="2692">
        <f t="shared" si="22"/>
        <v>319.71247284992984</v>
      </c>
      <c r="F36" s="2692">
        <f t="shared" si="22"/>
        <v>175.67053622862409</v>
      </c>
      <c r="G36" s="3475">
        <v>2010</v>
      </c>
      <c r="H36" s="2682">
        <v>1</v>
      </c>
      <c r="I36" s="2682">
        <v>5.4</v>
      </c>
      <c r="J36" s="2682">
        <v>3.2</v>
      </c>
      <c r="K36" s="2682">
        <v>6.16</v>
      </c>
      <c r="L36" s="2693">
        <v>4.51</v>
      </c>
      <c r="N36" s="2687">
        <f t="shared" si="11"/>
        <v>5.4000000000000006E-2</v>
      </c>
      <c r="O36" s="2688">
        <f t="shared" si="11"/>
        <v>3.2000000000000001E-2</v>
      </c>
      <c r="P36" s="2688">
        <f t="shared" si="11"/>
        <v>6.1600000000000002E-2</v>
      </c>
      <c r="Q36" s="2688">
        <f t="shared" si="11"/>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2606</v>
      </c>
      <c r="B37" s="2684">
        <v>220</v>
      </c>
      <c r="C37" s="2684">
        <v>187</v>
      </c>
      <c r="D37" s="2684">
        <f t="shared" si="9"/>
        <v>187</v>
      </c>
      <c r="E37" s="2684">
        <v>301</v>
      </c>
      <c r="F37" s="2685">
        <v>168</v>
      </c>
      <c r="G37" s="3473">
        <v>2009</v>
      </c>
      <c r="H37" s="2698">
        <v>4</v>
      </c>
      <c r="I37" s="2698">
        <v>2.2999999999999998</v>
      </c>
      <c r="J37" s="2698">
        <v>1.04</v>
      </c>
      <c r="K37" s="2698">
        <v>2.84</v>
      </c>
      <c r="L37" s="2699">
        <v>0.67</v>
      </c>
      <c r="N37" s="2700">
        <f t="shared" si="11"/>
        <v>2.3E-2</v>
      </c>
      <c r="O37" s="2701">
        <f t="shared" si="11"/>
        <v>1.04E-2</v>
      </c>
      <c r="P37" s="2701">
        <f t="shared" si="11"/>
        <v>2.8399999999999998E-2</v>
      </c>
      <c r="Q37" s="2701">
        <f t="shared" si="11"/>
        <v>6.7000000000000002E-3</v>
      </c>
      <c r="R37" s="2689"/>
      <c r="S37" s="2690"/>
      <c r="T37" s="2691"/>
      <c r="U37" s="2691"/>
      <c r="V37" s="2691"/>
      <c r="X37" s="2691"/>
      <c r="Y37" s="2691"/>
      <c r="Z37" s="2691"/>
    </row>
    <row r="38" spans="1:26">
      <c r="A38" s="2678" t="s">
        <v>2607</v>
      </c>
      <c r="B38" s="2692">
        <f t="shared" ref="B38:C40" si="23">B37/(1+N37)</f>
        <v>215.05376344086022</v>
      </c>
      <c r="C38" s="2692">
        <f t="shared" si="23"/>
        <v>185.0752177355503</v>
      </c>
      <c r="D38" s="2692">
        <f t="shared" si="9"/>
        <v>185.0752177355503</v>
      </c>
      <c r="E38" s="2692">
        <f t="shared" ref="E38:F40" si="24">E37/(1+P37)</f>
        <v>292.68767016725008</v>
      </c>
      <c r="F38" s="2692">
        <f t="shared" si="24"/>
        <v>166.88189132810174</v>
      </c>
      <c r="G38" s="3474">
        <v>2009</v>
      </c>
      <c r="H38" s="2703">
        <v>3</v>
      </c>
      <c r="I38" s="2703">
        <v>2.1</v>
      </c>
      <c r="J38" s="2703">
        <v>1.86</v>
      </c>
      <c r="K38" s="2703">
        <v>2.29</v>
      </c>
      <c r="L38" s="2704">
        <v>0.85</v>
      </c>
      <c r="N38" s="2687">
        <f t="shared" si="11"/>
        <v>2.1000000000000001E-2</v>
      </c>
      <c r="O38" s="2705">
        <f t="shared" si="11"/>
        <v>1.8600000000000002E-2</v>
      </c>
      <c r="P38" s="2705">
        <f t="shared" si="11"/>
        <v>2.29E-2</v>
      </c>
      <c r="Q38" s="2705">
        <f t="shared" si="11"/>
        <v>8.5000000000000006E-3</v>
      </c>
      <c r="R38" s="2689"/>
      <c r="S38" s="2687"/>
      <c r="T38" s="2688"/>
      <c r="U38" s="2688"/>
      <c r="V38" s="2688"/>
    </row>
    <row r="39" spans="1:26">
      <c r="A39" s="2678" t="s">
        <v>2608</v>
      </c>
      <c r="B39" s="2692">
        <f t="shared" si="23"/>
        <v>210.630522469011</v>
      </c>
      <c r="C39" s="2692">
        <f t="shared" si="23"/>
        <v>181.69567812247232</v>
      </c>
      <c r="D39" s="2692">
        <f t="shared" si="9"/>
        <v>181.69567812247232</v>
      </c>
      <c r="E39" s="2692">
        <f t="shared" si="24"/>
        <v>286.13517466736738</v>
      </c>
      <c r="F39" s="2692">
        <f t="shared" si="24"/>
        <v>165.47535084591149</v>
      </c>
      <c r="G39" s="3474">
        <v>2009</v>
      </c>
      <c r="H39" s="2683">
        <v>2</v>
      </c>
      <c r="I39" s="2683">
        <v>0.86</v>
      </c>
      <c r="J39" s="2683">
        <v>-1.1299999999999999</v>
      </c>
      <c r="K39" s="2683">
        <v>1.79</v>
      </c>
      <c r="L39" s="2694">
        <v>-2.0699999999999998</v>
      </c>
      <c r="N39" s="2687">
        <f t="shared" si="11"/>
        <v>8.6E-3</v>
      </c>
      <c r="O39" s="2705">
        <f t="shared" si="11"/>
        <v>-1.1299999999999999E-2</v>
      </c>
      <c r="P39" s="2705">
        <f t="shared" si="11"/>
        <v>1.7899999999999999E-2</v>
      </c>
      <c r="Q39" s="2705">
        <f t="shared" si="11"/>
        <v>-2.07E-2</v>
      </c>
      <c r="R39" s="2689"/>
      <c r="S39" s="2687"/>
      <c r="T39" s="2688"/>
      <c r="U39" s="2688"/>
      <c r="V39" s="2688"/>
    </row>
    <row r="40" spans="1:26">
      <c r="A40" s="2678" t="s">
        <v>2609</v>
      </c>
      <c r="B40" s="2692">
        <f t="shared" si="23"/>
        <v>208.83454537875372</v>
      </c>
      <c r="C40" s="2692">
        <f t="shared" si="23"/>
        <v>183.77230517090351</v>
      </c>
      <c r="D40" s="2692">
        <f t="shared" si="9"/>
        <v>183.77230517090351</v>
      </c>
      <c r="E40" s="2692">
        <f t="shared" si="24"/>
        <v>281.10342338870947</v>
      </c>
      <c r="F40" s="2692">
        <f t="shared" si="24"/>
        <v>168.97309388942256</v>
      </c>
      <c r="G40" s="3475">
        <v>2009</v>
      </c>
      <c r="H40" s="2682">
        <v>1</v>
      </c>
      <c r="I40" s="2682">
        <v>-2.64</v>
      </c>
      <c r="J40" s="2682">
        <v>-2.5299999999999998</v>
      </c>
      <c r="K40" s="2682">
        <v>-3.02</v>
      </c>
      <c r="L40" s="2693">
        <v>1.52</v>
      </c>
      <c r="N40" s="2695">
        <f t="shared" si="11"/>
        <v>-2.64E-2</v>
      </c>
      <c r="O40" s="2696">
        <f t="shared" si="11"/>
        <v>-2.53E-2</v>
      </c>
      <c r="P40" s="2696">
        <f t="shared" si="11"/>
        <v>-3.0200000000000001E-2</v>
      </c>
      <c r="Q40" s="2696">
        <f t="shared" si="11"/>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2610</v>
      </c>
      <c r="B41" s="2722">
        <v>214</v>
      </c>
      <c r="C41" s="2722">
        <v>188</v>
      </c>
      <c r="D41" s="2722">
        <f t="shared" si="9"/>
        <v>188</v>
      </c>
      <c r="E41" s="2722">
        <v>289</v>
      </c>
      <c r="F41" s="2723">
        <v>166</v>
      </c>
      <c r="G41" s="3473">
        <v>2008</v>
      </c>
      <c r="H41" s="2698">
        <v>4</v>
      </c>
      <c r="I41" s="2698">
        <v>1.73</v>
      </c>
      <c r="J41" s="2698">
        <v>0.03</v>
      </c>
      <c r="K41" s="2698">
        <v>2.59</v>
      </c>
      <c r="L41" s="2699">
        <v>-1.66</v>
      </c>
      <c r="N41" s="2687">
        <f t="shared" si="11"/>
        <v>1.7299999999999999E-2</v>
      </c>
      <c r="O41" s="2688">
        <f t="shared" si="11"/>
        <v>2.9999999999999997E-4</v>
      </c>
      <c r="P41" s="2688">
        <f t="shared" si="11"/>
        <v>2.5899999999999999E-2</v>
      </c>
      <c r="Q41" s="2688">
        <f t="shared" si="11"/>
        <v>-1.66E-2</v>
      </c>
      <c r="R41" s="2689"/>
      <c r="S41" s="2690"/>
      <c r="T41" s="2691"/>
      <c r="U41" s="2691"/>
      <c r="V41" s="2691"/>
      <c r="X41" s="2691"/>
      <c r="Y41" s="2691"/>
      <c r="Z41" s="2691"/>
    </row>
    <row r="42" spans="1:26">
      <c r="A42" s="2678" t="s">
        <v>2611</v>
      </c>
      <c r="B42" s="2692">
        <f t="shared" ref="B42:C44" si="25">B41/(1+N41)</f>
        <v>210.36075887152265</v>
      </c>
      <c r="C42" s="2692">
        <f t="shared" si="25"/>
        <v>187.94361691492554</v>
      </c>
      <c r="D42" s="2692">
        <f t="shared" si="9"/>
        <v>187.94361691492554</v>
      </c>
      <c r="E42" s="2692">
        <f t="shared" ref="E42:F44" si="26">E41/(1+P41)</f>
        <v>281.70386977288234</v>
      </c>
      <c r="F42" s="2692">
        <f t="shared" si="26"/>
        <v>168.80211511083994</v>
      </c>
      <c r="G42" s="3474">
        <v>2008</v>
      </c>
      <c r="H42" s="2703">
        <v>3</v>
      </c>
      <c r="I42" s="2703">
        <v>1.96</v>
      </c>
      <c r="J42" s="2703">
        <v>2.36</v>
      </c>
      <c r="K42" s="2703">
        <v>1.82</v>
      </c>
      <c r="L42" s="2704">
        <v>2.2200000000000002</v>
      </c>
      <c r="N42" s="2687">
        <f t="shared" si="11"/>
        <v>1.9599999999999999E-2</v>
      </c>
      <c r="O42" s="2688">
        <f t="shared" si="11"/>
        <v>2.3599999999999999E-2</v>
      </c>
      <c r="P42" s="2688">
        <f t="shared" si="11"/>
        <v>1.8200000000000001E-2</v>
      </c>
      <c r="Q42" s="2688">
        <f t="shared" si="11"/>
        <v>2.2200000000000001E-2</v>
      </c>
      <c r="R42" s="2689"/>
      <c r="S42" s="2687"/>
      <c r="T42" s="2688"/>
      <c r="U42" s="2688"/>
      <c r="V42" s="2688"/>
    </row>
    <row r="43" spans="1:26">
      <c r="A43" s="2678" t="s">
        <v>2612</v>
      </c>
      <c r="B43" s="2692">
        <f t="shared" si="25"/>
        <v>206.31694671589116</v>
      </c>
      <c r="C43" s="2692">
        <f t="shared" si="25"/>
        <v>183.61041121036101</v>
      </c>
      <c r="D43" s="2692">
        <f t="shared" si="9"/>
        <v>183.61041121036101</v>
      </c>
      <c r="E43" s="2692">
        <f t="shared" si="26"/>
        <v>276.66850301795557</v>
      </c>
      <c r="F43" s="2692">
        <f t="shared" si="26"/>
        <v>165.1360938278614</v>
      </c>
      <c r="G43" s="3474">
        <v>2008</v>
      </c>
      <c r="H43" s="2683">
        <v>2</v>
      </c>
      <c r="I43" s="2683">
        <v>4.93</v>
      </c>
      <c r="J43" s="2683">
        <v>7.38</v>
      </c>
      <c r="K43" s="2683">
        <v>3.98</v>
      </c>
      <c r="L43" s="2694">
        <v>6.86</v>
      </c>
      <c r="N43" s="2687">
        <f t="shared" si="11"/>
        <v>4.9299999999999997E-2</v>
      </c>
      <c r="O43" s="2688">
        <f t="shared" si="11"/>
        <v>7.3800000000000004E-2</v>
      </c>
      <c r="P43" s="2688">
        <f t="shared" si="11"/>
        <v>3.9800000000000002E-2</v>
      </c>
      <c r="Q43" s="2688">
        <f t="shared" si="11"/>
        <v>6.8600000000000008E-2</v>
      </c>
      <c r="R43" s="2689"/>
      <c r="S43" s="2687"/>
      <c r="T43" s="2688"/>
      <c r="U43" s="2688"/>
      <c r="V43" s="2688"/>
    </row>
    <row r="44" spans="1:26" s="2728" customFormat="1" ht="13.5" thickBot="1">
      <c r="A44" s="2678" t="s">
        <v>2613</v>
      </c>
      <c r="B44" s="2725">
        <f t="shared" si="25"/>
        <v>196.62341248059772</v>
      </c>
      <c r="C44" s="2725">
        <f t="shared" si="25"/>
        <v>170.99125648199012</v>
      </c>
      <c r="D44" s="2725">
        <f t="shared" si="9"/>
        <v>170.99125648199012</v>
      </c>
      <c r="E44" s="2725">
        <f t="shared" si="26"/>
        <v>266.07857570490052</v>
      </c>
      <c r="F44" s="2725">
        <f t="shared" si="26"/>
        <v>154.53499328828505</v>
      </c>
      <c r="G44" s="3475">
        <v>2008</v>
      </c>
      <c r="H44" s="2726">
        <v>1</v>
      </c>
      <c r="I44" s="2726">
        <v>4.1399999999999997</v>
      </c>
      <c r="J44" s="2726">
        <v>3.45</v>
      </c>
      <c r="K44" s="2726">
        <v>4.95</v>
      </c>
      <c r="L44" s="2727">
        <v>4.82</v>
      </c>
      <c r="N44" s="2729">
        <f t="shared" si="11"/>
        <v>4.1399999999999999E-2</v>
      </c>
      <c r="O44" s="2730">
        <f t="shared" si="11"/>
        <v>3.4500000000000003E-2</v>
      </c>
      <c r="P44" s="2730">
        <f t="shared" si="11"/>
        <v>4.9500000000000002E-2</v>
      </c>
      <c r="Q44" s="2730">
        <f t="shared" si="11"/>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2614</v>
      </c>
      <c r="B45" s="2684">
        <v>188</v>
      </c>
      <c r="C45" s="2684">
        <v>165</v>
      </c>
      <c r="D45" s="2684">
        <f t="shared" si="9"/>
        <v>165</v>
      </c>
      <c r="E45" s="2684">
        <v>254</v>
      </c>
      <c r="F45" s="2685">
        <v>148</v>
      </c>
      <c r="G45" s="3473">
        <v>2007</v>
      </c>
      <c r="H45" s="2733">
        <v>4</v>
      </c>
      <c r="I45" s="2733">
        <v>5.51</v>
      </c>
      <c r="J45" s="2733">
        <v>4.8899999999999997</v>
      </c>
      <c r="K45" s="2733">
        <v>6.43</v>
      </c>
      <c r="L45" s="2734">
        <v>5.36</v>
      </c>
      <c r="N45" s="2735">
        <f t="shared" ref="N45:O48" si="27">B45/B46-1</f>
        <v>4.1339718365245526E-2</v>
      </c>
      <c r="O45" s="2736">
        <f t="shared" si="27"/>
        <v>4.0324492593776018E-2</v>
      </c>
      <c r="P45" s="2736">
        <f t="shared" ref="P45:Q48" si="28">E45/E46-1</f>
        <v>6.1625555347990968E-2</v>
      </c>
      <c r="Q45" s="2736">
        <f t="shared" si="28"/>
        <v>4.6757569250590603E-2</v>
      </c>
      <c r="R45" s="2689"/>
      <c r="S45" s="2690"/>
      <c r="T45" s="2691"/>
      <c r="U45" s="2691"/>
      <c r="V45" s="2691"/>
      <c r="X45" s="2691"/>
      <c r="Y45" s="2691"/>
      <c r="Z45" s="2691"/>
    </row>
    <row r="46" spans="1:26">
      <c r="A46" s="2678" t="s">
        <v>2615</v>
      </c>
      <c r="B46" s="2692">
        <f t="shared" ref="B46:C48" si="29">B47+(B$45-B$49)*I46/SUM(I$45:I$48)</f>
        <v>180.5366651097618</v>
      </c>
      <c r="C46" s="2692">
        <f t="shared" si="29"/>
        <v>158.60435967302453</v>
      </c>
      <c r="D46" s="2692">
        <f t="shared" si="9"/>
        <v>158.60435967302453</v>
      </c>
      <c r="E46" s="2692">
        <f t="shared" ref="E46:F48" si="30">E47+(E$45-E$49)*K46/SUM(K$45:K$48)</f>
        <v>239.25573260785075</v>
      </c>
      <c r="F46" s="2692">
        <f t="shared" si="30"/>
        <v>141.38899430740037</v>
      </c>
      <c r="G46" s="3474">
        <v>2007</v>
      </c>
      <c r="H46" s="2703">
        <v>3</v>
      </c>
      <c r="I46" s="2703">
        <v>8.65</v>
      </c>
      <c r="J46" s="2703">
        <v>8.06</v>
      </c>
      <c r="K46" s="2703">
        <v>9.94</v>
      </c>
      <c r="L46" s="2704">
        <v>5.8</v>
      </c>
      <c r="N46" s="2735">
        <f t="shared" si="27"/>
        <v>6.940217571740015E-2</v>
      </c>
      <c r="O46" s="2736">
        <f t="shared" si="27"/>
        <v>7.1197482471153428E-2</v>
      </c>
      <c r="P46" s="2736">
        <f t="shared" si="28"/>
        <v>0.10529679922579582</v>
      </c>
      <c r="Q46" s="2736">
        <f t="shared" si="28"/>
        <v>5.3292245059512133E-2</v>
      </c>
      <c r="R46" s="2689"/>
      <c r="S46" s="2687"/>
      <c r="T46" s="2688"/>
      <c r="U46" s="2688"/>
      <c r="V46" s="2688"/>
      <c r="X46" s="2737"/>
      <c r="Y46" s="2737"/>
      <c r="Z46" s="2737"/>
    </row>
    <row r="47" spans="1:26">
      <c r="A47" s="2678" t="s">
        <v>2616</v>
      </c>
      <c r="B47" s="2692">
        <f t="shared" si="29"/>
        <v>168.82017748715555</v>
      </c>
      <c r="C47" s="2692">
        <f t="shared" si="29"/>
        <v>148.06267029972753</v>
      </c>
      <c r="D47" s="2692">
        <f t="shared" si="9"/>
        <v>148.06267029972753</v>
      </c>
      <c r="E47" s="2692">
        <f t="shared" si="30"/>
        <v>216.46288379323747</v>
      </c>
      <c r="F47" s="2692">
        <f t="shared" si="30"/>
        <v>134.23529411764704</v>
      </c>
      <c r="G47" s="3474">
        <v>2007</v>
      </c>
      <c r="H47" s="2683">
        <v>2</v>
      </c>
      <c r="I47" s="2683">
        <v>3.67</v>
      </c>
      <c r="J47" s="2683">
        <v>2.3199999999999998</v>
      </c>
      <c r="K47" s="2683">
        <v>5.0199999999999996</v>
      </c>
      <c r="L47" s="2694">
        <v>6.71</v>
      </c>
      <c r="N47" s="2735">
        <f t="shared" si="27"/>
        <v>3.0339138143848032E-2</v>
      </c>
      <c r="O47" s="2736">
        <f t="shared" si="27"/>
        <v>2.0922341588790472E-2</v>
      </c>
      <c r="P47" s="2736">
        <f t="shared" si="28"/>
        <v>5.6164796592717003E-2</v>
      </c>
      <c r="Q47" s="2736">
        <f t="shared" si="28"/>
        <v>6.5704536723887319E-2</v>
      </c>
      <c r="R47" s="2689"/>
      <c r="S47" s="2687"/>
      <c r="T47" s="2688"/>
      <c r="U47" s="2688"/>
      <c r="V47" s="2688"/>
      <c r="X47" s="2737"/>
      <c r="Y47" s="2737"/>
      <c r="Z47" s="2737"/>
    </row>
    <row r="48" spans="1:26">
      <c r="A48" s="2678" t="s">
        <v>2617</v>
      </c>
      <c r="B48" s="2692">
        <f t="shared" si="29"/>
        <v>163.84913591779542</v>
      </c>
      <c r="C48" s="2692">
        <f t="shared" si="29"/>
        <v>145.0283378746594</v>
      </c>
      <c r="D48" s="2692">
        <f t="shared" si="9"/>
        <v>145.0283378746594</v>
      </c>
      <c r="E48" s="2692">
        <f t="shared" si="30"/>
        <v>204.95180722891567</v>
      </c>
      <c r="F48" s="2692">
        <f t="shared" si="30"/>
        <v>125.95920303605313</v>
      </c>
      <c r="G48" s="3475">
        <v>2007</v>
      </c>
      <c r="H48" s="2682">
        <v>1</v>
      </c>
      <c r="I48" s="2682">
        <v>3.58</v>
      </c>
      <c r="J48" s="2682">
        <v>3.08</v>
      </c>
      <c r="K48" s="2682">
        <v>4.34</v>
      </c>
      <c r="L48" s="2693">
        <v>3.21</v>
      </c>
      <c r="N48" s="2738">
        <f t="shared" si="27"/>
        <v>3.0497710174814063E-2</v>
      </c>
      <c r="O48" s="2739">
        <f t="shared" si="27"/>
        <v>2.8569772160704998E-2</v>
      </c>
      <c r="P48" s="2739">
        <f t="shared" si="28"/>
        <v>5.1034908866234296E-2</v>
      </c>
      <c r="Q48" s="2739">
        <f t="shared" si="28"/>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2618</v>
      </c>
      <c r="B49" s="2706">
        <v>159</v>
      </c>
      <c r="C49" s="2706">
        <v>141</v>
      </c>
      <c r="D49" s="2706">
        <f t="shared" si="9"/>
        <v>141</v>
      </c>
      <c r="E49" s="2706">
        <v>195</v>
      </c>
      <c r="F49" s="2707">
        <v>122</v>
      </c>
      <c r="G49" s="3473">
        <v>2006</v>
      </c>
      <c r="H49" s="2698">
        <v>4</v>
      </c>
      <c r="I49" s="2698">
        <v>3.79</v>
      </c>
      <c r="J49" s="2698">
        <v>2.21</v>
      </c>
      <c r="K49" s="2698">
        <v>5.65</v>
      </c>
      <c r="L49" s="2699">
        <v>5.41</v>
      </c>
      <c r="N49" s="2735">
        <f t="shared" ref="N49:O52" si="31">I49/SUM(I$49:I$52)*(B$49/B$53-1)</f>
        <v>7.245466462748526E-2</v>
      </c>
      <c r="O49" s="2736">
        <f t="shared" si="31"/>
        <v>2.3237230038062766E-2</v>
      </c>
      <c r="P49" s="2736">
        <f t="shared" ref="P49:Q52" si="32">K49/SUM(K$49:K$52)*(E$49/E$53-1)</f>
        <v>0.16146893866323722</v>
      </c>
      <c r="Q49" s="2736">
        <f t="shared" si="32"/>
        <v>5.0755230321793784E-2</v>
      </c>
      <c r="R49" s="2689"/>
      <c r="S49" s="2690"/>
      <c r="T49" s="2691"/>
      <c r="U49" s="2691"/>
      <c r="V49" s="2691"/>
      <c r="X49" s="2737"/>
      <c r="Y49" s="2737"/>
      <c r="Z49" s="2737"/>
    </row>
    <row r="50" spans="1:26">
      <c r="A50" s="2678" t="s">
        <v>2619</v>
      </c>
      <c r="B50" s="2692">
        <f t="shared" ref="B50:C52" si="33">B51+(B$49-B$53)*I50/SUM(I$49:I$52)</f>
        <v>149.00125628140702</v>
      </c>
      <c r="C50" s="2692">
        <f t="shared" si="33"/>
        <v>137.95592286501378</v>
      </c>
      <c r="D50" s="2692">
        <f t="shared" si="9"/>
        <v>137.95592286501378</v>
      </c>
      <c r="E50" s="2692">
        <f t="shared" ref="E50:F52" si="34">E51+(E$49-E$53)*K50/SUM(K$49:K$52)</f>
        <v>169.97231450719823</v>
      </c>
      <c r="F50" s="2692">
        <f t="shared" si="34"/>
        <v>116.21390374331551</v>
      </c>
      <c r="G50" s="3474">
        <v>2006</v>
      </c>
      <c r="H50" s="2703">
        <v>3</v>
      </c>
      <c r="I50" s="2703">
        <v>0.92</v>
      </c>
      <c r="J50" s="2703">
        <v>1.08</v>
      </c>
      <c r="K50" s="2703">
        <v>0.73</v>
      </c>
      <c r="L50" s="2704">
        <v>1.08</v>
      </c>
      <c r="N50" s="2735">
        <f t="shared" si="31"/>
        <v>1.7587939698492462E-2</v>
      </c>
      <c r="O50" s="2736">
        <f t="shared" si="31"/>
        <v>1.1355750425840628E-2</v>
      </c>
      <c r="P50" s="2736">
        <f t="shared" si="32"/>
        <v>2.0862358446754544E-2</v>
      </c>
      <c r="Q50" s="2736">
        <f t="shared" si="32"/>
        <v>1.0132282578103011E-2</v>
      </c>
      <c r="R50" s="2689"/>
      <c r="S50" s="2687"/>
      <c r="T50" s="2688"/>
      <c r="U50" s="2688"/>
      <c r="V50" s="2688"/>
      <c r="X50" s="2737"/>
      <c r="Y50" s="2737"/>
      <c r="Z50" s="2737"/>
    </row>
    <row r="51" spans="1:26">
      <c r="A51" s="2678" t="s">
        <v>2620</v>
      </c>
      <c r="B51" s="2692">
        <f t="shared" si="33"/>
        <v>146.57412060301507</v>
      </c>
      <c r="C51" s="2692">
        <f t="shared" si="33"/>
        <v>136.46831955922866</v>
      </c>
      <c r="D51" s="2692">
        <f t="shared" si="9"/>
        <v>136.46831955922866</v>
      </c>
      <c r="E51" s="2692">
        <f t="shared" si="34"/>
        <v>166.73864894795128</v>
      </c>
      <c r="F51" s="2692">
        <f t="shared" si="34"/>
        <v>115.05882352941177</v>
      </c>
      <c r="G51" s="3474">
        <v>2006</v>
      </c>
      <c r="H51" s="2683">
        <v>2</v>
      </c>
      <c r="I51" s="2683">
        <v>0.96</v>
      </c>
      <c r="J51" s="2683">
        <v>0.25</v>
      </c>
      <c r="K51" s="2683">
        <v>1.9</v>
      </c>
      <c r="L51" s="2694">
        <v>0.95</v>
      </c>
      <c r="N51" s="2735">
        <f t="shared" si="31"/>
        <v>1.8352632728861701E-2</v>
      </c>
      <c r="O51" s="2736">
        <f t="shared" si="31"/>
        <v>2.6286459319075526E-3</v>
      </c>
      <c r="P51" s="2736">
        <f t="shared" si="32"/>
        <v>5.4299289107991269E-2</v>
      </c>
      <c r="Q51" s="2736">
        <f t="shared" si="32"/>
        <v>8.9126559714794995E-3</v>
      </c>
      <c r="R51" s="2689"/>
      <c r="S51" s="2687"/>
      <c r="T51" s="2688"/>
      <c r="U51" s="2688"/>
      <c r="V51" s="2688"/>
      <c r="X51" s="2737"/>
      <c r="Y51" s="2737"/>
      <c r="Z51" s="2737"/>
    </row>
    <row r="52" spans="1:26">
      <c r="A52" s="2678" t="s">
        <v>2621</v>
      </c>
      <c r="B52" s="2692">
        <f t="shared" si="33"/>
        <v>144.04145728643215</v>
      </c>
      <c r="C52" s="2692">
        <f t="shared" si="33"/>
        <v>136.12396694214877</v>
      </c>
      <c r="D52" s="2692">
        <f t="shared" si="9"/>
        <v>136.12396694214877</v>
      </c>
      <c r="E52" s="2692">
        <f t="shared" si="34"/>
        <v>158.32225913621264</v>
      </c>
      <c r="F52" s="2692">
        <f t="shared" si="34"/>
        <v>114.04278074866311</v>
      </c>
      <c r="G52" s="3475">
        <v>2006</v>
      </c>
      <c r="H52" s="2682">
        <v>1</v>
      </c>
      <c r="I52" s="2682">
        <v>2.29</v>
      </c>
      <c r="J52" s="2682">
        <v>3.72</v>
      </c>
      <c r="K52" s="2682">
        <v>0.75</v>
      </c>
      <c r="L52" s="2693">
        <v>0.04</v>
      </c>
      <c r="N52" s="2738">
        <f t="shared" si="31"/>
        <v>4.3778675988638847E-2</v>
      </c>
      <c r="O52" s="2739">
        <f t="shared" si="31"/>
        <v>3.9114251466784385E-2</v>
      </c>
      <c r="P52" s="2739">
        <f t="shared" si="32"/>
        <v>2.1433929911049188E-2</v>
      </c>
      <c r="Q52" s="2739">
        <f t="shared" si="32"/>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2622</v>
      </c>
      <c r="B53" s="2706">
        <v>138</v>
      </c>
      <c r="C53" s="2706">
        <v>131</v>
      </c>
      <c r="D53" s="2706">
        <f t="shared" si="9"/>
        <v>131</v>
      </c>
      <c r="E53" s="2706">
        <v>155</v>
      </c>
      <c r="F53" s="2707">
        <v>114</v>
      </c>
      <c r="G53" s="3473">
        <v>2005</v>
      </c>
      <c r="H53" s="2698">
        <v>4</v>
      </c>
      <c r="I53" s="2698">
        <v>3.29</v>
      </c>
      <c r="J53" s="2698">
        <v>1.44</v>
      </c>
      <c r="K53" s="2698">
        <v>0.66</v>
      </c>
      <c r="L53" s="2699">
        <v>7.78</v>
      </c>
      <c r="N53" s="2735">
        <f t="shared" ref="N53:O56" si="35">I53/SUM(I$53:I$56)*(B$53/B$57-1)</f>
        <v>9.9404603216919935E-2</v>
      </c>
      <c r="O53" s="2736">
        <f t="shared" si="35"/>
        <v>4.7636550760861554E-2</v>
      </c>
      <c r="P53" s="2736">
        <f t="shared" ref="P53:Q56" si="36">K53/SUM(K$53:K$56)*(E$53/E$57-1)</f>
        <v>8.3756345177664976E-2</v>
      </c>
      <c r="Q53" s="2736">
        <f t="shared" si="36"/>
        <v>5.2148766661559584E-2</v>
      </c>
      <c r="R53" s="2689"/>
      <c r="S53" s="2690"/>
      <c r="T53" s="2691"/>
      <c r="U53" s="2691"/>
      <c r="V53" s="2691"/>
      <c r="X53" s="2737"/>
      <c r="Y53" s="2737"/>
      <c r="Z53" s="2737"/>
    </row>
    <row r="54" spans="1:26">
      <c r="A54" s="2678" t="s">
        <v>2623</v>
      </c>
      <c r="B54" s="2692">
        <f t="shared" ref="B54:C56" si="37">B55+(B$53-B$57)*I54/SUM(I$53:I$56)</f>
        <v>125.9720430107527</v>
      </c>
      <c r="C54" s="2692">
        <f t="shared" si="37"/>
        <v>125.1883408071749</v>
      </c>
      <c r="D54" s="2692">
        <f t="shared" si="9"/>
        <v>125.1883408071749</v>
      </c>
      <c r="E54" s="2692">
        <f t="shared" ref="E54:F56" si="38">E55+(E$53-E$57)*K54/SUM(K$53:K$56)</f>
        <v>144.61421319796952</v>
      </c>
      <c r="F54" s="2692">
        <f t="shared" si="38"/>
        <v>108.42008196721311</v>
      </c>
      <c r="G54" s="3474">
        <v>2005</v>
      </c>
      <c r="H54" s="2703">
        <v>3</v>
      </c>
      <c r="I54" s="2703">
        <v>0.46</v>
      </c>
      <c r="J54" s="2703">
        <v>0.32</v>
      </c>
      <c r="K54" s="2703">
        <v>0.42</v>
      </c>
      <c r="L54" s="2704">
        <v>0.64</v>
      </c>
      <c r="N54" s="2735">
        <f t="shared" si="35"/>
        <v>1.3898515951301874E-2</v>
      </c>
      <c r="O54" s="2736">
        <f t="shared" si="35"/>
        <v>1.0585900169080346E-2</v>
      </c>
      <c r="P54" s="2736">
        <f t="shared" si="36"/>
        <v>5.3299492385786795E-2</v>
      </c>
      <c r="Q54" s="2736">
        <f t="shared" si="36"/>
        <v>4.2898728359123568E-3</v>
      </c>
      <c r="R54" s="2689"/>
      <c r="S54" s="2687"/>
      <c r="T54" s="2688"/>
      <c r="U54" s="2688"/>
      <c r="V54" s="2688"/>
      <c r="X54" s="2737"/>
      <c r="Y54" s="2737"/>
      <c r="Z54" s="2737"/>
    </row>
    <row r="55" spans="1:26">
      <c r="A55" s="2678" t="s">
        <v>2624</v>
      </c>
      <c r="B55" s="2692">
        <f t="shared" si="37"/>
        <v>124.29032258064517</v>
      </c>
      <c r="C55" s="2692">
        <f t="shared" si="37"/>
        <v>123.8968609865471</v>
      </c>
      <c r="D55" s="2692">
        <f t="shared" si="9"/>
        <v>123.8968609865471</v>
      </c>
      <c r="E55" s="2692">
        <f t="shared" si="38"/>
        <v>138.00507614213197</v>
      </c>
      <c r="F55" s="2692">
        <f t="shared" si="38"/>
        <v>107.96106557377048</v>
      </c>
      <c r="G55" s="3474">
        <v>2005</v>
      </c>
      <c r="H55" s="2683">
        <v>2</v>
      </c>
      <c r="I55" s="2683">
        <v>0.47</v>
      </c>
      <c r="J55" s="2683">
        <v>0.1</v>
      </c>
      <c r="K55" s="2683">
        <v>0.52</v>
      </c>
      <c r="L55" s="2694">
        <v>0.79</v>
      </c>
      <c r="N55" s="2735">
        <f t="shared" si="35"/>
        <v>1.420065760241713E-2</v>
      </c>
      <c r="O55" s="2736">
        <f t="shared" si="35"/>
        <v>3.3080938028376083E-3</v>
      </c>
      <c r="P55" s="2736">
        <f t="shared" si="36"/>
        <v>6.598984771573603E-2</v>
      </c>
      <c r="Q55" s="2736">
        <f t="shared" si="36"/>
        <v>5.2953117818293153E-3</v>
      </c>
      <c r="R55" s="2689"/>
      <c r="S55" s="2687"/>
      <c r="T55" s="2688"/>
      <c r="U55" s="2688"/>
      <c r="V55" s="2688"/>
      <c r="X55" s="2737"/>
      <c r="Y55" s="2737"/>
      <c r="Z55" s="2737"/>
    </row>
    <row r="56" spans="1:26">
      <c r="A56" s="2678" t="s">
        <v>2625</v>
      </c>
      <c r="B56" s="2692">
        <f t="shared" si="37"/>
        <v>122.57204301075269</v>
      </c>
      <c r="C56" s="2692">
        <f t="shared" si="37"/>
        <v>123.4932735426009</v>
      </c>
      <c r="D56" s="2692">
        <f t="shared" si="9"/>
        <v>123.4932735426009</v>
      </c>
      <c r="E56" s="2692">
        <f t="shared" si="38"/>
        <v>129.82233502538071</v>
      </c>
      <c r="F56" s="2692">
        <f t="shared" si="38"/>
        <v>107.39446721311475</v>
      </c>
      <c r="G56" s="3475">
        <v>2005</v>
      </c>
      <c r="H56" s="2682">
        <v>1</v>
      </c>
      <c r="I56" s="2682">
        <v>0.43</v>
      </c>
      <c r="J56" s="2682">
        <v>0.37</v>
      </c>
      <c r="K56" s="2682">
        <v>0.37</v>
      </c>
      <c r="L56" s="2693">
        <v>0.55000000000000004</v>
      </c>
      <c r="N56" s="2738">
        <f t="shared" si="35"/>
        <v>1.2992090997956099E-2</v>
      </c>
      <c r="O56" s="2739">
        <f t="shared" si="35"/>
        <v>1.2239947070499151E-2</v>
      </c>
      <c r="P56" s="2739">
        <f t="shared" si="36"/>
        <v>4.6954314720812178E-2</v>
      </c>
      <c r="Q56" s="2739">
        <f t="shared" si="36"/>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2626</v>
      </c>
      <c r="B57" s="2722">
        <v>121</v>
      </c>
      <c r="C57" s="2722">
        <v>122</v>
      </c>
      <c r="D57" s="2722">
        <f t="shared" si="9"/>
        <v>122</v>
      </c>
      <c r="E57" s="2722">
        <v>124</v>
      </c>
      <c r="F57" s="2723">
        <v>107</v>
      </c>
      <c r="G57" s="3473">
        <v>2004</v>
      </c>
      <c r="H57" s="2698">
        <v>4</v>
      </c>
      <c r="I57" s="2698">
        <v>0.33</v>
      </c>
      <c r="J57" s="2698">
        <v>0.5</v>
      </c>
      <c r="K57" s="2698">
        <v>0.5</v>
      </c>
      <c r="L57" s="2699">
        <v>0</v>
      </c>
      <c r="N57" s="2735">
        <f t="shared" ref="N57:O60" si="39">I57/SUM(I$57:I$60)*(B$57/B$61-1)</f>
        <v>1.3391770148526898E-2</v>
      </c>
      <c r="O57" s="2736">
        <f t="shared" si="39"/>
        <v>1.063264221158958E-2</v>
      </c>
      <c r="P57" s="2736">
        <f t="shared" ref="P57:Q60" si="40">K57/SUM(K$57:K$60)*(E$57/E$61-1)</f>
        <v>2.2244466688911134E-2</v>
      </c>
      <c r="Q57" s="2736">
        <f t="shared" si="40"/>
        <v>0</v>
      </c>
      <c r="R57" s="2689"/>
      <c r="S57" s="2690"/>
      <c r="T57" s="2691"/>
      <c r="U57" s="2691"/>
      <c r="V57" s="2691"/>
      <c r="X57" s="2737"/>
      <c r="Y57" s="2737"/>
      <c r="Z57" s="2737"/>
    </row>
    <row r="58" spans="1:26">
      <c r="A58" s="2678" t="s">
        <v>2627</v>
      </c>
      <c r="B58" s="2692">
        <f t="shared" ref="B58:C60" si="41">B59+(B$57-B$61)*I58/SUM(I$57:I$60)</f>
        <v>119.51351351351352</v>
      </c>
      <c r="C58" s="2692">
        <f t="shared" si="41"/>
        <v>120.7878787878788</v>
      </c>
      <c r="D58" s="2692">
        <f t="shared" si="9"/>
        <v>120.7878787878788</v>
      </c>
      <c r="E58" s="2692">
        <f t="shared" ref="E58:F60" si="42">E59+(E$57-E$61)*K58/SUM(K$57:K$60)</f>
        <v>121.5975975975976</v>
      </c>
      <c r="F58" s="2692">
        <f t="shared" si="42"/>
        <v>107</v>
      </c>
      <c r="G58" s="3474">
        <v>2004</v>
      </c>
      <c r="H58" s="2703">
        <v>3</v>
      </c>
      <c r="I58" s="2703">
        <v>0.56000000000000005</v>
      </c>
      <c r="J58" s="2703">
        <v>0.8</v>
      </c>
      <c r="K58" s="2703">
        <v>0.83</v>
      </c>
      <c r="L58" s="2704">
        <v>0.06</v>
      </c>
      <c r="N58" s="2735">
        <f t="shared" si="39"/>
        <v>2.2725428130833527E-2</v>
      </c>
      <c r="O58" s="2736">
        <f t="shared" si="39"/>
        <v>1.7012227538543329E-2</v>
      </c>
      <c r="P58" s="2736">
        <f t="shared" si="40"/>
        <v>3.6925814703592477E-2</v>
      </c>
      <c r="Q58" s="2736">
        <f t="shared" si="40"/>
        <v>2.8846153846153744E-2</v>
      </c>
      <c r="R58" s="2689"/>
      <c r="S58" s="2687"/>
      <c r="T58" s="2688"/>
      <c r="U58" s="2688"/>
      <c r="V58" s="2688"/>
      <c r="X58" s="2737"/>
      <c r="Y58" s="2737"/>
      <c r="Z58" s="2737"/>
    </row>
    <row r="59" spans="1:26">
      <c r="A59" s="2678" t="s">
        <v>2628</v>
      </c>
      <c r="B59" s="2692">
        <f t="shared" si="41"/>
        <v>116.99099099099099</v>
      </c>
      <c r="C59" s="2692">
        <f t="shared" si="41"/>
        <v>118.84848484848486</v>
      </c>
      <c r="D59" s="2692">
        <f t="shared" si="9"/>
        <v>118.84848484848486</v>
      </c>
      <c r="E59" s="2692">
        <f t="shared" si="42"/>
        <v>117.60960960960961</v>
      </c>
      <c r="F59" s="2692">
        <f t="shared" si="42"/>
        <v>104</v>
      </c>
      <c r="G59" s="3474">
        <v>2004</v>
      </c>
      <c r="H59" s="2683">
        <v>2</v>
      </c>
      <c r="I59" s="2683">
        <v>1</v>
      </c>
      <c r="J59" s="2683">
        <v>1.5</v>
      </c>
      <c r="K59" s="2683">
        <v>1.5</v>
      </c>
      <c r="L59" s="2694">
        <v>0</v>
      </c>
      <c r="N59" s="2735">
        <f t="shared" si="39"/>
        <v>4.0581121662202721E-2</v>
      </c>
      <c r="O59" s="2736">
        <f t="shared" si="39"/>
        <v>3.1897926634768738E-2</v>
      </c>
      <c r="P59" s="2736">
        <f t="shared" si="40"/>
        <v>6.6733400066733395E-2</v>
      </c>
      <c r="Q59" s="2736">
        <f t="shared" si="40"/>
        <v>0</v>
      </c>
      <c r="R59" s="2689"/>
      <c r="S59" s="2687"/>
      <c r="T59" s="2688"/>
      <c r="U59" s="2688"/>
      <c r="V59" s="2688"/>
      <c r="X59" s="2737"/>
      <c r="Y59" s="2737"/>
      <c r="Z59" s="2737"/>
    </row>
    <row r="60" spans="1:26" s="2728" customFormat="1" ht="13.5" thickBot="1">
      <c r="A60" s="2678" t="s">
        <v>2629</v>
      </c>
      <c r="B60" s="2725">
        <f t="shared" si="41"/>
        <v>112.48648648648648</v>
      </c>
      <c r="C60" s="2725">
        <f t="shared" si="41"/>
        <v>115.21212121212122</v>
      </c>
      <c r="D60" s="2725">
        <f t="shared" si="9"/>
        <v>115.21212121212122</v>
      </c>
      <c r="E60" s="2725">
        <f t="shared" si="42"/>
        <v>110.4024024024024</v>
      </c>
      <c r="F60" s="2725">
        <f t="shared" si="42"/>
        <v>104</v>
      </c>
      <c r="G60" s="3475">
        <v>2004</v>
      </c>
      <c r="H60" s="2726">
        <v>1</v>
      </c>
      <c r="I60" s="2726">
        <v>0.33</v>
      </c>
      <c r="J60" s="2726">
        <v>0.5</v>
      </c>
      <c r="K60" s="2726">
        <v>0.5</v>
      </c>
      <c r="L60" s="2727">
        <v>0</v>
      </c>
      <c r="N60" s="2740">
        <f t="shared" si="39"/>
        <v>1.3391770148526898E-2</v>
      </c>
      <c r="O60" s="2741">
        <f t="shared" si="39"/>
        <v>1.063264221158958E-2</v>
      </c>
      <c r="P60" s="2741">
        <f t="shared" si="40"/>
        <v>2.2244466688911134E-2</v>
      </c>
      <c r="Q60" s="2741">
        <f t="shared" si="40"/>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2630</v>
      </c>
      <c r="B61" s="2743">
        <v>111</v>
      </c>
      <c r="C61" s="2743">
        <v>114</v>
      </c>
      <c r="D61" s="2743">
        <f t="shared" si="9"/>
        <v>114</v>
      </c>
      <c r="E61" s="2743">
        <v>108</v>
      </c>
      <c r="F61" s="2744">
        <v>104</v>
      </c>
      <c r="G61" s="3473">
        <v>2003</v>
      </c>
      <c r="H61" s="2733">
        <v>4</v>
      </c>
      <c r="I61" s="2745"/>
      <c r="J61" s="2745"/>
      <c r="K61" s="2745"/>
      <c r="L61" s="2745"/>
      <c r="N61" s="2746"/>
      <c r="O61" s="2745"/>
      <c r="P61" s="2745"/>
      <c r="Q61" s="2745"/>
      <c r="S61" s="2746"/>
      <c r="T61" s="2745"/>
      <c r="U61" s="2745"/>
      <c r="V61" s="2745"/>
      <c r="X61" s="2737"/>
      <c r="Y61" s="2737"/>
      <c r="Z61" s="2737"/>
    </row>
    <row r="62" spans="1:26">
      <c r="A62" s="2678" t="s">
        <v>2631</v>
      </c>
      <c r="B62" s="2747">
        <f t="shared" ref="B62:C64" si="43">B63+(B$61-B$65)/4</f>
        <v>109.75</v>
      </c>
      <c r="C62" s="2747">
        <f t="shared" si="43"/>
        <v>112.25</v>
      </c>
      <c r="D62" s="2747">
        <f t="shared" si="9"/>
        <v>112.25</v>
      </c>
      <c r="E62" s="2747">
        <f t="shared" ref="E62:F64" si="44">E63+(E$61-E$65)/4</f>
        <v>107.25</v>
      </c>
      <c r="F62" s="2747">
        <f t="shared" si="44"/>
        <v>103.5</v>
      </c>
      <c r="G62" s="3474">
        <v>2003</v>
      </c>
      <c r="H62" s="2703">
        <v>3</v>
      </c>
      <c r="I62" s="2745"/>
      <c r="J62" s="2745"/>
      <c r="K62" s="2745"/>
      <c r="L62" s="2745"/>
      <c r="X62" s="2737"/>
      <c r="Y62" s="2737"/>
      <c r="Z62" s="2737"/>
    </row>
    <row r="63" spans="1:26">
      <c r="A63" s="2678" t="s">
        <v>2632</v>
      </c>
      <c r="B63" s="2747">
        <f t="shared" si="43"/>
        <v>108.5</v>
      </c>
      <c r="C63" s="2747">
        <f t="shared" si="43"/>
        <v>110.5</v>
      </c>
      <c r="D63" s="2747">
        <f t="shared" si="9"/>
        <v>110.5</v>
      </c>
      <c r="E63" s="2747">
        <f t="shared" si="44"/>
        <v>106.5</v>
      </c>
      <c r="F63" s="2747">
        <f t="shared" si="44"/>
        <v>103</v>
      </c>
      <c r="G63" s="3474">
        <v>2003</v>
      </c>
      <c r="H63" s="2683">
        <v>2</v>
      </c>
      <c r="I63" s="2745"/>
      <c r="J63" s="2745"/>
      <c r="K63" s="2745"/>
      <c r="L63" s="2745"/>
      <c r="X63" s="2737"/>
      <c r="Y63" s="2737"/>
      <c r="Z63" s="2737"/>
    </row>
    <row r="64" spans="1:26" ht="13.5" thickBot="1">
      <c r="A64" s="2678" t="s">
        <v>2633</v>
      </c>
      <c r="B64" s="2747">
        <f t="shared" si="43"/>
        <v>107.25</v>
      </c>
      <c r="C64" s="2747">
        <f t="shared" si="43"/>
        <v>108.75</v>
      </c>
      <c r="D64" s="2747">
        <f t="shared" si="9"/>
        <v>108.75</v>
      </c>
      <c r="E64" s="2747">
        <f t="shared" si="44"/>
        <v>105.75</v>
      </c>
      <c r="F64" s="2747">
        <f t="shared" si="44"/>
        <v>102.5</v>
      </c>
      <c r="G64" s="3475">
        <v>2003</v>
      </c>
      <c r="H64" s="2748">
        <v>1</v>
      </c>
      <c r="I64" s="2745"/>
      <c r="J64" s="2745"/>
      <c r="K64" s="2745"/>
      <c r="L64" s="2745"/>
      <c r="S64" s="2687"/>
      <c r="T64" s="2688"/>
      <c r="U64" s="2688"/>
      <c r="X64" s="2737"/>
      <c r="Y64" s="2737"/>
      <c r="Z64" s="2737"/>
    </row>
    <row r="65" spans="1:26" ht="13.5" thickBot="1">
      <c r="A65" s="2678" t="s">
        <v>2634</v>
      </c>
      <c r="B65" s="2749">
        <v>106</v>
      </c>
      <c r="C65" s="2749">
        <v>107</v>
      </c>
      <c r="D65" s="2749">
        <f t="shared" si="9"/>
        <v>107</v>
      </c>
      <c r="E65" s="2749">
        <v>105</v>
      </c>
      <c r="F65" s="2750">
        <v>102</v>
      </c>
      <c r="G65" s="3473">
        <v>2002</v>
      </c>
      <c r="H65" s="2698">
        <v>4</v>
      </c>
      <c r="I65" s="2745"/>
      <c r="J65" s="2745"/>
      <c r="K65" s="2745"/>
      <c r="L65" s="2745"/>
      <c r="N65" s="2746"/>
      <c r="O65" s="2745"/>
      <c r="P65" s="2745"/>
      <c r="Q65" s="2745"/>
      <c r="S65" s="2746"/>
      <c r="T65" s="2745"/>
      <c r="U65" s="2745"/>
      <c r="V65" s="2745"/>
      <c r="X65" s="2737"/>
      <c r="Y65" s="2737"/>
      <c r="Z65" s="2737"/>
    </row>
    <row r="66" spans="1:26">
      <c r="A66" s="2678" t="s">
        <v>2635</v>
      </c>
      <c r="B66" s="2747">
        <f t="shared" ref="B66:C68" si="45">B67+(B$65-B$69)/4</f>
        <v>105</v>
      </c>
      <c r="C66" s="2747">
        <f t="shared" si="45"/>
        <v>106</v>
      </c>
      <c r="D66" s="2747">
        <f t="shared" si="9"/>
        <v>106</v>
      </c>
      <c r="E66" s="2747">
        <f t="shared" ref="E66:F68" si="46">E67+(E$65-E$69)/4</f>
        <v>104.5</v>
      </c>
      <c r="F66" s="2747">
        <f t="shared" si="46"/>
        <v>101.5</v>
      </c>
      <c r="G66" s="3474">
        <v>2002</v>
      </c>
      <c r="H66" s="2703">
        <v>3</v>
      </c>
      <c r="I66" s="2745"/>
      <c r="J66" s="2745"/>
      <c r="K66" s="2745"/>
      <c r="L66" s="2745"/>
      <c r="X66" s="2737"/>
      <c r="Y66" s="2737"/>
      <c r="Z66" s="2737"/>
    </row>
    <row r="67" spans="1:26">
      <c r="A67" s="2678" t="s">
        <v>2636</v>
      </c>
      <c r="B67" s="2747">
        <f t="shared" si="45"/>
        <v>104</v>
      </c>
      <c r="C67" s="2747">
        <f t="shared" si="45"/>
        <v>105</v>
      </c>
      <c r="D67" s="2747">
        <f t="shared" si="9"/>
        <v>105</v>
      </c>
      <c r="E67" s="2747">
        <f t="shared" si="46"/>
        <v>104</v>
      </c>
      <c r="F67" s="2747">
        <f t="shared" si="46"/>
        <v>101</v>
      </c>
      <c r="G67" s="3474">
        <v>2002</v>
      </c>
      <c r="H67" s="2683">
        <v>2</v>
      </c>
      <c r="I67" s="2745"/>
      <c r="J67" s="2745"/>
      <c r="K67" s="2745"/>
      <c r="L67" s="2745"/>
      <c r="X67" s="2737"/>
      <c r="Y67" s="2737"/>
      <c r="Z67" s="2737"/>
    </row>
    <row r="68" spans="1:26" s="2714" customFormat="1" ht="13.5" thickBot="1">
      <c r="A68" s="2710" t="s">
        <v>2637</v>
      </c>
      <c r="B68" s="2751">
        <f t="shared" si="45"/>
        <v>103</v>
      </c>
      <c r="C68" s="2751">
        <f t="shared" si="45"/>
        <v>104</v>
      </c>
      <c r="D68" s="2751">
        <f t="shared" si="9"/>
        <v>104</v>
      </c>
      <c r="E68" s="2751">
        <f t="shared" si="46"/>
        <v>103.5</v>
      </c>
      <c r="F68" s="2751">
        <f t="shared" si="46"/>
        <v>100.5</v>
      </c>
      <c r="G68" s="3475">
        <v>2002</v>
      </c>
      <c r="H68" s="2752">
        <v>1</v>
      </c>
      <c r="I68" s="2753"/>
      <c r="J68" s="2753"/>
      <c r="K68" s="2753"/>
      <c r="L68" s="2753"/>
      <c r="N68" s="2754"/>
      <c r="S68" s="2754"/>
      <c r="X68" s="2755"/>
      <c r="Y68" s="2755"/>
      <c r="Z68" s="2755"/>
    </row>
    <row r="69" spans="1:26" ht="13.5" thickBot="1">
      <c r="B69" s="2756">
        <v>102</v>
      </c>
      <c r="C69" s="2757">
        <v>103</v>
      </c>
      <c r="D69" s="2757">
        <f t="shared" si="9"/>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2638</v>
      </c>
      <c r="G71" s="2761"/>
      <c r="N71" s="2761"/>
      <c r="S71" s="2761"/>
    </row>
    <row r="72" spans="1:26" s="2760" customFormat="1">
      <c r="A72" s="2760" t="s">
        <v>2639</v>
      </c>
      <c r="G72" s="2761"/>
      <c r="N72" s="2761"/>
      <c r="S72" s="2761"/>
    </row>
    <row r="73" spans="1:26" s="2760" customFormat="1">
      <c r="A73" s="2760" t="s">
        <v>2640</v>
      </c>
      <c r="G73" s="2761"/>
      <c r="I73" s="2762"/>
      <c r="J73" s="2762"/>
      <c r="K73" s="2762"/>
      <c r="L73" s="2762"/>
      <c r="N73" s="2763"/>
      <c r="O73" s="2762"/>
      <c r="P73" s="2762"/>
      <c r="Q73" s="2762"/>
      <c r="S73" s="2763"/>
      <c r="T73" s="2762"/>
      <c r="U73" s="2762"/>
      <c r="V73" s="2762"/>
    </row>
    <row r="74" spans="1:26" s="2760" customFormat="1">
      <c r="A74" s="2760" t="s">
        <v>2641</v>
      </c>
      <c r="G74" s="2761"/>
      <c r="N74" s="2761"/>
      <c r="S74" s="2761"/>
    </row>
    <row r="81" spans="7:22" ht="13.5" thickBot="1"/>
    <row r="82" spans="7:22">
      <c r="G82" s="2686"/>
      <c r="S82" s="2764" t="s">
        <v>2642</v>
      </c>
      <c r="T82" s="2765" t="s">
        <v>2643</v>
      </c>
      <c r="U82" s="2765" t="s">
        <v>2644</v>
      </c>
      <c r="V82" s="2765" t="s">
        <v>2645</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A12" sqref="A12:XFD1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2645" t="s">
        <v>720</v>
      </c>
      <c r="C1" s="2646" t="s">
        <v>721</v>
      </c>
      <c r="D1" s="2647" t="s">
        <v>3222</v>
      </c>
      <c r="E1" s="2648"/>
      <c r="F1" s="2831" t="s">
        <v>3054</v>
      </c>
      <c r="G1" s="1601" t="s">
        <v>722</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467</v>
      </c>
      <c r="B2" s="2644">
        <f>ROUND(B3*D3/10000,0)</f>
        <v>171401</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11" t="s">
        <v>520</v>
      </c>
      <c r="B3" s="852">
        <f>C49</f>
        <v>11070</v>
      </c>
      <c r="C3" s="853" t="s">
        <v>723</v>
      </c>
      <c r="D3" s="852">
        <f>SUMIF('数据-汇总表'!$C19:$C33,D1,'数据-汇总表'!$E19:$E33)</f>
        <v>154834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4" t="s">
        <v>522</v>
      </c>
      <c r="B4" s="515"/>
      <c r="C4" s="3265" t="s">
        <v>523</v>
      </c>
      <c r="D4" s="3266"/>
      <c r="E4" s="3267" t="s">
        <v>524</v>
      </c>
      <c r="F4" s="3268"/>
      <c r="G4" s="3265" t="s">
        <v>525</v>
      </c>
      <c r="H4" s="3266"/>
      <c r="I4" s="3265" t="s">
        <v>526</v>
      </c>
      <c r="J4" s="3266"/>
      <c r="K4" s="854" t="s">
        <v>527</v>
      </c>
      <c r="L4" s="2134"/>
      <c r="M4" s="2135"/>
      <c r="N4" s="2135"/>
      <c r="O4" s="2135"/>
      <c r="P4" s="3269" t="s">
        <v>528</v>
      </c>
      <c r="Q4" s="3270"/>
      <c r="R4" s="3255" t="s">
        <v>524</v>
      </c>
      <c r="S4" s="3256"/>
      <c r="T4" s="3255" t="s">
        <v>525</v>
      </c>
      <c r="U4" s="3256"/>
      <c r="V4" s="3254" t="s">
        <v>526</v>
      </c>
      <c r="W4" s="3254"/>
      <c r="X4" s="1567"/>
      <c r="Y4" s="3255" t="s">
        <v>528</v>
      </c>
      <c r="Z4" s="3256"/>
      <c r="AA4" s="3261" t="s">
        <v>524</v>
      </c>
      <c r="AB4" s="3261" t="s">
        <v>525</v>
      </c>
      <c r="AC4" s="3261" t="s">
        <v>526</v>
      </c>
    </row>
    <row r="5" spans="1:29" ht="15" customHeight="1">
      <c r="A5" s="517"/>
      <c r="B5" s="518"/>
      <c r="C5" s="3275" t="s">
        <v>2937</v>
      </c>
      <c r="D5" s="3276"/>
      <c r="E5" s="3277" t="s">
        <v>3233</v>
      </c>
      <c r="F5" s="3278"/>
      <c r="G5" s="3279" t="s">
        <v>3244</v>
      </c>
      <c r="H5" s="3280"/>
      <c r="I5" s="3279" t="s">
        <v>3241</v>
      </c>
      <c r="J5" s="3280"/>
      <c r="K5" s="855"/>
      <c r="L5" s="2134"/>
      <c r="M5" s="2135"/>
      <c r="N5" s="2135"/>
      <c r="O5" s="2135"/>
      <c r="P5" s="3271"/>
      <c r="Q5" s="3272"/>
      <c r="R5" s="3257"/>
      <c r="S5" s="3258"/>
      <c r="T5" s="3257"/>
      <c r="U5" s="3258"/>
      <c r="V5" s="3254"/>
      <c r="W5" s="3254"/>
      <c r="X5" s="1567"/>
      <c r="Y5" s="3257"/>
      <c r="Z5" s="3258"/>
      <c r="AA5" s="3262"/>
      <c r="AB5" s="3262"/>
      <c r="AC5" s="3262"/>
    </row>
    <row r="6" spans="1:29" ht="27.75" customHeight="1" thickBot="1">
      <c r="A6" s="519"/>
      <c r="B6" s="520"/>
      <c r="C6" s="3281" t="s">
        <v>2941</v>
      </c>
      <c r="D6" s="3282"/>
      <c r="E6" s="3283" t="s">
        <v>3234</v>
      </c>
      <c r="F6" s="3284"/>
      <c r="G6" s="3285" t="s">
        <v>3245</v>
      </c>
      <c r="H6" s="3286"/>
      <c r="I6" s="3285" t="s">
        <v>3242</v>
      </c>
      <c r="J6" s="3286"/>
      <c r="K6" s="855" t="s">
        <v>529</v>
      </c>
      <c r="L6" s="2134"/>
      <c r="M6" s="2135"/>
      <c r="N6" s="2135"/>
      <c r="O6" s="2135"/>
      <c r="P6" s="3273"/>
      <c r="Q6" s="3274"/>
      <c r="R6" s="3257"/>
      <c r="S6" s="3258"/>
      <c r="T6" s="3259"/>
      <c r="U6" s="3260"/>
      <c r="V6" s="3254"/>
      <c r="W6" s="3254"/>
      <c r="X6" s="1567"/>
      <c r="Y6" s="3259"/>
      <c r="Z6" s="3260"/>
      <c r="AA6" s="3263"/>
      <c r="AB6" s="3263"/>
      <c r="AC6" s="3263"/>
    </row>
    <row r="7" spans="1:29" s="1219" customFormat="1" ht="15.75" thickBot="1">
      <c r="A7" s="2936"/>
      <c r="B7" s="2943" t="s">
        <v>530</v>
      </c>
      <c r="C7" s="521">
        <f>'数据-取费表'!B2</f>
        <v>43187</v>
      </c>
      <c r="D7" s="522">
        <v>100</v>
      </c>
      <c r="E7" s="3189">
        <v>43187</v>
      </c>
      <c r="F7" s="524">
        <f>SUMIF(58:58,YEAR(E7)&amp;"-"&amp;MONTH(E7),59:59)</f>
        <v>100</v>
      </c>
      <c r="G7" s="3189">
        <v>43187</v>
      </c>
      <c r="H7" s="522">
        <f>SUMIF(58:58,YEAR(G7)&amp;"-"&amp;MONTH(G7),59:59)</f>
        <v>100</v>
      </c>
      <c r="I7" s="3189">
        <v>43187</v>
      </c>
      <c r="J7" s="522">
        <f>SUMIF(58:58,YEAR(I7)&amp;"-"&amp;MONTH(I7),59:59)</f>
        <v>100</v>
      </c>
      <c r="K7" s="856"/>
      <c r="L7" s="2136"/>
      <c r="M7" s="2137"/>
      <c r="N7" s="2137"/>
      <c r="O7" s="2137"/>
      <c r="P7" s="3251" t="s">
        <v>531</v>
      </c>
      <c r="Q7" s="3264"/>
      <c r="R7" s="1568" t="s">
        <v>13</v>
      </c>
      <c r="S7" s="1569">
        <f t="shared" ref="S7:S15" si="0">F7</f>
        <v>100</v>
      </c>
      <c r="T7" s="1568" t="s">
        <v>13</v>
      </c>
      <c r="U7" s="1569">
        <f t="shared" ref="U7:U15" si="1">H7</f>
        <v>100</v>
      </c>
      <c r="V7" s="1568" t="s">
        <v>13</v>
      </c>
      <c r="W7" s="1569">
        <f t="shared" ref="W7:W15" si="2">J7</f>
        <v>100</v>
      </c>
      <c r="X7" s="1570"/>
      <c r="Y7" s="3251" t="s">
        <v>531</v>
      </c>
      <c r="Z7" s="3252"/>
      <c r="AA7" s="1571">
        <f>D7/F7</f>
        <v>1</v>
      </c>
      <c r="AB7" s="1571">
        <f>D7/H7</f>
        <v>1</v>
      </c>
      <c r="AC7" s="1571">
        <f>D7/J7</f>
        <v>1</v>
      </c>
    </row>
    <row r="8" spans="1:29" s="1219" customFormat="1" ht="15.75" thickBot="1">
      <c r="A8" s="2937"/>
      <c r="B8" s="2944" t="s">
        <v>532</v>
      </c>
      <c r="C8" s="527" t="s">
        <v>577</v>
      </c>
      <c r="D8" s="522">
        <v>100</v>
      </c>
      <c r="E8" s="3190" t="s">
        <v>2984</v>
      </c>
      <c r="F8" s="524">
        <f>SUMIF(61:61,E8,62:62)-SUMIF(61:61,C8,62:62)+100</f>
        <v>100</v>
      </c>
      <c r="G8" s="3198" t="s">
        <v>3230</v>
      </c>
      <c r="H8" s="522">
        <f>SUMIF(61:61,G8,62:62)-SUMIF(61:61,C8,62:62)+100</f>
        <v>100</v>
      </c>
      <c r="I8" s="3198" t="s">
        <v>3231</v>
      </c>
      <c r="J8" s="522">
        <f>SUMIF(61:61,I8,62:62)-SUMIF(61:61,C8,62:62)+100</f>
        <v>100</v>
      </c>
      <c r="K8" s="856"/>
      <c r="L8" s="2136"/>
      <c r="M8" s="2137"/>
      <c r="N8" s="2137"/>
      <c r="O8" s="2137"/>
      <c r="P8" s="3251" t="s">
        <v>534</v>
      </c>
      <c r="Q8" s="3252"/>
      <c r="R8" s="1568" t="s">
        <v>13</v>
      </c>
      <c r="S8" s="1569">
        <f t="shared" si="0"/>
        <v>100</v>
      </c>
      <c r="T8" s="1568" t="s">
        <v>13</v>
      </c>
      <c r="U8" s="1569">
        <f t="shared" si="1"/>
        <v>100</v>
      </c>
      <c r="V8" s="1568" t="s">
        <v>13</v>
      </c>
      <c r="W8" s="1569">
        <f t="shared" si="2"/>
        <v>100</v>
      </c>
      <c r="X8" s="1570"/>
      <c r="Y8" s="3251" t="s">
        <v>534</v>
      </c>
      <c r="Z8" s="3252"/>
      <c r="AA8" s="1571">
        <f t="shared" ref="AA8:AA46" si="3">D8/F8</f>
        <v>1</v>
      </c>
      <c r="AB8" s="1571">
        <f t="shared" ref="AB8:AB46" si="4">D8/H8</f>
        <v>1</v>
      </c>
      <c r="AC8" s="1571">
        <f t="shared" ref="AC8:AC46" si="5">D8/J8</f>
        <v>1</v>
      </c>
    </row>
    <row r="9" spans="1:29" s="1219" customFormat="1" ht="15">
      <c r="A9" s="2938"/>
      <c r="B9" s="2945" t="s">
        <v>2764</v>
      </c>
      <c r="C9" s="3165" t="s">
        <v>3038</v>
      </c>
      <c r="D9" s="253">
        <v>100</v>
      </c>
      <c r="E9" s="3191" t="s">
        <v>924</v>
      </c>
      <c r="F9" s="860">
        <f>SUMIF(63:63,E9,64:64)-SUMIF(63:63,C9,64:64)+100</f>
        <v>100</v>
      </c>
      <c r="G9" s="3191" t="s">
        <v>924</v>
      </c>
      <c r="H9" s="253">
        <f>SUMIF(63:63,G9,64:64)-SUMIF(63:63,C9,64:64)+100</f>
        <v>100</v>
      </c>
      <c r="I9" s="3191" t="s">
        <v>924</v>
      </c>
      <c r="J9" s="253">
        <f>SUMIF(63:63,I9,64:64)-SUMIF(63:63,C9,64:64)+100</f>
        <v>100</v>
      </c>
      <c r="K9" s="856"/>
      <c r="L9" s="2136"/>
      <c r="M9" s="2137"/>
      <c r="N9" s="2137"/>
      <c r="O9" s="2138"/>
      <c r="P9" s="3241" t="s">
        <v>536</v>
      </c>
      <c r="Q9" s="1150" t="str">
        <f t="shared" ref="Q9:Q15" si="6">B9</f>
        <v>用途</v>
      </c>
      <c r="R9" s="1568" t="s">
        <v>8</v>
      </c>
      <c r="S9" s="1569">
        <f t="shared" si="0"/>
        <v>100</v>
      </c>
      <c r="T9" s="1568" t="s">
        <v>8</v>
      </c>
      <c r="U9" s="1569">
        <f t="shared" si="1"/>
        <v>100</v>
      </c>
      <c r="V9" s="1568" t="s">
        <v>8</v>
      </c>
      <c r="W9" s="1569">
        <f t="shared" si="2"/>
        <v>100</v>
      </c>
      <c r="X9" s="1570"/>
      <c r="Y9" s="3253" t="s">
        <v>537</v>
      </c>
      <c r="Z9" s="1149" t="str">
        <f t="shared" ref="Z9:Z15" si="7">Q9</f>
        <v>用途</v>
      </c>
      <c r="AA9" s="1571">
        <f t="shared" si="3"/>
        <v>1</v>
      </c>
      <c r="AB9" s="1571">
        <f t="shared" si="4"/>
        <v>1</v>
      </c>
      <c r="AC9" s="1571">
        <f t="shared" si="5"/>
        <v>1</v>
      </c>
    </row>
    <row r="10" spans="1:29" s="1337" customFormat="1" ht="27">
      <c r="A10" s="2939"/>
      <c r="B10" s="2944" t="s">
        <v>2765</v>
      </c>
      <c r="C10" s="862" t="s">
        <v>3051</v>
      </c>
      <c r="D10" s="254">
        <v>100</v>
      </c>
      <c r="E10" s="3192" t="s">
        <v>3051</v>
      </c>
      <c r="F10" s="864">
        <f>SUMIF(65:65,E10,66:66)-SUMIF(65:65,C10,66:66)+100</f>
        <v>100</v>
      </c>
      <c r="G10" s="3199" t="s">
        <v>3051</v>
      </c>
      <c r="H10" s="254">
        <f>SUMIF(65:65,G10,66:66)-SUMIF(65:65,C10,66:66)+100</f>
        <v>100</v>
      </c>
      <c r="I10" s="3199" t="s">
        <v>3051</v>
      </c>
      <c r="J10" s="254">
        <f>SUMIF(65:65,I10,66:66)-SUMIF(65:65,C10,66:66)+100</f>
        <v>100</v>
      </c>
      <c r="K10" s="865">
        <v>1</v>
      </c>
      <c r="L10" s="2139"/>
      <c r="M10" s="2179"/>
      <c r="N10" s="2179"/>
      <c r="O10" s="2140"/>
      <c r="P10" s="3241"/>
      <c r="Q10" s="1150" t="str">
        <f t="shared" si="6"/>
        <v>土地使用年限（年）</v>
      </c>
      <c r="R10" s="1568" t="s">
        <v>8</v>
      </c>
      <c r="S10" s="1569">
        <f t="shared" si="0"/>
        <v>100</v>
      </c>
      <c r="T10" s="1568" t="s">
        <v>8</v>
      </c>
      <c r="U10" s="1569">
        <f t="shared" si="1"/>
        <v>100</v>
      </c>
      <c r="V10" s="1568" t="s">
        <v>8</v>
      </c>
      <c r="W10" s="1569">
        <f t="shared" si="2"/>
        <v>100</v>
      </c>
      <c r="X10" s="1570"/>
      <c r="Y10" s="3253"/>
      <c r="Z10" s="1149" t="str">
        <f t="shared" si="7"/>
        <v>土地使用年限（年）</v>
      </c>
      <c r="AA10" s="1571">
        <f t="shared" si="3"/>
        <v>1</v>
      </c>
      <c r="AB10" s="1571">
        <f t="shared" si="4"/>
        <v>1</v>
      </c>
      <c r="AC10" s="1571">
        <f t="shared" si="5"/>
        <v>1</v>
      </c>
    </row>
    <row r="11" spans="1:29" ht="15.75" thickBot="1">
      <c r="A11" s="2940"/>
      <c r="B11" s="2944" t="s">
        <v>2766</v>
      </c>
      <c r="C11" s="534">
        <f>'比较法-住宅、综合'!C13</f>
        <v>3.79</v>
      </c>
      <c r="D11" s="254">
        <v>100</v>
      </c>
      <c r="E11" s="535">
        <v>4.5999999999999996</v>
      </c>
      <c r="F11" s="864">
        <f>LOOKUP(E11,68:68,69:69)-LOOKUP(C11,68:68,69:69)+100</f>
        <v>98</v>
      </c>
      <c r="G11" s="534">
        <v>4.0999999999999996</v>
      </c>
      <c r="H11" s="254">
        <f>LOOKUP(G11,68:68,69:69)-LOOKUP(C11,68:68,69:69)+100</f>
        <v>98</v>
      </c>
      <c r="I11" s="534">
        <v>2.9</v>
      </c>
      <c r="J11" s="254">
        <f>LOOKUP(I11,68:68,69:69)-LOOKUP(C11,68:68,69:69)+100</f>
        <v>102</v>
      </c>
      <c r="K11" s="865">
        <v>2</v>
      </c>
      <c r="L11" s="2141"/>
      <c r="M11" s="2135"/>
      <c r="N11" s="2135"/>
      <c r="O11" s="2142"/>
      <c r="P11" s="3241"/>
      <c r="Q11" s="1150" t="str">
        <f t="shared" si="6"/>
        <v>容积率</v>
      </c>
      <c r="R11" s="1568" t="s">
        <v>11</v>
      </c>
      <c r="S11" s="1569">
        <f t="shared" si="0"/>
        <v>98</v>
      </c>
      <c r="T11" s="1568" t="s">
        <v>11</v>
      </c>
      <c r="U11" s="1569">
        <f t="shared" si="1"/>
        <v>98</v>
      </c>
      <c r="V11" s="1568" t="s">
        <v>11</v>
      </c>
      <c r="W11" s="1569">
        <f t="shared" si="2"/>
        <v>102</v>
      </c>
      <c r="X11" s="1570"/>
      <c r="Y11" s="3253"/>
      <c r="Z11" s="1149" t="str">
        <f t="shared" si="7"/>
        <v>容积率</v>
      </c>
      <c r="AA11" s="1571">
        <f t="shared" si="3"/>
        <v>1.0204081632653061</v>
      </c>
      <c r="AB11" s="1571">
        <f t="shared" si="4"/>
        <v>1.0204081632653061</v>
      </c>
      <c r="AC11" s="1571">
        <f t="shared" si="5"/>
        <v>0.98039215686274506</v>
      </c>
    </row>
    <row r="12" spans="1:29" s="1219" customFormat="1" ht="15" hidden="1">
      <c r="A12" s="2941"/>
      <c r="B12" s="2947"/>
      <c r="C12" s="530"/>
      <c r="D12" s="539">
        <v>100</v>
      </c>
      <c r="E12" s="530"/>
      <c r="F12" s="864">
        <f>SUMIF(70:70,E12,71:71)-SUMIF(70:70,C12,71:71)+100</f>
        <v>100</v>
      </c>
      <c r="G12" s="530"/>
      <c r="H12" s="254">
        <f>SUMIF(70:70,G12,71:71)-SUMIF(70:70,C12,71:71)+100</f>
        <v>100</v>
      </c>
      <c r="I12" s="530"/>
      <c r="J12" s="254">
        <f>SUMIF(70:70,I12,71:71)-SUMIF(70:70,C12,71:71)+100</f>
        <v>100</v>
      </c>
      <c r="K12" s="866"/>
      <c r="L12" s="2136"/>
      <c r="M12" s="2137"/>
      <c r="N12" s="2137"/>
      <c r="O12" s="2138"/>
      <c r="P12" s="3241"/>
      <c r="Q12" s="1150">
        <f t="shared" si="6"/>
        <v>0</v>
      </c>
      <c r="R12" s="1568" t="s">
        <v>11</v>
      </c>
      <c r="S12" s="1569">
        <f t="shared" si="0"/>
        <v>100</v>
      </c>
      <c r="T12" s="1568" t="s">
        <v>11</v>
      </c>
      <c r="U12" s="1569">
        <f t="shared" si="1"/>
        <v>100</v>
      </c>
      <c r="V12" s="1568" t="s">
        <v>11</v>
      </c>
      <c r="W12" s="1569">
        <f t="shared" si="2"/>
        <v>100</v>
      </c>
      <c r="X12" s="1570"/>
      <c r="Y12" s="3253"/>
      <c r="Z12" s="1149">
        <f t="shared" si="7"/>
        <v>0</v>
      </c>
      <c r="AA12" s="1571">
        <f>D12/F12</f>
        <v>1</v>
      </c>
      <c r="AB12" s="1571">
        <f>D12/H12</f>
        <v>1</v>
      </c>
      <c r="AC12" s="1571">
        <f>D12/J12</f>
        <v>1</v>
      </c>
    </row>
    <row r="13" spans="1:29" ht="15" hidden="1">
      <c r="A13" s="2941"/>
      <c r="B13" s="2947"/>
      <c r="C13" s="540"/>
      <c r="D13" s="541">
        <v>100</v>
      </c>
      <c r="E13" s="540"/>
      <c r="F13" s="864">
        <f>SUMIF(72:72,E13,73:73)-SUMIF(72:72,C13,73:73)+100</f>
        <v>100</v>
      </c>
      <c r="G13" s="540"/>
      <c r="H13" s="541">
        <f>SUMIF(72:72,G13,73:73)-SUMIF(72:72,C13,73:73)+100</f>
        <v>100</v>
      </c>
      <c r="I13" s="540"/>
      <c r="J13" s="541">
        <f>SUMIF(72:72,I13,73:73)-SUMIF(72:72,C13,73:73)+100</f>
        <v>100</v>
      </c>
      <c r="K13" s="866"/>
      <c r="L13" s="2143"/>
      <c r="M13" s="2135"/>
      <c r="N13" s="2135"/>
      <c r="O13" s="2142"/>
      <c r="P13" s="3241"/>
      <c r="Q13" s="1150">
        <f t="shared" si="6"/>
        <v>0</v>
      </c>
      <c r="R13" s="1568" t="s">
        <v>11</v>
      </c>
      <c r="S13" s="1569">
        <f t="shared" si="0"/>
        <v>100</v>
      </c>
      <c r="T13" s="1568" t="s">
        <v>11</v>
      </c>
      <c r="U13" s="1569">
        <f t="shared" si="1"/>
        <v>100</v>
      </c>
      <c r="V13" s="1568" t="s">
        <v>11</v>
      </c>
      <c r="W13" s="1569">
        <f t="shared" si="2"/>
        <v>100</v>
      </c>
      <c r="X13" s="1570"/>
      <c r="Y13" s="3253"/>
      <c r="Z13" s="1149">
        <f t="shared" si="7"/>
        <v>0</v>
      </c>
      <c r="AA13" s="1571">
        <f t="shared" si="3"/>
        <v>1</v>
      </c>
      <c r="AB13" s="1571">
        <f t="shared" si="4"/>
        <v>1</v>
      </c>
      <c r="AC13" s="1571">
        <f t="shared" si="5"/>
        <v>1</v>
      </c>
    </row>
    <row r="14" spans="1:29" ht="15.75" hidden="1" thickBot="1">
      <c r="A14" s="2942"/>
      <c r="B14" s="2948"/>
      <c r="C14" s="546"/>
      <c r="D14" s="547">
        <v>100</v>
      </c>
      <c r="E14" s="546"/>
      <c r="F14" s="867">
        <f>SUMIF(74:74,E14,75:75)-SUMIF(74:74,C14,75:75)+100</f>
        <v>100</v>
      </c>
      <c r="G14" s="546"/>
      <c r="H14" s="547">
        <f>SUMIF(74:74,G14,75:75)-SUMIF(74:74,C14,75:75)+100</f>
        <v>100</v>
      </c>
      <c r="I14" s="546"/>
      <c r="J14" s="547">
        <f>SUMIF(74:74,I14,75:75)-SUMIF(74:74,C14,75:75)+100</f>
        <v>100</v>
      </c>
      <c r="K14" s="866"/>
      <c r="L14" s="2143"/>
      <c r="M14" s="2135"/>
      <c r="N14" s="2135"/>
      <c r="O14" s="2142"/>
      <c r="P14" s="3241"/>
      <c r="Q14" s="1150">
        <f t="shared" si="6"/>
        <v>0</v>
      </c>
      <c r="R14" s="1568" t="s">
        <v>11</v>
      </c>
      <c r="S14" s="1569">
        <f t="shared" si="0"/>
        <v>100</v>
      </c>
      <c r="T14" s="1568" t="s">
        <v>11</v>
      </c>
      <c r="U14" s="1569">
        <f t="shared" si="1"/>
        <v>100</v>
      </c>
      <c r="V14" s="1568" t="s">
        <v>11</v>
      </c>
      <c r="W14" s="1569">
        <f t="shared" si="2"/>
        <v>100</v>
      </c>
      <c r="X14" s="1570"/>
      <c r="Y14" s="3253"/>
      <c r="Z14" s="1149">
        <f t="shared" si="7"/>
        <v>0</v>
      </c>
      <c r="AA14" s="1571">
        <f t="shared" si="3"/>
        <v>1</v>
      </c>
      <c r="AB14" s="1571">
        <f t="shared" si="4"/>
        <v>1</v>
      </c>
      <c r="AC14" s="1571">
        <f t="shared" si="5"/>
        <v>1</v>
      </c>
    </row>
    <row r="15" spans="1:29" ht="99.75">
      <c r="A15" s="2934" t="s">
        <v>2762</v>
      </c>
      <c r="B15" s="165" t="s">
        <v>295</v>
      </c>
      <c r="C15" s="868" t="str">
        <f>估价对象房地状况!C3</f>
        <v>估价对象周边居住用地比例、居住小区规模和社区发展完善程度，综合评价居住社区成熟度一般</v>
      </c>
      <c r="D15" s="550">
        <v>100</v>
      </c>
      <c r="E15" s="3193"/>
      <c r="F15" s="552">
        <f>SUMIF(76:76,E16,77:77)-SUMIF(76:76,C16,77:77)+100</f>
        <v>100</v>
      </c>
      <c r="G15" s="3193"/>
      <c r="H15" s="550">
        <f>SUMIF(76:76,G16,77:77)-SUMIF(76:76,C16,77:77)+100</f>
        <v>100</v>
      </c>
      <c r="I15" s="3193"/>
      <c r="J15" s="550">
        <f>SUMIF(76:76,I16,77:77)-SUMIF(76:76,C16,77:77)+100</f>
        <v>100</v>
      </c>
      <c r="K15" s="869">
        <v>2</v>
      </c>
      <c r="L15" s="2143"/>
      <c r="M15" s="2135"/>
      <c r="N15" s="2135"/>
      <c r="O15" s="2142"/>
      <c r="P15" s="3246" t="s">
        <v>541</v>
      </c>
      <c r="Q15" s="1572" t="str">
        <f t="shared" si="6"/>
        <v>居住社区成熟度</v>
      </c>
      <c r="R15" s="1573" t="s">
        <v>11</v>
      </c>
      <c r="S15" s="1574">
        <f t="shared" si="0"/>
        <v>100</v>
      </c>
      <c r="T15" s="1573" t="s">
        <v>11</v>
      </c>
      <c r="U15" s="1574">
        <f t="shared" si="1"/>
        <v>100</v>
      </c>
      <c r="V15" s="1573" t="s">
        <v>11</v>
      </c>
      <c r="W15" s="1574">
        <f t="shared" si="2"/>
        <v>100</v>
      </c>
      <c r="X15" s="1567"/>
      <c r="Y15" s="3246" t="s">
        <v>541</v>
      </c>
      <c r="Z15" s="1575" t="str">
        <f t="shared" si="7"/>
        <v>居住社区成熟度</v>
      </c>
      <c r="AA15" s="1576">
        <f t="shared" si="3"/>
        <v>1</v>
      </c>
      <c r="AB15" s="1576">
        <f t="shared" si="4"/>
        <v>1</v>
      </c>
      <c r="AC15" s="1576">
        <f t="shared" si="5"/>
        <v>1</v>
      </c>
    </row>
    <row r="16" spans="1:29" ht="15">
      <c r="A16" s="533"/>
      <c r="B16" s="870"/>
      <c r="C16" s="577" t="str">
        <f>'比较法-住宅、综合'!C18</f>
        <v>一般</v>
      </c>
      <c r="D16" s="556"/>
      <c r="E16" s="577" t="s">
        <v>3052</v>
      </c>
      <c r="F16" s="558"/>
      <c r="G16" s="577" t="s">
        <v>3052</v>
      </c>
      <c r="H16" s="560"/>
      <c r="I16" s="577" t="s">
        <v>3052</v>
      </c>
      <c r="J16" s="556"/>
      <c r="K16" s="871"/>
      <c r="L16" s="2143"/>
      <c r="M16" s="2135"/>
      <c r="N16" s="2135"/>
      <c r="O16" s="2142"/>
      <c r="P16" s="3247"/>
      <c r="Q16" s="1572"/>
      <c r="R16" s="1573"/>
      <c r="S16" s="1574"/>
      <c r="T16" s="1573"/>
      <c r="U16" s="1574"/>
      <c r="V16" s="1573"/>
      <c r="W16" s="1574"/>
      <c r="X16" s="1567"/>
      <c r="Y16" s="3247"/>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3194"/>
      <c r="F17" s="564">
        <f>SUMIF(78:78,E18,79:79)-SUMIF(78:78,C18,79:79)+100</f>
        <v>100</v>
      </c>
      <c r="G17" s="3194"/>
      <c r="H17" s="566">
        <f>SUMIF(78:78,G18,79:79)-SUMIF(78:78,C18,79:79)+100</f>
        <v>100</v>
      </c>
      <c r="I17" s="3194"/>
      <c r="J17" s="566">
        <f>SUMIF(78:78,I18,79:79)-SUMIF(78:78,C18,79:79)+100</f>
        <v>98</v>
      </c>
      <c r="K17" s="869">
        <v>2</v>
      </c>
      <c r="L17" s="2143"/>
      <c r="M17" s="2135"/>
      <c r="N17" s="2135"/>
      <c r="O17" s="2142"/>
      <c r="P17" s="3247"/>
      <c r="Q17" s="1572" t="str">
        <f>B17</f>
        <v>交通便捷度</v>
      </c>
      <c r="R17" s="1573" t="s">
        <v>11</v>
      </c>
      <c r="S17" s="1574">
        <f>F17</f>
        <v>100</v>
      </c>
      <c r="T17" s="1573" t="s">
        <v>11</v>
      </c>
      <c r="U17" s="1574">
        <f>H17</f>
        <v>100</v>
      </c>
      <c r="V17" s="1573" t="s">
        <v>11</v>
      </c>
      <c r="W17" s="1574">
        <f>J17</f>
        <v>98</v>
      </c>
      <c r="X17" s="1567"/>
      <c r="Y17" s="3247"/>
      <c r="Z17" s="1575" t="str">
        <f>Q17</f>
        <v>交通便捷度</v>
      </c>
      <c r="AA17" s="1576">
        <f t="shared" si="3"/>
        <v>1</v>
      </c>
      <c r="AB17" s="1576">
        <f t="shared" si="4"/>
        <v>1</v>
      </c>
      <c r="AC17" s="1576">
        <f t="shared" si="5"/>
        <v>1.0204081632653061</v>
      </c>
    </row>
    <row r="18" spans="1:29" ht="15">
      <c r="A18" s="533"/>
      <c r="B18" s="596"/>
      <c r="C18" s="874" t="str">
        <f>'比较法-住宅、综合'!C24</f>
        <v>一般</v>
      </c>
      <c r="D18" s="560"/>
      <c r="E18" s="874" t="s">
        <v>3052</v>
      </c>
      <c r="F18" s="564"/>
      <c r="G18" s="874" t="s">
        <v>3052</v>
      </c>
      <c r="H18" s="556"/>
      <c r="I18" s="874" t="s">
        <v>3063</v>
      </c>
      <c r="J18" s="556"/>
      <c r="K18" s="871"/>
      <c r="L18" s="2143"/>
      <c r="M18" s="2135"/>
      <c r="N18" s="2135"/>
      <c r="O18" s="2142"/>
      <c r="P18" s="3247"/>
      <c r="Q18" s="1572"/>
      <c r="R18" s="1573"/>
      <c r="S18" s="1574"/>
      <c r="T18" s="1573"/>
      <c r="U18" s="1574"/>
      <c r="V18" s="1573"/>
      <c r="W18" s="1574"/>
      <c r="X18" s="1567"/>
      <c r="Y18" s="3247"/>
      <c r="Z18" s="1575"/>
      <c r="AA18" s="1576">
        <v>1</v>
      </c>
      <c r="AB18" s="1576">
        <v>1</v>
      </c>
      <c r="AC18" s="1576">
        <v>1</v>
      </c>
    </row>
    <row r="19" spans="1:29" ht="42.75">
      <c r="A19" s="533"/>
      <c r="B19" s="2622" t="s">
        <v>2552</v>
      </c>
      <c r="C19" s="873" t="str">
        <f>估价对象房地状况!C7</f>
        <v>估价对象所在区域公共配套设施齐备情况</v>
      </c>
      <c r="D19" s="566">
        <v>100</v>
      </c>
      <c r="E19" s="592"/>
      <c r="F19" s="572">
        <f>SUMIF(80:80,E20,81:81)-SUMIF(80:80,C20,81:81)+100</f>
        <v>100</v>
      </c>
      <c r="G19" s="592"/>
      <c r="H19" s="560">
        <f>SUMIF(80:80,G20,81:81)-SUMIF(80:80,C20,81:81)+100</f>
        <v>100</v>
      </c>
      <c r="I19" s="592"/>
      <c r="J19" s="560">
        <f>SUMIF(80:80,I20,81:81)-SUMIF(80:80,C20,81:81)+100</f>
        <v>100</v>
      </c>
      <c r="K19" s="869">
        <v>2</v>
      </c>
      <c r="L19" s="2143"/>
      <c r="M19" s="2135"/>
      <c r="N19" s="2135"/>
      <c r="O19" s="2142"/>
      <c r="P19" s="3247"/>
      <c r="Q19" s="1572" t="str">
        <f>B19</f>
        <v>公共配套设施</v>
      </c>
      <c r="R19" s="1573" t="s">
        <v>11</v>
      </c>
      <c r="S19" s="1574">
        <f>F19</f>
        <v>100</v>
      </c>
      <c r="T19" s="1573" t="s">
        <v>11</v>
      </c>
      <c r="U19" s="1574">
        <f>H19</f>
        <v>100</v>
      </c>
      <c r="V19" s="1573" t="s">
        <v>11</v>
      </c>
      <c r="W19" s="1574">
        <f>J19</f>
        <v>100</v>
      </c>
      <c r="X19" s="1567"/>
      <c r="Y19" s="3247"/>
      <c r="Z19" s="1575" t="str">
        <f>Q19</f>
        <v>公共配套设施</v>
      </c>
      <c r="AA19" s="1576">
        <f t="shared" si="3"/>
        <v>1</v>
      </c>
      <c r="AB19" s="1576">
        <f t="shared" si="4"/>
        <v>1</v>
      </c>
      <c r="AC19" s="1576">
        <f t="shared" si="5"/>
        <v>1</v>
      </c>
    </row>
    <row r="20" spans="1:29" ht="15">
      <c r="A20" s="533"/>
      <c r="B20" s="596"/>
      <c r="C20" s="874" t="str">
        <f>'比较法-住宅、综合'!C30</f>
        <v>一般</v>
      </c>
      <c r="D20" s="556"/>
      <c r="E20" s="874" t="s">
        <v>3052</v>
      </c>
      <c r="F20" s="558"/>
      <c r="G20" s="874" t="s">
        <v>3052</v>
      </c>
      <c r="H20" s="556"/>
      <c r="I20" s="874" t="s">
        <v>3052</v>
      </c>
      <c r="J20" s="556"/>
      <c r="K20" s="871"/>
      <c r="L20" s="2143"/>
      <c r="M20" s="2135"/>
      <c r="N20" s="2135"/>
      <c r="O20" s="2142"/>
      <c r="P20" s="3247"/>
      <c r="Q20" s="1572"/>
      <c r="R20" s="1573"/>
      <c r="S20" s="1574"/>
      <c r="T20" s="1573"/>
      <c r="U20" s="1574"/>
      <c r="V20" s="1573"/>
      <c r="W20" s="1574"/>
      <c r="X20" s="1567"/>
      <c r="Y20" s="3247"/>
      <c r="Z20" s="1575"/>
      <c r="AA20" s="1576">
        <v>1</v>
      </c>
      <c r="AB20" s="1576">
        <v>1</v>
      </c>
      <c r="AC20" s="1576">
        <v>1</v>
      </c>
    </row>
    <row r="21" spans="1:29" ht="28.5">
      <c r="A21" s="533"/>
      <c r="B21" s="2615" t="s">
        <v>2564</v>
      </c>
      <c r="C21" s="873" t="str">
        <f>估价对象房地状况!C8</f>
        <v>估价对象所在区域基础设施水平</v>
      </c>
      <c r="D21" s="566">
        <v>100</v>
      </c>
      <c r="E21" s="3195"/>
      <c r="F21" s="572">
        <f>SUMIF(82:82,E22,83:83)-SUMIF(82:82,C22,83:83)+100</f>
        <v>100</v>
      </c>
      <c r="G21" s="3195"/>
      <c r="H21" s="566">
        <f>SUMIF(82:82,G22,83:83)-SUMIF(82:82,C22,83:83)+100</f>
        <v>100</v>
      </c>
      <c r="I21" s="3195"/>
      <c r="J21" s="566">
        <f>SUMIF(82:82,I22,83:83)-SUMIF(82:82,C22,83:83)+100</f>
        <v>100</v>
      </c>
      <c r="K21" s="869">
        <v>1</v>
      </c>
      <c r="L21" s="2143"/>
      <c r="M21" s="2135"/>
      <c r="N21" s="2135"/>
      <c r="O21" s="2142"/>
      <c r="P21" s="3247"/>
      <c r="Q21" s="2601" t="str">
        <f>B21</f>
        <v>基础设施水平</v>
      </c>
      <c r="R21" s="1573" t="s">
        <v>11</v>
      </c>
      <c r="S21" s="1574">
        <f>F21</f>
        <v>100</v>
      </c>
      <c r="T21" s="1573" t="s">
        <v>11</v>
      </c>
      <c r="U21" s="1574">
        <f>H21</f>
        <v>100</v>
      </c>
      <c r="V21" s="1573" t="s">
        <v>11</v>
      </c>
      <c r="W21" s="1574">
        <f>J21</f>
        <v>100</v>
      </c>
      <c r="X21" s="2603"/>
      <c r="Y21" s="3247"/>
      <c r="Z21" s="2602" t="str">
        <f>Q21</f>
        <v>基础设施水平</v>
      </c>
      <c r="AA21" s="1576">
        <f>D21/F21</f>
        <v>1</v>
      </c>
      <c r="AB21" s="1576">
        <f>D21/H21</f>
        <v>1</v>
      </c>
      <c r="AC21" s="1576">
        <f>D21/J21</f>
        <v>1</v>
      </c>
    </row>
    <row r="22" spans="1:29" ht="15">
      <c r="A22" s="533"/>
      <c r="B22" s="921"/>
      <c r="C22" s="874" t="s">
        <v>3050</v>
      </c>
      <c r="D22" s="556"/>
      <c r="E22" s="874" t="s">
        <v>3050</v>
      </c>
      <c r="F22" s="558"/>
      <c r="G22" s="874" t="s">
        <v>3050</v>
      </c>
      <c r="H22" s="556"/>
      <c r="I22" s="874" t="s">
        <v>3050</v>
      </c>
      <c r="J22" s="556"/>
      <c r="K22" s="2621"/>
      <c r="L22" s="2143"/>
      <c r="M22" s="2135"/>
      <c r="N22" s="2135"/>
      <c r="O22" s="2142"/>
      <c r="P22" s="3247"/>
      <c r="Q22" s="2601"/>
      <c r="R22" s="1573"/>
      <c r="S22" s="1574"/>
      <c r="T22" s="1573"/>
      <c r="U22" s="1574"/>
      <c r="V22" s="1573"/>
      <c r="W22" s="1574"/>
      <c r="X22" s="2603"/>
      <c r="Y22" s="3247"/>
      <c r="Z22" s="2602"/>
      <c r="AA22" s="1576">
        <v>1</v>
      </c>
      <c r="AB22" s="1576">
        <v>1</v>
      </c>
      <c r="AC22" s="1576">
        <v>1</v>
      </c>
    </row>
    <row r="23" spans="1:29" ht="57">
      <c r="A23" s="533"/>
      <c r="B23" s="872" t="s">
        <v>297</v>
      </c>
      <c r="C23" s="873" t="str">
        <f>估价对象房地状况!C9</f>
        <v>区域自然环境：；人文环境；综合评价环境状况一般</v>
      </c>
      <c r="D23" s="560">
        <v>100</v>
      </c>
      <c r="E23" s="3194"/>
      <c r="F23" s="564">
        <f>SUMIF(84:84,E24,85:85)-SUMIF(84:84,C24,85:85)+100</f>
        <v>100</v>
      </c>
      <c r="G23" s="3194"/>
      <c r="H23" s="560">
        <f>SUMIF(84:84,G24,85:85)-SUMIF(84:84,C24,85:85)+100</f>
        <v>102</v>
      </c>
      <c r="I23" s="3194"/>
      <c r="J23" s="560">
        <f>SUMIF(84:84,I24,85:85)-SUMIF(84:84,C24,85:85)+100</f>
        <v>102</v>
      </c>
      <c r="K23" s="869">
        <v>2</v>
      </c>
      <c r="L23" s="2143"/>
      <c r="M23" s="2135"/>
      <c r="N23" s="2135"/>
      <c r="O23" s="2142"/>
      <c r="P23" s="3247"/>
      <c r="Q23" s="1572" t="str">
        <f>B23</f>
        <v>自然及人文环境</v>
      </c>
      <c r="R23" s="1573" t="s">
        <v>11</v>
      </c>
      <c r="S23" s="1574">
        <f>F23</f>
        <v>100</v>
      </c>
      <c r="T23" s="1573" t="s">
        <v>11</v>
      </c>
      <c r="U23" s="1574">
        <f>H23</f>
        <v>102</v>
      </c>
      <c r="V23" s="1573" t="s">
        <v>11</v>
      </c>
      <c r="W23" s="1574">
        <f>J23</f>
        <v>102</v>
      </c>
      <c r="X23" s="1567"/>
      <c r="Y23" s="3247"/>
      <c r="Z23" s="1575" t="str">
        <f>Q23</f>
        <v>自然及人文环境</v>
      </c>
      <c r="AA23" s="1576">
        <f t="shared" si="3"/>
        <v>1</v>
      </c>
      <c r="AB23" s="1576">
        <f t="shared" si="4"/>
        <v>0.98039215686274506</v>
      </c>
      <c r="AC23" s="1576">
        <f t="shared" si="5"/>
        <v>0.98039215686274506</v>
      </c>
    </row>
    <row r="24" spans="1:29" ht="15">
      <c r="A24" s="533"/>
      <c r="B24" s="596"/>
      <c r="C24" s="874" t="str">
        <f>'比较法-住宅、综合'!C28</f>
        <v>较差</v>
      </c>
      <c r="D24" s="556"/>
      <c r="E24" s="874" t="s">
        <v>3063</v>
      </c>
      <c r="F24" s="558"/>
      <c r="G24" s="874" t="s">
        <v>3052</v>
      </c>
      <c r="H24" s="556"/>
      <c r="I24" s="874" t="s">
        <v>3052</v>
      </c>
      <c r="J24" s="556"/>
      <c r="K24" s="871"/>
      <c r="L24" s="2143"/>
      <c r="M24" s="2135"/>
      <c r="N24" s="2135"/>
      <c r="O24" s="2142"/>
      <c r="P24" s="3247"/>
      <c r="Q24" s="1572"/>
      <c r="R24" s="1573"/>
      <c r="S24" s="1574"/>
      <c r="T24" s="1573"/>
      <c r="U24" s="1574"/>
      <c r="V24" s="1573"/>
      <c r="W24" s="1574"/>
      <c r="X24" s="1567"/>
      <c r="Y24" s="3247"/>
      <c r="Z24" s="1575"/>
      <c r="AA24" s="1576">
        <v>1</v>
      </c>
      <c r="AB24" s="1576">
        <v>1</v>
      </c>
      <c r="AC24" s="1576">
        <v>1</v>
      </c>
    </row>
    <row r="25" spans="1:29" ht="15" hidden="1">
      <c r="A25" s="533"/>
      <c r="B25" s="1896" t="s">
        <v>2259</v>
      </c>
      <c r="C25" s="575"/>
      <c r="D25" s="541">
        <v>100</v>
      </c>
      <c r="E25" s="3196"/>
      <c r="F25" s="576">
        <f>SUMIF(86:86,E25,87:87)-SUMIF(86:86,C25,87:87)+100</f>
        <v>100</v>
      </c>
      <c r="G25" s="3196"/>
      <c r="H25" s="541">
        <f>SUMIF(86:86,G25,87:87)-SUMIF(86:86,C25,87:87)+100</f>
        <v>100</v>
      </c>
      <c r="I25" s="3196"/>
      <c r="J25" s="541">
        <f>SUMIF(86:86,I25,87:87)-SUMIF(86:86,C25,87:87)+100</f>
        <v>100</v>
      </c>
      <c r="K25" s="865"/>
      <c r="L25" s="2143"/>
      <c r="M25" s="2135"/>
      <c r="N25" s="2135"/>
      <c r="O25" s="2142"/>
      <c r="P25" s="3247"/>
      <c r="Q25" s="1572" t="str">
        <f t="shared" ref="Q25:Q46" si="8">B25</f>
        <v>楼层-1</v>
      </c>
      <c r="R25" s="1573" t="s">
        <v>11</v>
      </c>
      <c r="S25" s="1574">
        <f>F25</f>
        <v>100</v>
      </c>
      <c r="T25" s="1573" t="s">
        <v>11</v>
      </c>
      <c r="U25" s="1574">
        <f>H25</f>
        <v>100</v>
      </c>
      <c r="V25" s="1573" t="s">
        <v>11</v>
      </c>
      <c r="W25" s="1574">
        <f>J25</f>
        <v>100</v>
      </c>
      <c r="X25" s="1567"/>
      <c r="Y25" s="3247"/>
      <c r="Z25" s="1575" t="str">
        <f>Q25</f>
        <v>楼层-1</v>
      </c>
      <c r="AA25" s="1576">
        <f t="shared" si="3"/>
        <v>1</v>
      </c>
      <c r="AB25" s="1576">
        <f t="shared" si="4"/>
        <v>1</v>
      </c>
      <c r="AC25" s="1576">
        <f t="shared" si="5"/>
        <v>1</v>
      </c>
    </row>
    <row r="26" spans="1:29" ht="15" hidden="1">
      <c r="A26" s="533"/>
      <c r="B26" s="529" t="s">
        <v>724</v>
      </c>
      <c r="C26" s="575"/>
      <c r="D26" s="541">
        <v>100</v>
      </c>
      <c r="E26" s="3196"/>
      <c r="F26" s="576">
        <f>SUMIF(88:88,E26,89:89)-SUMIF(88:88,C26,89:89)+100</f>
        <v>100</v>
      </c>
      <c r="G26" s="3196"/>
      <c r="H26" s="541">
        <f>SUMIF(88:88,G26,89:89)-SUMIF(88:88,C26,89:89)+100</f>
        <v>100</v>
      </c>
      <c r="I26" s="3196"/>
      <c r="J26" s="541">
        <f>SUMIF(88:88,I26,89:89)-SUMIF(88:88,C26,89:89)+100</f>
        <v>100</v>
      </c>
      <c r="K26" s="865"/>
      <c r="L26" s="2143"/>
      <c r="M26" s="2135"/>
      <c r="N26" s="2135"/>
      <c r="O26" s="2142"/>
      <c r="P26" s="3247"/>
      <c r="Q26" s="1572" t="str">
        <f t="shared" si="8"/>
        <v>朝向</v>
      </c>
      <c r="R26" s="1573" t="s">
        <v>11</v>
      </c>
      <c r="S26" s="1574">
        <f>F26</f>
        <v>100</v>
      </c>
      <c r="T26" s="1573" t="s">
        <v>11</v>
      </c>
      <c r="U26" s="1574">
        <f>H26</f>
        <v>100</v>
      </c>
      <c r="V26" s="1573" t="s">
        <v>11</v>
      </c>
      <c r="W26" s="1574">
        <f>J26</f>
        <v>100</v>
      </c>
      <c r="X26" s="1567"/>
      <c r="Y26" s="3247"/>
      <c r="Z26" s="1575" t="str">
        <f>Q26</f>
        <v>朝向</v>
      </c>
      <c r="AA26" s="1576">
        <f t="shared" si="3"/>
        <v>1</v>
      </c>
      <c r="AB26" s="1576">
        <f t="shared" si="4"/>
        <v>1</v>
      </c>
      <c r="AC26" s="1576">
        <f t="shared" si="5"/>
        <v>1</v>
      </c>
    </row>
    <row r="27" spans="1:29" s="1219" customFormat="1" ht="15" hidden="1">
      <c r="A27" s="537"/>
      <c r="B27" s="538"/>
      <c r="C27" s="3166"/>
      <c r="D27" s="875">
        <v>100</v>
      </c>
      <c r="E27" s="3166"/>
      <c r="F27" s="876">
        <f>SUMIF(90:90,E27,91:91)-SUMIF(90:90,G27,91:91)+100</f>
        <v>100</v>
      </c>
      <c r="G27" s="3166"/>
      <c r="H27" s="875">
        <f>SUMIF(90:90,#REF!,91:91)-SUMIF(90:90,G27,91:91)+100</f>
        <v>100</v>
      </c>
      <c r="I27" s="3166"/>
      <c r="J27" s="875">
        <f>SUMIF(90:90,I27,91:91)-SUMIF(90:90,G27,91:91)+100</f>
        <v>100</v>
      </c>
      <c r="K27" s="866"/>
      <c r="L27" s="2136"/>
      <c r="M27" s="2137"/>
      <c r="N27" s="2137"/>
      <c r="O27" s="2138"/>
      <c r="P27" s="3247"/>
      <c r="Q27" s="1150">
        <f t="shared" si="8"/>
        <v>0</v>
      </c>
      <c r="R27" s="1568" t="s">
        <v>11</v>
      </c>
      <c r="S27" s="1569">
        <f>F27</f>
        <v>100</v>
      </c>
      <c r="T27" s="1568" t="s">
        <v>11</v>
      </c>
      <c r="U27" s="1569">
        <f>H27</f>
        <v>100</v>
      </c>
      <c r="V27" s="1568" t="s">
        <v>11</v>
      </c>
      <c r="W27" s="1569">
        <f>J27</f>
        <v>100</v>
      </c>
      <c r="X27" s="1570"/>
      <c r="Y27" s="3247"/>
      <c r="Z27" s="1149">
        <f>Q27</f>
        <v>0</v>
      </c>
      <c r="AA27" s="1576">
        <f>D27/F27</f>
        <v>1</v>
      </c>
      <c r="AB27" s="1576">
        <f>D27/H27</f>
        <v>1</v>
      </c>
      <c r="AC27" s="1576">
        <f>D27/J27</f>
        <v>1</v>
      </c>
    </row>
    <row r="28" spans="1:29" ht="15.75" thickBot="1">
      <c r="A28" s="533"/>
      <c r="B28" s="538" t="s">
        <v>725</v>
      </c>
      <c r="C28" s="3166" t="s">
        <v>3240</v>
      </c>
      <c r="D28" s="541">
        <v>100</v>
      </c>
      <c r="E28" s="3166" t="s">
        <v>3229</v>
      </c>
      <c r="F28" s="576">
        <f>SUMIF(92:92,E28,93:93)-SUMIF(92:92,C28,93:93)+100</f>
        <v>98</v>
      </c>
      <c r="G28" s="3166" t="s">
        <v>3250</v>
      </c>
      <c r="H28" s="541">
        <f>SUMIF(92:92,G28,93:93)-SUMIF(92:92,C28,93:93)+100</f>
        <v>99</v>
      </c>
      <c r="I28" s="3166" t="s">
        <v>3229</v>
      </c>
      <c r="J28" s="541">
        <f>SUMIF(92:92,I28,93:93)-SUMIF(92:92,C28,93:93)+100</f>
        <v>98</v>
      </c>
      <c r="K28" s="866"/>
      <c r="L28" s="2143"/>
      <c r="M28" s="2135"/>
      <c r="N28" s="2135"/>
      <c r="O28" s="2142"/>
      <c r="P28" s="3247"/>
      <c r="Q28" s="1572" t="str">
        <f t="shared" si="8"/>
        <v>道路级别</v>
      </c>
      <c r="R28" s="1573" t="s">
        <v>11</v>
      </c>
      <c r="S28" s="1574">
        <f t="shared" ref="S28:S46" si="9">F28</f>
        <v>98</v>
      </c>
      <c r="T28" s="1573" t="s">
        <v>11</v>
      </c>
      <c r="U28" s="1574">
        <f t="shared" ref="U28:U46" si="10">H28</f>
        <v>99</v>
      </c>
      <c r="V28" s="1573" t="s">
        <v>11</v>
      </c>
      <c r="W28" s="1574">
        <f t="shared" ref="W28:W46" si="11">J28</f>
        <v>98</v>
      </c>
      <c r="X28" s="1567"/>
      <c r="Y28" s="3247"/>
      <c r="Z28" s="1575" t="str">
        <f t="shared" ref="Z28:Z46" si="12">Q28</f>
        <v>道路级别</v>
      </c>
      <c r="AA28" s="1576">
        <f t="shared" si="3"/>
        <v>1.0204081632653061</v>
      </c>
      <c r="AB28" s="1576">
        <f t="shared" si="4"/>
        <v>1.0101010101010102</v>
      </c>
      <c r="AC28" s="1576">
        <f t="shared" si="5"/>
        <v>1.0204081632653061</v>
      </c>
    </row>
    <row r="29" spans="1:29" ht="15" hidden="1">
      <c r="A29" s="533"/>
      <c r="B29" s="877"/>
      <c r="C29" s="540"/>
      <c r="D29" s="541">
        <v>100</v>
      </c>
      <c r="E29" s="540"/>
      <c r="F29" s="576">
        <f>SUMIF(94:94,E29,95:95)-SUMIF(94:94,C29,95:95)+100</f>
        <v>100</v>
      </c>
      <c r="G29" s="540"/>
      <c r="H29" s="541">
        <f>SUMIF(94:94,G29,95:95)-SUMIF(94:94,C29,95:95)+100</f>
        <v>100</v>
      </c>
      <c r="I29" s="540"/>
      <c r="J29" s="541">
        <f>SUMIF(94:94,I29,95:95)-SUMIF(94:94,C29,95:95)+100</f>
        <v>100</v>
      </c>
      <c r="K29" s="866"/>
      <c r="L29" s="2143"/>
      <c r="M29" s="2135"/>
      <c r="N29" s="2135"/>
      <c r="O29" s="2142"/>
      <c r="P29" s="3247"/>
      <c r="Q29" s="1572">
        <f t="shared" si="8"/>
        <v>0</v>
      </c>
      <c r="R29" s="1573" t="s">
        <v>11</v>
      </c>
      <c r="S29" s="1574">
        <f t="shared" si="9"/>
        <v>100</v>
      </c>
      <c r="T29" s="1573" t="s">
        <v>11</v>
      </c>
      <c r="U29" s="1574">
        <f t="shared" si="10"/>
        <v>100</v>
      </c>
      <c r="V29" s="1573" t="s">
        <v>11</v>
      </c>
      <c r="W29" s="1574">
        <f t="shared" si="11"/>
        <v>100</v>
      </c>
      <c r="X29" s="1567"/>
      <c r="Y29" s="3247"/>
      <c r="Z29" s="1575">
        <f t="shared" si="12"/>
        <v>0</v>
      </c>
      <c r="AA29" s="1576">
        <f t="shared" si="3"/>
        <v>1</v>
      </c>
      <c r="AB29" s="1576">
        <f t="shared" si="4"/>
        <v>1</v>
      </c>
      <c r="AC29" s="1576">
        <f t="shared" si="5"/>
        <v>1</v>
      </c>
    </row>
    <row r="30" spans="1:29" ht="15" hidden="1">
      <c r="A30" s="533"/>
      <c r="B30" s="877"/>
      <c r="C30" s="540"/>
      <c r="D30" s="541">
        <v>100</v>
      </c>
      <c r="E30" s="540"/>
      <c r="F30" s="576">
        <f>SUMIF(96:96,E30,97:97)-SUMIF(96:96,C30,97:97)+100</f>
        <v>100</v>
      </c>
      <c r="G30" s="540"/>
      <c r="H30" s="541">
        <f>SUMIF(96:96,G30,97:97)-SUMIF(96:96,C30,97:97)+100</f>
        <v>100</v>
      </c>
      <c r="I30" s="540"/>
      <c r="J30" s="541">
        <f>SUMIF(96:96,I30,97:97)-SUMIF(96:96,C30,97:97)+100</f>
        <v>100</v>
      </c>
      <c r="K30" s="866"/>
      <c r="L30" s="2143"/>
      <c r="M30" s="2135"/>
      <c r="N30" s="2135"/>
      <c r="O30" s="2142"/>
      <c r="P30" s="3247"/>
      <c r="Q30" s="1572">
        <f t="shared" si="8"/>
        <v>0</v>
      </c>
      <c r="R30" s="1573" t="s">
        <v>11</v>
      </c>
      <c r="S30" s="1574">
        <f t="shared" si="9"/>
        <v>100</v>
      </c>
      <c r="T30" s="1573" t="s">
        <v>11</v>
      </c>
      <c r="U30" s="1574">
        <f t="shared" si="10"/>
        <v>100</v>
      </c>
      <c r="V30" s="1573" t="s">
        <v>11</v>
      </c>
      <c r="W30" s="1574">
        <f t="shared" si="11"/>
        <v>100</v>
      </c>
      <c r="X30" s="1567"/>
      <c r="Y30" s="3247"/>
      <c r="Z30" s="1575">
        <f t="shared" si="12"/>
        <v>0</v>
      </c>
      <c r="AA30" s="1576">
        <f t="shared" si="3"/>
        <v>1</v>
      </c>
      <c r="AB30" s="1576">
        <f t="shared" si="4"/>
        <v>1</v>
      </c>
      <c r="AC30" s="1576">
        <f t="shared" si="5"/>
        <v>1</v>
      </c>
    </row>
    <row r="31" spans="1:29" ht="15.75" hidden="1" thickBot="1">
      <c r="A31" s="544"/>
      <c r="B31" s="877"/>
      <c r="C31" s="546"/>
      <c r="D31" s="547">
        <v>100</v>
      </c>
      <c r="E31" s="546"/>
      <c r="F31" s="867">
        <f>SUMIF(98:98,E31,99:99)-SUMIF(98:98,C31,99:99)+100</f>
        <v>100</v>
      </c>
      <c r="G31" s="546"/>
      <c r="H31" s="547">
        <f>SUMIF(98:98,G31,99:99)-SUMIF(98:98,C31,99:99)+100</f>
        <v>100</v>
      </c>
      <c r="I31" s="546"/>
      <c r="J31" s="547">
        <f>SUMIF(98:98,I31,99:99)-SUMIF(98:98,C31,99:99)+100</f>
        <v>100</v>
      </c>
      <c r="K31" s="866"/>
      <c r="L31" s="2143"/>
      <c r="M31" s="2135"/>
      <c r="N31" s="2135"/>
      <c r="O31" s="2142"/>
      <c r="P31" s="3247"/>
      <c r="Q31" s="1572">
        <f t="shared" si="8"/>
        <v>0</v>
      </c>
      <c r="R31" s="1573" t="s">
        <v>11</v>
      </c>
      <c r="S31" s="1574">
        <f t="shared" si="9"/>
        <v>100</v>
      </c>
      <c r="T31" s="1573" t="s">
        <v>11</v>
      </c>
      <c r="U31" s="1574">
        <f t="shared" si="10"/>
        <v>100</v>
      </c>
      <c r="V31" s="1573" t="s">
        <v>11</v>
      </c>
      <c r="W31" s="1574">
        <f t="shared" si="11"/>
        <v>100</v>
      </c>
      <c r="X31" s="1567"/>
      <c r="Y31" s="3247"/>
      <c r="Z31" s="1575">
        <f t="shared" si="12"/>
        <v>0</v>
      </c>
      <c r="AA31" s="1576">
        <f t="shared" si="3"/>
        <v>1</v>
      </c>
      <c r="AB31" s="1576">
        <f t="shared" si="4"/>
        <v>1</v>
      </c>
      <c r="AC31" s="1576">
        <f t="shared" si="5"/>
        <v>1</v>
      </c>
    </row>
    <row r="32" spans="1:29" ht="15">
      <c r="A32" s="2931" t="s">
        <v>2763</v>
      </c>
      <c r="B32" s="171" t="s">
        <v>726</v>
      </c>
      <c r="C32" s="878" t="s">
        <v>3235</v>
      </c>
      <c r="D32" s="598">
        <v>100</v>
      </c>
      <c r="E32" s="915" t="s">
        <v>3237</v>
      </c>
      <c r="F32" s="576">
        <f>SUMIF(100:100,E32,101:101)-SUMIF(100:100,C32,101:101)+100</f>
        <v>97</v>
      </c>
      <c r="G32" s="915" t="s">
        <v>3237</v>
      </c>
      <c r="H32" s="598">
        <f>SUMIF(100:100,G32,101:101)-SUMIF(100:100,C32,101:101)+100</f>
        <v>97</v>
      </c>
      <c r="I32" s="915" t="s">
        <v>3235</v>
      </c>
      <c r="J32" s="541">
        <f>SUMIF(100:100,I32,101:101)-SUMIF(100:100,C32,101:101)+100</f>
        <v>100</v>
      </c>
      <c r="K32" s="865">
        <v>3</v>
      </c>
      <c r="L32" s="2143"/>
      <c r="M32" s="2135"/>
      <c r="N32" s="2135"/>
      <c r="O32" s="2142"/>
      <c r="P32" s="3248" t="s">
        <v>551</v>
      </c>
      <c r="Q32" s="1572" t="str">
        <f t="shared" si="8"/>
        <v>建筑类型</v>
      </c>
      <c r="R32" s="1573" t="s">
        <v>11</v>
      </c>
      <c r="S32" s="1574">
        <f t="shared" si="9"/>
        <v>97</v>
      </c>
      <c r="T32" s="1573" t="s">
        <v>11</v>
      </c>
      <c r="U32" s="1574">
        <f t="shared" si="10"/>
        <v>97</v>
      </c>
      <c r="V32" s="1573" t="s">
        <v>11</v>
      </c>
      <c r="W32" s="1574">
        <f t="shared" si="11"/>
        <v>100</v>
      </c>
      <c r="X32" s="1567"/>
      <c r="Y32" s="3249" t="s">
        <v>551</v>
      </c>
      <c r="Z32" s="1575" t="str">
        <f t="shared" si="12"/>
        <v>建筑类型</v>
      </c>
      <c r="AA32" s="1576">
        <f t="shared" si="3"/>
        <v>1.0309278350515463</v>
      </c>
      <c r="AB32" s="1576">
        <f t="shared" si="4"/>
        <v>1.0309278350515463</v>
      </c>
      <c r="AC32" s="1576">
        <f t="shared" si="5"/>
        <v>1</v>
      </c>
    </row>
    <row r="33" spans="1:29" s="1338" customFormat="1" ht="15">
      <c r="A33" s="604"/>
      <c r="B33" s="529" t="s">
        <v>727</v>
      </c>
      <c r="C33" s="879">
        <f>'数据-汇总表'!E3</f>
        <v>217232</v>
      </c>
      <c r="D33" s="254">
        <v>100</v>
      </c>
      <c r="E33" s="879">
        <v>480000</v>
      </c>
      <c r="F33" s="864">
        <f>LOOKUP(E33,103:103,104:104)-LOOKUP(C33,103:103,104:104)+100</f>
        <v>102</v>
      </c>
      <c r="G33" s="879">
        <v>207423</v>
      </c>
      <c r="H33" s="254">
        <f>LOOKUP(G33,103:103,104:104)-LOOKUP(C33,103:103,104:104)+100</f>
        <v>100</v>
      </c>
      <c r="I33" s="879">
        <v>400000</v>
      </c>
      <c r="J33" s="254">
        <f>LOOKUP(I33,103:103,104:104)-LOOKUP(C33,103:103,104:104)+100</f>
        <v>102</v>
      </c>
      <c r="K33" s="866"/>
      <c r="L33" s="2141"/>
      <c r="M33" s="2172"/>
      <c r="N33" s="2172"/>
      <c r="O33" s="2144"/>
      <c r="P33" s="3249"/>
      <c r="Q33" s="1605" t="str">
        <f t="shared" si="8"/>
        <v>项目建筑规模</v>
      </c>
      <c r="R33" s="1577" t="s">
        <v>11</v>
      </c>
      <c r="S33" s="1578">
        <f t="shared" si="9"/>
        <v>102</v>
      </c>
      <c r="T33" s="1577" t="s">
        <v>11</v>
      </c>
      <c r="U33" s="1578">
        <f t="shared" si="10"/>
        <v>100</v>
      </c>
      <c r="V33" s="1577" t="s">
        <v>11</v>
      </c>
      <c r="W33" s="1578">
        <f t="shared" si="11"/>
        <v>102</v>
      </c>
      <c r="X33" s="1579"/>
      <c r="Y33" s="3249"/>
      <c r="Z33" s="1580" t="str">
        <f t="shared" si="12"/>
        <v>项目建筑规模</v>
      </c>
      <c r="AA33" s="1576">
        <f t="shared" si="3"/>
        <v>0.98039215686274506</v>
      </c>
      <c r="AB33" s="1576">
        <f t="shared" si="4"/>
        <v>1</v>
      </c>
      <c r="AC33" s="1576">
        <f t="shared" si="5"/>
        <v>0.98039215686274506</v>
      </c>
    </row>
    <row r="34" spans="1:29" ht="15">
      <c r="A34" s="595"/>
      <c r="B34" s="529" t="s">
        <v>728</v>
      </c>
      <c r="C34" s="880" t="s">
        <v>3040</v>
      </c>
      <c r="D34" s="541">
        <v>100</v>
      </c>
      <c r="E34" s="575" t="s">
        <v>3040</v>
      </c>
      <c r="F34" s="576">
        <f>SUMIF(105:105,E34,106:106)-SUMIF(105:105,C34,106:106)+100</f>
        <v>100</v>
      </c>
      <c r="G34" s="575" t="s">
        <v>3040</v>
      </c>
      <c r="H34" s="541">
        <f>SUMIF(105:105,G34,106:106)-SUMIF(105:105,C34,106:106)+100</f>
        <v>100</v>
      </c>
      <c r="I34" s="575" t="s">
        <v>3040</v>
      </c>
      <c r="J34" s="541">
        <f>SUMIF(105:105,I34,106:106)-SUMIF(105:105,C34,106:106)+100</f>
        <v>100</v>
      </c>
      <c r="K34" s="865">
        <v>2</v>
      </c>
      <c r="L34" s="2143"/>
      <c r="M34" s="2135"/>
      <c r="N34" s="2135"/>
      <c r="O34" s="2142"/>
      <c r="P34" s="3249"/>
      <c r="Q34" s="1572" t="str">
        <f t="shared" si="8"/>
        <v>建筑结构</v>
      </c>
      <c r="R34" s="1573" t="s">
        <v>11</v>
      </c>
      <c r="S34" s="1574">
        <f t="shared" si="9"/>
        <v>100</v>
      </c>
      <c r="T34" s="1573" t="s">
        <v>11</v>
      </c>
      <c r="U34" s="1574">
        <f t="shared" si="10"/>
        <v>100</v>
      </c>
      <c r="V34" s="1573" t="s">
        <v>11</v>
      </c>
      <c r="W34" s="1574">
        <f t="shared" si="11"/>
        <v>100</v>
      </c>
      <c r="X34" s="1567"/>
      <c r="Y34" s="3249"/>
      <c r="Z34" s="1575" t="str">
        <f t="shared" si="12"/>
        <v>建筑结构</v>
      </c>
      <c r="AA34" s="1576">
        <f t="shared" si="3"/>
        <v>1</v>
      </c>
      <c r="AB34" s="1576">
        <f t="shared" si="4"/>
        <v>1</v>
      </c>
      <c r="AC34" s="1576">
        <f t="shared" si="5"/>
        <v>1</v>
      </c>
    </row>
    <row r="35" spans="1:29" ht="15">
      <c r="A35" s="595"/>
      <c r="B35" s="529" t="s">
        <v>729</v>
      </c>
      <c r="C35" s="600" t="s">
        <v>3053</v>
      </c>
      <c r="D35" s="541">
        <v>100</v>
      </c>
      <c r="E35" s="575" t="s">
        <v>3053</v>
      </c>
      <c r="F35" s="576">
        <f>SUMIF(107:107,E35,108:108)-SUMIF(107:107,C35,108:108)+100</f>
        <v>100</v>
      </c>
      <c r="G35" s="575" t="s">
        <v>3243</v>
      </c>
      <c r="H35" s="541">
        <f>SUMIF(107:107,G35,108:108)-SUMIF(107:107,C35,108:108)+100</f>
        <v>105</v>
      </c>
      <c r="I35" s="575" t="s">
        <v>3243</v>
      </c>
      <c r="J35" s="541">
        <f>SUMIF(107:107,I35,108:108)-SUMIF(107:107,C35,108:108)+100</f>
        <v>105</v>
      </c>
      <c r="K35" s="865">
        <v>5</v>
      </c>
      <c r="L35" s="2143"/>
      <c r="M35" s="2135"/>
      <c r="N35" s="2135"/>
      <c r="O35" s="2142"/>
      <c r="P35" s="3249"/>
      <c r="Q35" s="1572" t="str">
        <f t="shared" si="8"/>
        <v>建筑品质</v>
      </c>
      <c r="R35" s="1573" t="s">
        <v>11</v>
      </c>
      <c r="S35" s="1574">
        <f t="shared" si="9"/>
        <v>100</v>
      </c>
      <c r="T35" s="1573" t="s">
        <v>11</v>
      </c>
      <c r="U35" s="1574">
        <f t="shared" si="10"/>
        <v>105</v>
      </c>
      <c r="V35" s="1573" t="s">
        <v>11</v>
      </c>
      <c r="W35" s="1574">
        <f t="shared" si="11"/>
        <v>105</v>
      </c>
      <c r="X35" s="1567"/>
      <c r="Y35" s="3249"/>
      <c r="Z35" s="1575" t="str">
        <f t="shared" si="12"/>
        <v>建筑品质</v>
      </c>
      <c r="AA35" s="1576">
        <f t="shared" si="3"/>
        <v>1</v>
      </c>
      <c r="AB35" s="1576">
        <f t="shared" si="4"/>
        <v>0.95238095238095233</v>
      </c>
      <c r="AC35" s="1576">
        <f t="shared" si="5"/>
        <v>0.95238095238095233</v>
      </c>
    </row>
    <row r="36" spans="1:29" ht="15">
      <c r="A36" s="595"/>
      <c r="B36" s="529" t="s">
        <v>730</v>
      </c>
      <c r="C36" s="600" t="s">
        <v>3041</v>
      </c>
      <c r="D36" s="541">
        <v>100</v>
      </c>
      <c r="E36" s="575" t="s">
        <v>3041</v>
      </c>
      <c r="F36" s="576">
        <f>SUMIF(109:109,E36,110:110)-SUMIF(109:109,C36,110:110)+100</f>
        <v>100</v>
      </c>
      <c r="G36" s="575" t="s">
        <v>3041</v>
      </c>
      <c r="H36" s="541">
        <f>SUMIF(109:109,G36,110:110)-SUMIF(109:109,C36,110:110)+100</f>
        <v>100</v>
      </c>
      <c r="I36" s="575" t="s">
        <v>3041</v>
      </c>
      <c r="J36" s="541">
        <f>SUMIF(109:109,I36,110:110)-SUMIF(109:109,C36,110:110)+100</f>
        <v>100</v>
      </c>
      <c r="K36" s="865">
        <v>2</v>
      </c>
      <c r="L36" s="2143"/>
      <c r="M36" s="2135"/>
      <c r="N36" s="2135"/>
      <c r="O36" s="2142"/>
      <c r="P36" s="3249"/>
      <c r="Q36" s="1572" t="str">
        <f t="shared" si="8"/>
        <v>公共部分装修</v>
      </c>
      <c r="R36" s="1573" t="s">
        <v>11</v>
      </c>
      <c r="S36" s="1574">
        <f t="shared" si="9"/>
        <v>100</v>
      </c>
      <c r="T36" s="1573" t="s">
        <v>11</v>
      </c>
      <c r="U36" s="1574">
        <f t="shared" si="10"/>
        <v>100</v>
      </c>
      <c r="V36" s="1573" t="s">
        <v>11</v>
      </c>
      <c r="W36" s="1574">
        <f t="shared" si="11"/>
        <v>100</v>
      </c>
      <c r="X36" s="1567"/>
      <c r="Y36" s="3249"/>
      <c r="Z36" s="1575" t="str">
        <f t="shared" si="12"/>
        <v>公共部分装修</v>
      </c>
      <c r="AA36" s="1576">
        <f t="shared" si="3"/>
        <v>1</v>
      </c>
      <c r="AB36" s="1576">
        <f t="shared" si="4"/>
        <v>1</v>
      </c>
      <c r="AC36" s="1576">
        <f t="shared" si="5"/>
        <v>1</v>
      </c>
    </row>
    <row r="37" spans="1:29" s="1219" customFormat="1" ht="15">
      <c r="A37" s="601"/>
      <c r="B37" s="529" t="s">
        <v>731</v>
      </c>
      <c r="C37" s="882">
        <v>1</v>
      </c>
      <c r="D37" s="254">
        <v>100</v>
      </c>
      <c r="E37" s="3197">
        <v>1</v>
      </c>
      <c r="F37" s="864">
        <f>LOOKUP(E37,112:112,113:113)-LOOKUP(C37,112:112,113:113)+100</f>
        <v>100</v>
      </c>
      <c r="G37" s="3197">
        <v>1</v>
      </c>
      <c r="H37" s="254">
        <f>LOOKUP(G37,112:112,113:113)-LOOKUP(C37,112:112,113:113)+100</f>
        <v>100</v>
      </c>
      <c r="I37" s="3197">
        <v>1</v>
      </c>
      <c r="J37" s="254">
        <f>LOOKUP(I37,112:112,113:113)-LOOKUP(C37,112:112,113:113)+100</f>
        <v>100</v>
      </c>
      <c r="K37" s="865">
        <v>1</v>
      </c>
      <c r="L37" s="2136"/>
      <c r="M37" s="2137"/>
      <c r="N37" s="2137"/>
      <c r="O37" s="2138"/>
      <c r="P37" s="3249"/>
      <c r="Q37" s="1150" t="str">
        <f t="shared" si="8"/>
        <v>成新度</v>
      </c>
      <c r="R37" s="1568" t="s">
        <v>11</v>
      </c>
      <c r="S37" s="1569">
        <f t="shared" si="9"/>
        <v>100</v>
      </c>
      <c r="T37" s="1568" t="s">
        <v>11</v>
      </c>
      <c r="U37" s="1569">
        <f t="shared" si="10"/>
        <v>100</v>
      </c>
      <c r="V37" s="1568" t="s">
        <v>11</v>
      </c>
      <c r="W37" s="1569">
        <f t="shared" si="11"/>
        <v>100</v>
      </c>
      <c r="X37" s="1570"/>
      <c r="Y37" s="3249"/>
      <c r="Z37" s="1149" t="str">
        <f t="shared" si="12"/>
        <v>成新度</v>
      </c>
      <c r="AA37" s="1571">
        <f t="shared" si="3"/>
        <v>1</v>
      </c>
      <c r="AB37" s="1571">
        <f t="shared" si="4"/>
        <v>1</v>
      </c>
      <c r="AC37" s="1571">
        <f t="shared" si="5"/>
        <v>1</v>
      </c>
    </row>
    <row r="38" spans="1:29" ht="15">
      <c r="A38" s="595"/>
      <c r="B38" s="529" t="s">
        <v>732</v>
      </c>
      <c r="C38" s="600" t="s">
        <v>3042</v>
      </c>
      <c r="D38" s="541">
        <v>100</v>
      </c>
      <c r="E38" s="575" t="s">
        <v>3042</v>
      </c>
      <c r="F38" s="576">
        <f>SUMIF(114:114,E38,115:115)-SUMIF(114:114,C38,115:115)+100</f>
        <v>100</v>
      </c>
      <c r="G38" s="575" t="s">
        <v>3042</v>
      </c>
      <c r="H38" s="541">
        <f>SUMIF(114:114,G38,115:115)-SUMIF(114:114,C38,115:115)+100</f>
        <v>100</v>
      </c>
      <c r="I38" s="575" t="s">
        <v>3042</v>
      </c>
      <c r="J38" s="541">
        <f>SUMIF(114:114,I38,115:115)-SUMIF(114:114,C38,115:115)+100</f>
        <v>100</v>
      </c>
      <c r="K38" s="865">
        <v>3</v>
      </c>
      <c r="L38" s="2143"/>
      <c r="M38" s="2135"/>
      <c r="N38" s="2135"/>
      <c r="O38" s="2142"/>
      <c r="P38" s="3249" t="s">
        <v>551</v>
      </c>
      <c r="Q38" s="1572" t="str">
        <f t="shared" si="8"/>
        <v>物业管理</v>
      </c>
      <c r="R38" s="1573" t="s">
        <v>11</v>
      </c>
      <c r="S38" s="1574">
        <f t="shared" si="9"/>
        <v>100</v>
      </c>
      <c r="T38" s="1573" t="s">
        <v>11</v>
      </c>
      <c r="U38" s="1574">
        <f t="shared" si="10"/>
        <v>100</v>
      </c>
      <c r="V38" s="1573" t="s">
        <v>11</v>
      </c>
      <c r="W38" s="1574">
        <f t="shared" si="11"/>
        <v>100</v>
      </c>
      <c r="X38" s="1567"/>
      <c r="Y38" s="3249" t="s">
        <v>551</v>
      </c>
      <c r="Z38" s="1575" t="str">
        <f t="shared" si="12"/>
        <v>物业管理</v>
      </c>
      <c r="AA38" s="1576">
        <f t="shared" si="3"/>
        <v>1</v>
      </c>
      <c r="AB38" s="1576">
        <f t="shared" si="4"/>
        <v>1</v>
      </c>
      <c r="AC38" s="1576">
        <f t="shared" si="5"/>
        <v>1</v>
      </c>
    </row>
    <row r="39" spans="1:29" ht="15">
      <c r="A39" s="595"/>
      <c r="B39" s="1896" t="s">
        <v>2570</v>
      </c>
      <c r="C39" s="600" t="s">
        <v>3050</v>
      </c>
      <c r="D39" s="541">
        <v>100</v>
      </c>
      <c r="E39" s="575" t="s">
        <v>3050</v>
      </c>
      <c r="F39" s="576">
        <f>SUMIF(116:116,E39,117:117)-SUMIF(116:116,C39,117:117)+100</f>
        <v>100</v>
      </c>
      <c r="G39" s="575" t="s">
        <v>3050</v>
      </c>
      <c r="H39" s="541">
        <f>SUMIF(116:116,G39,117:117)-SUMIF(116:116,C39,117:117)+100</f>
        <v>100</v>
      </c>
      <c r="I39" s="575" t="s">
        <v>3050</v>
      </c>
      <c r="J39" s="541">
        <f>SUMIF(116:116,I39,117:117)-SUMIF(116:116,C39,117:117)+100</f>
        <v>100</v>
      </c>
      <c r="K39" s="865">
        <v>1</v>
      </c>
      <c r="L39" s="2143"/>
      <c r="M39" s="2135"/>
      <c r="N39" s="2135"/>
      <c r="O39" s="2142"/>
      <c r="P39" s="3249"/>
      <c r="Q39" s="1572" t="str">
        <f t="shared" si="8"/>
        <v>市政基础设施</v>
      </c>
      <c r="R39" s="1573" t="s">
        <v>11</v>
      </c>
      <c r="S39" s="1574">
        <f t="shared" si="9"/>
        <v>100</v>
      </c>
      <c r="T39" s="1573" t="s">
        <v>11</v>
      </c>
      <c r="U39" s="1574">
        <f t="shared" si="10"/>
        <v>100</v>
      </c>
      <c r="V39" s="1573" t="s">
        <v>11</v>
      </c>
      <c r="W39" s="1574">
        <f t="shared" si="11"/>
        <v>100</v>
      </c>
      <c r="X39" s="1567"/>
      <c r="Y39" s="3249"/>
      <c r="Z39" s="1575" t="str">
        <f t="shared" si="12"/>
        <v>市政基础设施</v>
      </c>
      <c r="AA39" s="1576">
        <f t="shared" si="3"/>
        <v>1</v>
      </c>
      <c r="AB39" s="1576">
        <f t="shared" si="4"/>
        <v>1</v>
      </c>
      <c r="AC39" s="1576">
        <f t="shared" si="5"/>
        <v>1</v>
      </c>
    </row>
    <row r="40" spans="1:29" ht="15">
      <c r="A40" s="595"/>
      <c r="B40" s="529" t="s">
        <v>733</v>
      </c>
      <c r="C40" s="600" t="s">
        <v>3043</v>
      </c>
      <c r="D40" s="541">
        <v>100</v>
      </c>
      <c r="E40" s="575" t="s">
        <v>3043</v>
      </c>
      <c r="F40" s="576">
        <f>SUMIF(118:118,E40,119:119)-SUMIF(118:118,C40,119:119)+100</f>
        <v>100</v>
      </c>
      <c r="G40" s="575" t="s">
        <v>3043</v>
      </c>
      <c r="H40" s="541">
        <f>SUMIF(118:118,G40,119:119)-SUMIF(118:118,C40,119:119)+100</f>
        <v>100</v>
      </c>
      <c r="I40" s="575" t="s">
        <v>3043</v>
      </c>
      <c r="J40" s="541">
        <f>SUMIF(118:118,I40,119:119)-SUMIF(118:118,C40,119:119)+100</f>
        <v>100</v>
      </c>
      <c r="K40" s="865">
        <v>5</v>
      </c>
      <c r="L40" s="2143"/>
      <c r="M40" s="2135"/>
      <c r="N40" s="2135"/>
      <c r="O40" s="2142"/>
      <c r="P40" s="3249"/>
      <c r="Q40" s="1572" t="str">
        <f t="shared" si="8"/>
        <v>房型</v>
      </c>
      <c r="R40" s="1573" t="s">
        <v>11</v>
      </c>
      <c r="S40" s="1574">
        <f t="shared" si="9"/>
        <v>100</v>
      </c>
      <c r="T40" s="1573" t="s">
        <v>11</v>
      </c>
      <c r="U40" s="1574">
        <f t="shared" si="10"/>
        <v>100</v>
      </c>
      <c r="V40" s="1573" t="s">
        <v>11</v>
      </c>
      <c r="W40" s="1574">
        <f t="shared" si="11"/>
        <v>100</v>
      </c>
      <c r="X40" s="1567"/>
      <c r="Y40" s="3249"/>
      <c r="Z40" s="1575" t="str">
        <f t="shared" si="12"/>
        <v>房型</v>
      </c>
      <c r="AA40" s="1576">
        <f t="shared" si="3"/>
        <v>1</v>
      </c>
      <c r="AB40" s="1576">
        <f t="shared" si="4"/>
        <v>1</v>
      </c>
      <c r="AC40" s="1576">
        <f t="shared" si="5"/>
        <v>1</v>
      </c>
    </row>
    <row r="41" spans="1:29" s="1338" customFormat="1" ht="28.5">
      <c r="A41" s="604"/>
      <c r="B41" s="529" t="s">
        <v>734</v>
      </c>
      <c r="C41" s="879"/>
      <c r="D41" s="254">
        <v>100</v>
      </c>
      <c r="E41" s="879"/>
      <c r="F41" s="864">
        <f>SUMIF(120:120,E41,121:121)-SUMIF(120:120,C41,121:121)+100</f>
        <v>100</v>
      </c>
      <c r="G41" s="879"/>
      <c r="H41" s="254">
        <f>SUMIF(120:120,G41,121:121)-SUMIF(120:120,C41,121:121)+100</f>
        <v>100</v>
      </c>
      <c r="I41" s="879"/>
      <c r="J41" s="541">
        <f>SUMIF(120:120,I41,121:121)-SUMIF(120:120,C41,121:121)+100</f>
        <v>100</v>
      </c>
      <c r="K41" s="866"/>
      <c r="L41" s="2141"/>
      <c r="M41" s="2172"/>
      <c r="N41" s="2172"/>
      <c r="O41" s="2144"/>
      <c r="P41" s="3249"/>
      <c r="Q41" s="1605" t="str">
        <f t="shared" si="8"/>
        <v>单套/主力户型建筑面积</v>
      </c>
      <c r="R41" s="1577" t="s">
        <v>11</v>
      </c>
      <c r="S41" s="1578">
        <f t="shared" si="9"/>
        <v>100</v>
      </c>
      <c r="T41" s="1577" t="s">
        <v>11</v>
      </c>
      <c r="U41" s="1578">
        <f t="shared" si="10"/>
        <v>100</v>
      </c>
      <c r="V41" s="1577" t="s">
        <v>11</v>
      </c>
      <c r="W41" s="1578">
        <f t="shared" si="11"/>
        <v>100</v>
      </c>
      <c r="X41" s="1579"/>
      <c r="Y41" s="3249"/>
      <c r="Z41" s="1580" t="str">
        <f t="shared" si="12"/>
        <v>单套/主力户型建筑面积</v>
      </c>
      <c r="AA41" s="1576">
        <f t="shared" si="3"/>
        <v>1</v>
      </c>
      <c r="AB41" s="1576">
        <f t="shared" si="4"/>
        <v>1</v>
      </c>
      <c r="AC41" s="1576">
        <f t="shared" si="5"/>
        <v>1</v>
      </c>
    </row>
    <row r="42" spans="1:29" ht="15.75" thickBot="1">
      <c r="A42" s="595"/>
      <c r="B42" s="529" t="s">
        <v>735</v>
      </c>
      <c r="C42" s="600" t="s">
        <v>3232</v>
      </c>
      <c r="D42" s="541">
        <v>100</v>
      </c>
      <c r="E42" s="575" t="s">
        <v>3232</v>
      </c>
      <c r="F42" s="576">
        <f>SUMIF(122:122,E42,123:123)-SUMIF(122:122,C42,123:123)+100</f>
        <v>100</v>
      </c>
      <c r="G42" s="575" t="s">
        <v>3041</v>
      </c>
      <c r="H42" s="541">
        <f>SUMIF(122:122,G42,123:123)-SUMIF(122:122,C42,123:123)+100</f>
        <v>109</v>
      </c>
      <c r="I42" s="575" t="s">
        <v>3041</v>
      </c>
      <c r="J42" s="541">
        <f>SUMIF(122:122,I42,123:123)-SUMIF(122:122,C42,123:123)+100</f>
        <v>109</v>
      </c>
      <c r="K42" s="865">
        <v>3</v>
      </c>
      <c r="L42" s="2143"/>
      <c r="M42" s="2135"/>
      <c r="N42" s="2135"/>
      <c r="O42" s="2142"/>
      <c r="P42" s="3249"/>
      <c r="Q42" s="1572" t="str">
        <f t="shared" si="8"/>
        <v>内部装修</v>
      </c>
      <c r="R42" s="1573" t="s">
        <v>11</v>
      </c>
      <c r="S42" s="1574">
        <f t="shared" si="9"/>
        <v>100</v>
      </c>
      <c r="T42" s="1573" t="s">
        <v>11</v>
      </c>
      <c r="U42" s="1574">
        <f t="shared" si="10"/>
        <v>109</v>
      </c>
      <c r="V42" s="1573" t="s">
        <v>11</v>
      </c>
      <c r="W42" s="1574">
        <f t="shared" si="11"/>
        <v>109</v>
      </c>
      <c r="X42" s="1567"/>
      <c r="Y42" s="3249"/>
      <c r="Z42" s="1575" t="str">
        <f t="shared" si="12"/>
        <v>内部装修</v>
      </c>
      <c r="AA42" s="1576">
        <f t="shared" si="3"/>
        <v>1</v>
      </c>
      <c r="AB42" s="1576">
        <f t="shared" si="4"/>
        <v>0.91743119266055051</v>
      </c>
      <c r="AC42" s="1576">
        <f t="shared" si="5"/>
        <v>0.91743119266055051</v>
      </c>
    </row>
    <row r="43" spans="1:29" ht="27" hidden="1">
      <c r="A43" s="595"/>
      <c r="B43" s="529" t="s">
        <v>736</v>
      </c>
      <c r="C43" s="600" t="s">
        <v>3013</v>
      </c>
      <c r="D43" s="541">
        <v>100</v>
      </c>
      <c r="E43" s="575" t="s">
        <v>3013</v>
      </c>
      <c r="F43" s="576">
        <f>SUMIF(124:124,E43,125:125)-SUMIF(124:124,C43,125:125)+100</f>
        <v>100</v>
      </c>
      <c r="G43" s="575" t="s">
        <v>3013</v>
      </c>
      <c r="H43" s="541">
        <f>SUMIF(124:124,G43,125:125)-SUMIF(124:124,C43,125:125)+100</f>
        <v>100</v>
      </c>
      <c r="I43" s="575" t="s">
        <v>3013</v>
      </c>
      <c r="J43" s="541">
        <f>SUMIF(124:124,I43,125:125)-SUMIF(124:124,C43,125:125)+100</f>
        <v>100</v>
      </c>
      <c r="K43" s="865">
        <v>0</v>
      </c>
      <c r="L43" s="2143"/>
      <c r="M43" s="2135"/>
      <c r="N43" s="2135"/>
      <c r="O43" s="2142"/>
      <c r="P43" s="3249"/>
      <c r="Q43" s="1572" t="str">
        <f t="shared" si="8"/>
        <v>内部装修维护情况</v>
      </c>
      <c r="R43" s="1573" t="s">
        <v>11</v>
      </c>
      <c r="S43" s="1574">
        <f t="shared" si="9"/>
        <v>100</v>
      </c>
      <c r="T43" s="1573" t="s">
        <v>11</v>
      </c>
      <c r="U43" s="1574">
        <f t="shared" si="10"/>
        <v>100</v>
      </c>
      <c r="V43" s="1573" t="s">
        <v>11</v>
      </c>
      <c r="W43" s="1574">
        <f t="shared" si="11"/>
        <v>100</v>
      </c>
      <c r="X43" s="1567"/>
      <c r="Y43" s="3249"/>
      <c r="Z43" s="1575" t="str">
        <f t="shared" si="12"/>
        <v>内部装修维护情况</v>
      </c>
      <c r="AA43" s="1576">
        <f t="shared" si="3"/>
        <v>1</v>
      </c>
      <c r="AB43" s="1576">
        <f t="shared" si="4"/>
        <v>1</v>
      </c>
      <c r="AC43" s="1576">
        <f t="shared" si="5"/>
        <v>1</v>
      </c>
    </row>
    <row r="44" spans="1:29" s="1219" customFormat="1" ht="15" hidden="1">
      <c r="A44" s="601"/>
      <c r="B44" s="877"/>
      <c r="C44" s="879"/>
      <c r="D44" s="254">
        <v>100</v>
      </c>
      <c r="E44" s="879"/>
      <c r="F44" s="864">
        <f>SUMIF(126:126,E44,127:127)-SUMIF(126:126,C44,127:127)+100</f>
        <v>100</v>
      </c>
      <c r="G44" s="879"/>
      <c r="H44" s="254">
        <f>SUMIF(126:126,G44,127:127)-SUMIF(126:126,C44,127:127)+100</f>
        <v>100</v>
      </c>
      <c r="I44" s="879"/>
      <c r="J44" s="254">
        <f>SUMIF(126:126,I44,127:127)-SUMIF(126:126,C44,127:127)+100</f>
        <v>100</v>
      </c>
      <c r="K44" s="866"/>
      <c r="L44" s="2136"/>
      <c r="M44" s="2137"/>
      <c r="N44" s="2137"/>
      <c r="O44" s="2138"/>
      <c r="P44" s="3249"/>
      <c r="Q44" s="1150">
        <f t="shared" si="8"/>
        <v>0</v>
      </c>
      <c r="R44" s="1568" t="s">
        <v>11</v>
      </c>
      <c r="S44" s="1569">
        <f t="shared" si="9"/>
        <v>100</v>
      </c>
      <c r="T44" s="1568" t="s">
        <v>11</v>
      </c>
      <c r="U44" s="1569">
        <f t="shared" si="10"/>
        <v>100</v>
      </c>
      <c r="V44" s="1568" t="s">
        <v>11</v>
      </c>
      <c r="W44" s="1569">
        <f t="shared" si="11"/>
        <v>100</v>
      </c>
      <c r="X44" s="1570"/>
      <c r="Y44" s="3249"/>
      <c r="Z44" s="1149">
        <f t="shared" si="12"/>
        <v>0</v>
      </c>
      <c r="AA44" s="1571">
        <f t="shared" si="3"/>
        <v>1</v>
      </c>
      <c r="AB44" s="1571">
        <f t="shared" si="4"/>
        <v>1</v>
      </c>
      <c r="AC44" s="1571">
        <f t="shared" si="5"/>
        <v>1</v>
      </c>
    </row>
    <row r="45" spans="1:29" ht="15" hidden="1">
      <c r="A45" s="595"/>
      <c r="B45" s="877"/>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3"/>
      <c r="M45" s="2135"/>
      <c r="N45" s="2135"/>
      <c r="O45" s="2142"/>
      <c r="P45" s="3249"/>
      <c r="Q45" s="1572">
        <f t="shared" si="8"/>
        <v>0</v>
      </c>
      <c r="R45" s="1573" t="s">
        <v>11</v>
      </c>
      <c r="S45" s="1574">
        <f t="shared" si="9"/>
        <v>100</v>
      </c>
      <c r="T45" s="1573" t="s">
        <v>11</v>
      </c>
      <c r="U45" s="1574">
        <f t="shared" si="10"/>
        <v>100</v>
      </c>
      <c r="V45" s="1573" t="s">
        <v>11</v>
      </c>
      <c r="W45" s="1574">
        <f t="shared" si="11"/>
        <v>100</v>
      </c>
      <c r="X45" s="1567"/>
      <c r="Y45" s="3249"/>
      <c r="Z45" s="1575">
        <f t="shared" si="12"/>
        <v>0</v>
      </c>
      <c r="AA45" s="1576">
        <f t="shared" si="3"/>
        <v>1</v>
      </c>
      <c r="AB45" s="1576">
        <f t="shared" si="4"/>
        <v>1</v>
      </c>
      <c r="AC45" s="1576">
        <f t="shared" si="5"/>
        <v>1</v>
      </c>
    </row>
    <row r="46" spans="1:29" ht="15.75" hidden="1" thickBot="1">
      <c r="A46" s="885"/>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3"/>
      <c r="M46" s="2135"/>
      <c r="N46" s="2135"/>
      <c r="O46" s="2142"/>
      <c r="P46" s="3250"/>
      <c r="Q46" s="1572">
        <f t="shared" si="8"/>
        <v>0</v>
      </c>
      <c r="R46" s="1573" t="s">
        <v>10</v>
      </c>
      <c r="S46" s="1574">
        <f t="shared" si="9"/>
        <v>100</v>
      </c>
      <c r="T46" s="1573" t="s">
        <v>10</v>
      </c>
      <c r="U46" s="1574">
        <f t="shared" si="10"/>
        <v>100</v>
      </c>
      <c r="V46" s="1573" t="s">
        <v>10</v>
      </c>
      <c r="W46" s="1574">
        <f t="shared" si="11"/>
        <v>100</v>
      </c>
      <c r="X46" s="1567"/>
      <c r="Y46" s="3250"/>
      <c r="Z46" s="1575">
        <f t="shared" si="12"/>
        <v>0</v>
      </c>
      <c r="AA46" s="1576">
        <f t="shared" si="3"/>
        <v>1</v>
      </c>
      <c r="AB46" s="1576">
        <f t="shared" si="4"/>
        <v>1</v>
      </c>
      <c r="AC46" s="1576">
        <f t="shared" si="5"/>
        <v>1</v>
      </c>
    </row>
    <row r="47" spans="1:29" ht="15">
      <c r="A47" s="608" t="s">
        <v>737</v>
      </c>
      <c r="B47" s="886"/>
      <c r="C47" s="2649" t="s">
        <v>9</v>
      </c>
      <c r="D47" s="2650"/>
      <c r="E47" s="2651">
        <v>10000</v>
      </c>
      <c r="F47" s="2652"/>
      <c r="G47" s="2651">
        <f>0.98*13000</f>
        <v>12740</v>
      </c>
      <c r="H47" s="2654"/>
      <c r="I47" s="2651">
        <f>0.98*13200</f>
        <v>12936</v>
      </c>
      <c r="J47" s="2654"/>
      <c r="K47" s="1606"/>
      <c r="L47" s="2145"/>
      <c r="M47" s="2146"/>
      <c r="N47" s="2135"/>
      <c r="O47" s="2146"/>
      <c r="P47" s="3241" t="str">
        <f>A47</f>
        <v>成交单价（元/平方米）</v>
      </c>
      <c r="Q47" s="3241"/>
      <c r="R47" s="3242">
        <f>E47</f>
        <v>10000</v>
      </c>
      <c r="S47" s="3242"/>
      <c r="T47" s="3242">
        <f>G47</f>
        <v>12740</v>
      </c>
      <c r="U47" s="3242"/>
      <c r="V47" s="3242">
        <f>I47</f>
        <v>12936</v>
      </c>
      <c r="W47" s="3242"/>
      <c r="X47" s="1559"/>
      <c r="Y47" s="1581"/>
      <c r="Z47" s="1559"/>
      <c r="AA47" s="1559"/>
      <c r="AB47" s="1559"/>
      <c r="AC47" s="1559"/>
    </row>
    <row r="48" spans="1:29" ht="15.75" thickBot="1">
      <c r="A48" s="616" t="s">
        <v>2768</v>
      </c>
      <c r="B48" s="887"/>
      <c r="C48" s="2655">
        <f>R49</f>
        <v>11070</v>
      </c>
      <c r="D48" s="2656"/>
      <c r="E48" s="2657">
        <f>R48</f>
        <v>10524</v>
      </c>
      <c r="F48" s="2657"/>
      <c r="G48" s="2655">
        <f>T48</f>
        <v>11596</v>
      </c>
      <c r="H48" s="2656"/>
      <c r="I48" s="2657">
        <f>V48</f>
        <v>11090</v>
      </c>
      <c r="J48" s="2656"/>
      <c r="K48" s="1607"/>
      <c r="L48" s="2145"/>
      <c r="M48" s="2146"/>
      <c r="N48" s="2146"/>
      <c r="O48" s="2146"/>
      <c r="P48" s="3241" t="str">
        <f>A48</f>
        <v>比较价格（元/平方米）</v>
      </c>
      <c r="Q48" s="3241"/>
      <c r="R48" s="3242">
        <f>IF(F1="售价",ROUND(PRODUCT(R47,AA7:AA46),0),ROUND(PRODUCT(R47,AA7:AA46),1))</f>
        <v>10524</v>
      </c>
      <c r="S48" s="3242"/>
      <c r="T48" s="3242">
        <f>IF(F1="售价",ROUND(PRODUCT(T47,AB7:AB46),0),ROUND(PRODUCT(T47,AB7:AB46),1))</f>
        <v>11596</v>
      </c>
      <c r="U48" s="3242"/>
      <c r="V48" s="3242">
        <f>IF(F1="售价",ROUND(PRODUCT(V47,AC7:AC46),0),ROUND(PRODUCT(V47,AC7:AC46),1))</f>
        <v>11090</v>
      </c>
      <c r="W48" s="3242"/>
      <c r="X48" s="1559"/>
      <c r="Y48" s="1559"/>
      <c r="Z48" s="1559"/>
      <c r="AA48" s="1559"/>
      <c r="AB48" s="1559"/>
      <c r="AC48" s="1559"/>
    </row>
    <row r="49" spans="1:29" ht="15.75" thickBot="1">
      <c r="A49" s="622" t="s">
        <v>2943</v>
      </c>
      <c r="B49" s="623"/>
      <c r="C49" s="2658">
        <f>R49</f>
        <v>11070</v>
      </c>
      <c r="D49" s="2658"/>
      <c r="E49" s="2658"/>
      <c r="F49" s="2658"/>
      <c r="G49" s="2658"/>
      <c r="H49" s="2658"/>
      <c r="I49" s="2658"/>
      <c r="J49" s="2658"/>
      <c r="K49" s="1608"/>
      <c r="L49" s="2145"/>
      <c r="M49" s="2146"/>
      <c r="N49" s="2146"/>
      <c r="O49" s="2146"/>
      <c r="P49" s="3243" t="str">
        <f>A49</f>
        <v>估价对象XX用房的比较价格（楼面单价，元/平方米）</v>
      </c>
      <c r="Q49" s="3244"/>
      <c r="R49" s="3245">
        <f>IF(F1="售价",ROUND(AVERAGE(R48:V48),0),ROUND(AVERAGE(R48:V48),1))</f>
        <v>11070</v>
      </c>
      <c r="S49" s="3245"/>
      <c r="T49" s="3245"/>
      <c r="U49" s="3245"/>
      <c r="V49" s="3245"/>
      <c r="W49" s="324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f>IF(E47&lt;E48,E48/E47-1,E47/E48-1)</f>
        <v>5.2400000000000002E-2</v>
      </c>
      <c r="F52" s="628" t="str">
        <f>IF(OR(E52&gt;=0.3,E52&lt;=-0.3),"超过30%","")</f>
        <v/>
      </c>
      <c r="G52" s="627">
        <f>IF(G47&lt;G48,G48/G47-1,G47/G48-1)</f>
        <v>9.8654708520179435E-2</v>
      </c>
      <c r="H52" s="628" t="str">
        <f>IF(OR(G52&gt;=0.3,G52&lt;=-0.3),"超过30%","")</f>
        <v/>
      </c>
      <c r="I52" s="627">
        <f>IF(I47&lt;I48,I48/I47-1,I47/I48-1)</f>
        <v>0.16645626690712345</v>
      </c>
      <c r="J52" s="628"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f>IF(E48&lt;G48,G48/E48-1,E48/G48-1)</f>
        <v>0.1018624097301406</v>
      </c>
      <c r="F53" s="628" t="str">
        <f>IF(OR(E53&gt;=0.2,E53&lt;=-0.2),"超过20%","")</f>
        <v/>
      </c>
      <c r="G53" s="627">
        <f>IF(G48&lt;I48,I48/G48-1,G48/I48-1)</f>
        <v>4.5626690712353479E-2</v>
      </c>
      <c r="H53" s="628" t="str">
        <f>IF(OR(G53&gt;=0.2,G53&lt;=-0.2),"超过20%","")</f>
        <v/>
      </c>
      <c r="I53" s="627">
        <f>IF(I48&lt;E48,E48/I48-1,I48/E48-1)</f>
        <v>5.3781832003040764E-2</v>
      </c>
      <c r="J53" s="628"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5" t="s">
        <v>560</v>
      </c>
      <c r="D54" s="629"/>
      <c r="E54" s="627">
        <f>IF(E47&lt;G47,G47/E47-1,E47/G47-1)</f>
        <v>0.27400000000000002</v>
      </c>
      <c r="F54" s="628" t="str">
        <f>IF(OR(E54&gt;=0.3,E54&lt;=-0.3),"超过30%","")</f>
        <v/>
      </c>
      <c r="G54" s="627">
        <f>IF(G47&lt;I47,I47/G47-1,G47/I47-1)</f>
        <v>1.538461538461533E-2</v>
      </c>
      <c r="H54" s="628" t="str">
        <f>IF(OR(G54&gt;=0.3,G54&lt;=-0.3),"超过30%","")</f>
        <v/>
      </c>
      <c r="I54" s="627">
        <f>IF(I47&lt;E47,E47/I47-1,I47/E47-1)</f>
        <v>0.29360000000000008</v>
      </c>
      <c r="J54" s="628"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6" t="s">
        <v>530</v>
      </c>
      <c r="B58" s="647"/>
      <c r="C58" s="2828"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1"/>
      <c r="Q58" s="2162"/>
      <c r="R58" s="2162"/>
      <c r="S58" s="2162"/>
      <c r="T58" s="2162"/>
      <c r="U58" s="2162"/>
      <c r="V58" s="2162"/>
      <c r="W58" s="2162"/>
      <c r="X58" s="2162"/>
      <c r="Y58" s="2162"/>
      <c r="Z58" s="2162"/>
      <c r="AA58" s="2162"/>
      <c r="AB58" s="2162"/>
      <c r="AC58" s="2162"/>
    </row>
    <row r="59" spans="1:29" s="1219" customFormat="1" ht="15">
      <c r="A59" s="648"/>
      <c r="B59" s="649"/>
      <c r="C59" s="650">
        <v>100</v>
      </c>
      <c r="D59" s="651"/>
      <c r="E59" s="651"/>
      <c r="F59" s="651"/>
      <c r="G59" s="651"/>
      <c r="H59" s="651"/>
      <c r="I59" s="651"/>
      <c r="J59" s="651"/>
      <c r="K59" s="651"/>
      <c r="L59" s="651"/>
      <c r="M59" s="651"/>
      <c r="N59" s="651"/>
      <c r="O59" s="651"/>
      <c r="P59" s="2159"/>
      <c r="Q59" s="1994"/>
      <c r="R59" s="1994"/>
      <c r="S59" s="1994"/>
      <c r="T59" s="1994"/>
      <c r="U59" s="1994"/>
      <c r="V59" s="1994"/>
      <c r="W59" s="1994"/>
      <c r="X59" s="1994"/>
      <c r="Y59" s="1994"/>
      <c r="Z59" s="1994"/>
      <c r="AA59" s="1994"/>
      <c r="AB59" s="1994"/>
      <c r="AC59" s="1994"/>
    </row>
    <row r="60" spans="1:29" s="1219"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19"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19" customFormat="1" ht="15.75" thickBot="1">
      <c r="A62" s="660"/>
      <c r="B62" s="649"/>
      <c r="C62" s="888">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994"/>
    </row>
    <row r="63" spans="1:29">
      <c r="A63" s="665" t="s">
        <v>578</v>
      </c>
      <c r="B63" s="666" t="s">
        <v>535</v>
      </c>
      <c r="C63" s="705" t="str">
        <f>C9</f>
        <v>住宅</v>
      </c>
      <c r="D63" s="3163" t="s">
        <v>2985</v>
      </c>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 t="shared" ref="D66:I66" si="14">C66-$K10</f>
        <v>99</v>
      </c>
      <c r="E66" s="680">
        <f t="shared" si="14"/>
        <v>98</v>
      </c>
      <c r="F66" s="680">
        <f t="shared" si="14"/>
        <v>97</v>
      </c>
      <c r="G66" s="680">
        <f t="shared" si="14"/>
        <v>96</v>
      </c>
      <c r="H66" s="680">
        <f t="shared" si="14"/>
        <v>95</v>
      </c>
      <c r="I66" s="680">
        <f t="shared" si="14"/>
        <v>94</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1（含）-2</v>
      </c>
      <c r="D67" s="683" t="str">
        <f t="shared" ref="D67:L67" si="15">D68&amp;"（含）"&amp;"-"&amp;E68</f>
        <v>2（含）-3</v>
      </c>
      <c r="E67" s="683" t="str">
        <f t="shared" si="15"/>
        <v>3（含）-4</v>
      </c>
      <c r="F67" s="683" t="str">
        <f t="shared" si="15"/>
        <v>4（含）-5</v>
      </c>
      <c r="G67" s="683" t="str">
        <f t="shared" si="15"/>
        <v>5（含）-6</v>
      </c>
      <c r="H67" s="683" t="str">
        <f t="shared" si="15"/>
        <v>6（含）-7</v>
      </c>
      <c r="I67" s="683" t="str">
        <f t="shared" si="15"/>
        <v>7（含）-8</v>
      </c>
      <c r="J67" s="683" t="str">
        <f t="shared" si="15"/>
        <v>8（含）-9</v>
      </c>
      <c r="K67" s="683" t="str">
        <f t="shared" si="15"/>
        <v>9（含）-10</v>
      </c>
      <c r="L67" s="683" t="str">
        <f t="shared" si="15"/>
        <v>10（含）-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v>1</v>
      </c>
      <c r="D68" s="542">
        <v>2</v>
      </c>
      <c r="E68" s="542">
        <v>3</v>
      </c>
      <c r="F68" s="542">
        <v>4</v>
      </c>
      <c r="G68" s="542">
        <v>5</v>
      </c>
      <c r="H68" s="542">
        <v>6</v>
      </c>
      <c r="I68" s="542">
        <v>7</v>
      </c>
      <c r="J68" s="542">
        <v>8</v>
      </c>
      <c r="K68" s="542">
        <v>9</v>
      </c>
      <c r="L68" s="542">
        <v>10</v>
      </c>
      <c r="M68" s="542"/>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6">C69-$K11</f>
        <v>98</v>
      </c>
      <c r="E69" s="680">
        <f t="shared" si="16"/>
        <v>96</v>
      </c>
      <c r="F69" s="680">
        <f t="shared" si="16"/>
        <v>94</v>
      </c>
      <c r="G69" s="680">
        <f t="shared" si="16"/>
        <v>92</v>
      </c>
      <c r="H69" s="680">
        <f t="shared" si="16"/>
        <v>90</v>
      </c>
      <c r="I69" s="680">
        <f t="shared" si="16"/>
        <v>88</v>
      </c>
      <c r="J69" s="680">
        <f t="shared" si="16"/>
        <v>86</v>
      </c>
      <c r="K69" s="680">
        <f t="shared" si="16"/>
        <v>84</v>
      </c>
      <c r="L69" s="680">
        <f t="shared" si="16"/>
        <v>82</v>
      </c>
      <c r="M69" s="681">
        <f t="shared" si="16"/>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8"/>
      <c r="B70" s="674">
        <f>B12</f>
        <v>0</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8"/>
      <c r="B72" s="674">
        <f>B13</f>
        <v>0</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8"/>
      <c r="B73" s="679"/>
      <c r="C73" s="693"/>
      <c r="D73" s="693"/>
      <c r="E73" s="693"/>
      <c r="F73" s="693"/>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8"/>
      <c r="B74" s="682">
        <f>B14</f>
        <v>0</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98</v>
      </c>
      <c r="E77" s="680">
        <f>D77-$K15</f>
        <v>96</v>
      </c>
      <c r="F77" s="680">
        <f>E77-$K15</f>
        <v>94</v>
      </c>
      <c r="G77" s="680">
        <f>F77-$K15</f>
        <v>92</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98</v>
      </c>
      <c r="E79" s="680">
        <f>D79-$K17</f>
        <v>96</v>
      </c>
      <c r="F79" s="680">
        <f>E79-$K17</f>
        <v>94</v>
      </c>
      <c r="G79" s="680">
        <f>F79-$K17</f>
        <v>92</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2563</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98</v>
      </c>
      <c r="E81" s="680">
        <f>D81-$K19</f>
        <v>96</v>
      </c>
      <c r="F81" s="680">
        <f>E81-$K19</f>
        <v>94</v>
      </c>
      <c r="G81" s="680">
        <f>F81-$K19</f>
        <v>92</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19" t="s">
        <v>2564</v>
      </c>
      <c r="C82" s="2620" t="s">
        <v>2565</v>
      </c>
      <c r="D82" s="2620" t="s">
        <v>2566</v>
      </c>
      <c r="E82" s="2620" t="s">
        <v>2567</v>
      </c>
      <c r="F82" s="2620" t="s">
        <v>2568</v>
      </c>
      <c r="G82" s="2620" t="s">
        <v>2569</v>
      </c>
      <c r="H82" s="675"/>
      <c r="I82" s="675"/>
      <c r="J82" s="675"/>
      <c r="K82" s="675"/>
      <c r="L82" s="675"/>
      <c r="M82" s="2623"/>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99</v>
      </c>
      <c r="E83" s="680">
        <f>D83-$K21</f>
        <v>98</v>
      </c>
      <c r="F83" s="680">
        <f>E83-$K21</f>
        <v>97</v>
      </c>
      <c r="G83" s="680">
        <f>F83-$K21</f>
        <v>96</v>
      </c>
      <c r="H83" s="934"/>
      <c r="I83" s="934"/>
      <c r="J83" s="934"/>
      <c r="K83" s="934"/>
      <c r="L83" s="934"/>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98</v>
      </c>
      <c r="E85" s="680">
        <f>D85-$K23</f>
        <v>96</v>
      </c>
      <c r="F85" s="680">
        <f>E85-$K23</f>
        <v>94</v>
      </c>
      <c r="G85" s="680">
        <f>F85-$K23</f>
        <v>92</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19" customFormat="1" ht="15.75" thickTop="1">
      <c r="A86" s="710"/>
      <c r="B86" s="1897" t="s">
        <v>2260</v>
      </c>
      <c r="C86" s="689"/>
      <c r="D86" s="689"/>
      <c r="E86" s="689"/>
      <c r="F86" s="689"/>
      <c r="G86" s="689"/>
      <c r="H86" s="689"/>
      <c r="I86" s="689"/>
      <c r="J86" s="689"/>
      <c r="K86" s="689"/>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10"/>
      <c r="B87" s="679"/>
      <c r="C87" s="713">
        <v>100</v>
      </c>
      <c r="D87" s="680">
        <f>$C$87-($C$86-D86)*$K$25</f>
        <v>100</v>
      </c>
      <c r="E87" s="680">
        <f t="shared" ref="E87:M87" si="17">$C$87-($C$86-E86)*$K$25</f>
        <v>100</v>
      </c>
      <c r="F87" s="680">
        <f t="shared" si="17"/>
        <v>100</v>
      </c>
      <c r="G87" s="680">
        <f t="shared" si="17"/>
        <v>100</v>
      </c>
      <c r="H87" s="680">
        <f t="shared" si="17"/>
        <v>100</v>
      </c>
      <c r="I87" s="680">
        <f t="shared" si="17"/>
        <v>100</v>
      </c>
      <c r="J87" s="680">
        <f t="shared" si="17"/>
        <v>100</v>
      </c>
      <c r="K87" s="680">
        <f t="shared" si="17"/>
        <v>100</v>
      </c>
      <c r="L87" s="680">
        <f t="shared" si="17"/>
        <v>100</v>
      </c>
      <c r="M87" s="680">
        <f t="shared" si="17"/>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10"/>
      <c r="B88" s="674" t="s">
        <v>747</v>
      </c>
      <c r="C88" s="689"/>
      <c r="D88" s="689"/>
      <c r="E88" s="689"/>
      <c r="F88" s="891"/>
      <c r="G88" s="689"/>
      <c r="H88" s="689"/>
      <c r="I88" s="689"/>
      <c r="J88" s="689"/>
      <c r="K88" s="689"/>
      <c r="L88" s="689"/>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10"/>
      <c r="B89" s="679"/>
      <c r="C89" s="713">
        <v>100</v>
      </c>
      <c r="D89" s="680">
        <f t="shared" ref="D89:M89" si="18">C89-$K26</f>
        <v>100</v>
      </c>
      <c r="E89" s="680">
        <f t="shared" si="18"/>
        <v>100</v>
      </c>
      <c r="F89" s="680">
        <f t="shared" si="18"/>
        <v>100</v>
      </c>
      <c r="G89" s="680">
        <f t="shared" si="18"/>
        <v>100</v>
      </c>
      <c r="H89" s="680">
        <f t="shared" si="18"/>
        <v>100</v>
      </c>
      <c r="I89" s="680">
        <f t="shared" si="18"/>
        <v>100</v>
      </c>
      <c r="J89" s="680">
        <f t="shared" si="18"/>
        <v>100</v>
      </c>
      <c r="K89" s="680">
        <f t="shared" si="18"/>
        <v>100</v>
      </c>
      <c r="L89" s="680">
        <f t="shared" si="18"/>
        <v>100</v>
      </c>
      <c r="M89" s="680">
        <f t="shared" si="18"/>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8"/>
      <c r="B90" s="674">
        <f>B27</f>
        <v>0</v>
      </c>
      <c r="C90" s="689" t="s">
        <v>3017</v>
      </c>
      <c r="D90" s="689" t="s">
        <v>3018</v>
      </c>
      <c r="E90" s="689" t="s">
        <v>3019</v>
      </c>
      <c r="F90" s="689" t="s">
        <v>3020</v>
      </c>
      <c r="G90" s="689" t="s">
        <v>2990</v>
      </c>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8"/>
      <c r="B91" s="679"/>
      <c r="C91" s="693">
        <v>100</v>
      </c>
      <c r="D91" s="693">
        <v>99.5</v>
      </c>
      <c r="E91" s="693">
        <v>99</v>
      </c>
      <c r="F91" s="693">
        <v>98.5</v>
      </c>
      <c r="G91" s="693">
        <v>98</v>
      </c>
      <c r="H91" s="693">
        <v>97.5</v>
      </c>
      <c r="I91" s="693"/>
      <c r="J91" s="693"/>
      <c r="K91" s="693"/>
      <c r="L91" s="694"/>
      <c r="M91" s="695"/>
      <c r="N91" s="2168"/>
      <c r="O91" s="2168"/>
      <c r="P91" s="2169"/>
      <c r="Q91" s="2170"/>
      <c r="R91" s="2171"/>
      <c r="S91" s="2171"/>
      <c r="T91" s="2171"/>
      <c r="U91" s="2171"/>
      <c r="V91" s="2171"/>
      <c r="W91" s="2171"/>
      <c r="X91" s="2171"/>
      <c r="Y91" s="2171"/>
      <c r="Z91" s="2171"/>
      <c r="AA91" s="2171"/>
      <c r="AB91" s="2171"/>
      <c r="AC91" s="2171"/>
    </row>
    <row r="92" spans="1:29" ht="15.75" thickTop="1">
      <c r="A92" s="670"/>
      <c r="B92" s="674" t="str">
        <f>B28</f>
        <v>道路级别</v>
      </c>
      <c r="C92" s="689" t="s">
        <v>3017</v>
      </c>
      <c r="D92" s="689" t="s">
        <v>3018</v>
      </c>
      <c r="E92" s="689" t="s">
        <v>3019</v>
      </c>
      <c r="F92" s="689" t="s">
        <v>3020</v>
      </c>
      <c r="G92" s="689" t="s">
        <v>2990</v>
      </c>
      <c r="H92" s="719"/>
      <c r="I92" s="719"/>
      <c r="J92" s="719"/>
      <c r="K92" s="720"/>
      <c r="L92" s="721"/>
      <c r="M92" s="722"/>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93">
        <v>100</v>
      </c>
      <c r="D93" s="693">
        <v>99</v>
      </c>
      <c r="E93" s="693">
        <v>98</v>
      </c>
      <c r="F93" s="693">
        <v>97</v>
      </c>
      <c r="G93" s="693">
        <v>96</v>
      </c>
      <c r="H93" s="693">
        <v>95</v>
      </c>
      <c r="I93" s="693">
        <v>94</v>
      </c>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0</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93"/>
      <c r="E95" s="693"/>
      <c r="F95" s="693"/>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0</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701"/>
      <c r="D97" s="701"/>
      <c r="E97" s="701"/>
      <c r="F97" s="701"/>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0</v>
      </c>
      <c r="C98" s="723"/>
      <c r="D98" s="723"/>
      <c r="E98" s="723"/>
      <c r="F98" s="723"/>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2"/>
      <c r="B99" s="700"/>
      <c r="C99" s="727"/>
      <c r="D99" s="727"/>
      <c r="E99" s="727"/>
      <c r="F99" s="727"/>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748</v>
      </c>
      <c r="C100" s="3163" t="s">
        <v>3039</v>
      </c>
      <c r="D100" s="3163" t="s">
        <v>3236</v>
      </c>
      <c r="E100" s="3163" t="s">
        <v>3238</v>
      </c>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19">C101-$K32</f>
        <v>97</v>
      </c>
      <c r="E101" s="680">
        <f t="shared" si="19"/>
        <v>94</v>
      </c>
      <c r="F101" s="680">
        <f t="shared" si="19"/>
        <v>91</v>
      </c>
      <c r="G101" s="680">
        <f t="shared" si="19"/>
        <v>88</v>
      </c>
      <c r="H101" s="680">
        <f t="shared" si="19"/>
        <v>85</v>
      </c>
      <c r="I101" s="680">
        <f t="shared" si="19"/>
        <v>82</v>
      </c>
      <c r="J101" s="680">
        <f t="shared" si="19"/>
        <v>79</v>
      </c>
      <c r="K101" s="680">
        <f t="shared" si="19"/>
        <v>76</v>
      </c>
      <c r="L101" s="680">
        <f t="shared" si="19"/>
        <v>73</v>
      </c>
      <c r="M101" s="680">
        <f t="shared" si="19"/>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0"/>
      <c r="B102" s="674" t="s">
        <v>749</v>
      </c>
      <c r="C102" s="709" t="str">
        <f>C103&amp;"(含)"&amp;"-"&amp;D103</f>
        <v>0(含)-200000</v>
      </c>
      <c r="D102" s="709" t="str">
        <f t="shared" ref="D102:L102" si="20">D103&amp;"(含)"&amp;"-"&amp;E103</f>
        <v>200000(含)-400000</v>
      </c>
      <c r="E102" s="709" t="str">
        <f t="shared" si="20"/>
        <v>400000(含)-600000</v>
      </c>
      <c r="F102" s="709" t="str">
        <f t="shared" si="20"/>
        <v>600000(含)-</v>
      </c>
      <c r="G102" s="709" t="str">
        <f t="shared" si="20"/>
        <v>(含)-</v>
      </c>
      <c r="H102" s="709" t="str">
        <f t="shared" si="20"/>
        <v>(含)-</v>
      </c>
      <c r="I102" s="709" t="str">
        <f t="shared" si="20"/>
        <v>(含)-</v>
      </c>
      <c r="J102" s="709" t="str">
        <f t="shared" si="20"/>
        <v>(含)-</v>
      </c>
      <c r="K102" s="709" t="str">
        <f t="shared" si="20"/>
        <v>(含)-</v>
      </c>
      <c r="L102" s="709" t="str">
        <f t="shared" si="20"/>
        <v>(含)-</v>
      </c>
      <c r="M102" s="709"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9"/>
      <c r="B103" s="730"/>
      <c r="C103" s="731">
        <v>0</v>
      </c>
      <c r="D103" s="731">
        <v>200000</v>
      </c>
      <c r="E103" s="731">
        <v>400000</v>
      </c>
      <c r="F103" s="731">
        <v>600000</v>
      </c>
      <c r="G103" s="731"/>
      <c r="H103" s="731"/>
      <c r="I103" s="731"/>
      <c r="J103" s="731"/>
      <c r="K103" s="731"/>
      <c r="L103" s="731"/>
      <c r="M103" s="731"/>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8"/>
      <c r="B104" s="679"/>
      <c r="C104" s="693">
        <v>100</v>
      </c>
      <c r="D104" s="672">
        <v>102</v>
      </c>
      <c r="E104" s="693">
        <v>104</v>
      </c>
      <c r="F104" s="672">
        <v>106</v>
      </c>
      <c r="G104" s="693"/>
      <c r="H104" s="672"/>
      <c r="I104" s="693"/>
      <c r="J104" s="672"/>
      <c r="K104" s="693"/>
      <c r="L104" s="672"/>
      <c r="M104" s="693"/>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t="s">
        <v>3021</v>
      </c>
      <c r="D105" s="689" t="s">
        <v>3022</v>
      </c>
      <c r="E105" s="719" t="s">
        <v>3023</v>
      </c>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1">C106-$K34</f>
        <v>98</v>
      </c>
      <c r="E106" s="680">
        <f t="shared" si="21"/>
        <v>96</v>
      </c>
      <c r="F106" s="680">
        <f t="shared" si="21"/>
        <v>94</v>
      </c>
      <c r="G106" s="680">
        <f t="shared" si="21"/>
        <v>92</v>
      </c>
      <c r="H106" s="680">
        <f t="shared" si="21"/>
        <v>90</v>
      </c>
      <c r="I106" s="680">
        <f t="shared" si="21"/>
        <v>88</v>
      </c>
      <c r="J106" s="680">
        <f t="shared" si="21"/>
        <v>86</v>
      </c>
      <c r="K106" s="680">
        <f t="shared" si="21"/>
        <v>84</v>
      </c>
      <c r="L106" s="680">
        <f t="shared" si="21"/>
        <v>82</v>
      </c>
      <c r="M106" s="680">
        <f t="shared" si="21"/>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751</v>
      </c>
      <c r="C107" s="3168" t="s">
        <v>3073</v>
      </c>
      <c r="D107" s="3168" t="s">
        <v>3055</v>
      </c>
      <c r="E107" s="719" t="s">
        <v>3024</v>
      </c>
      <c r="F107" s="3164" t="s">
        <v>3247</v>
      </c>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2">C108-$K35</f>
        <v>95</v>
      </c>
      <c r="E108" s="680">
        <f t="shared" si="22"/>
        <v>90</v>
      </c>
      <c r="F108" s="680">
        <f t="shared" si="22"/>
        <v>85</v>
      </c>
      <c r="G108" s="680">
        <f t="shared" si="22"/>
        <v>80</v>
      </c>
      <c r="H108" s="680">
        <f t="shared" si="22"/>
        <v>75</v>
      </c>
      <c r="I108" s="680">
        <f t="shared" si="22"/>
        <v>70</v>
      </c>
      <c r="J108" s="680">
        <f t="shared" si="22"/>
        <v>65</v>
      </c>
      <c r="K108" s="680">
        <f t="shared" si="22"/>
        <v>60</v>
      </c>
      <c r="L108" s="680">
        <f t="shared" si="22"/>
        <v>55</v>
      </c>
      <c r="M108" s="680">
        <f t="shared" si="22"/>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752</v>
      </c>
      <c r="C109" s="689" t="s">
        <v>3025</v>
      </c>
      <c r="D109" s="689" t="s">
        <v>3026</v>
      </c>
      <c r="E109" s="689" t="s">
        <v>3027</v>
      </c>
      <c r="F109" s="719" t="s">
        <v>3028</v>
      </c>
      <c r="G109" s="719"/>
      <c r="H109" s="71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ht="15.75" thickBot="1">
      <c r="A110" s="670"/>
      <c r="B110" s="679"/>
      <c r="C110" s="680">
        <v>100</v>
      </c>
      <c r="D110" s="680">
        <f t="shared" ref="D110:M110" si="23">C110-$K36</f>
        <v>98</v>
      </c>
      <c r="E110" s="680">
        <f t="shared" si="23"/>
        <v>96</v>
      </c>
      <c r="F110" s="680">
        <f t="shared" si="23"/>
        <v>94</v>
      </c>
      <c r="G110" s="680">
        <f t="shared" si="23"/>
        <v>92</v>
      </c>
      <c r="H110" s="680">
        <f t="shared" si="23"/>
        <v>90</v>
      </c>
      <c r="I110" s="680">
        <f t="shared" si="23"/>
        <v>88</v>
      </c>
      <c r="J110" s="680">
        <f t="shared" si="23"/>
        <v>86</v>
      </c>
      <c r="K110" s="680">
        <f t="shared" si="23"/>
        <v>84</v>
      </c>
      <c r="L110" s="680">
        <f t="shared" si="23"/>
        <v>82</v>
      </c>
      <c r="M110" s="680">
        <f t="shared" si="23"/>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9"/>
      <c r="B112" s="682"/>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754</v>
      </c>
      <c r="C114" s="689" t="s">
        <v>3029</v>
      </c>
      <c r="D114" s="689" t="s">
        <v>3030</v>
      </c>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4">C115-$K38</f>
        <v>97</v>
      </c>
      <c r="E115" s="680">
        <f t="shared" si="24"/>
        <v>94</v>
      </c>
      <c r="F115" s="680">
        <f t="shared" si="24"/>
        <v>91</v>
      </c>
      <c r="G115" s="680">
        <f t="shared" si="24"/>
        <v>88</v>
      </c>
      <c r="H115" s="680">
        <f t="shared" si="24"/>
        <v>85</v>
      </c>
      <c r="I115" s="680">
        <f t="shared" si="24"/>
        <v>82</v>
      </c>
      <c r="J115" s="680">
        <f t="shared" si="24"/>
        <v>79</v>
      </c>
      <c r="K115" s="680">
        <f t="shared" si="24"/>
        <v>76</v>
      </c>
      <c r="L115" s="680">
        <f t="shared" si="24"/>
        <v>73</v>
      </c>
      <c r="M115" s="680">
        <f t="shared" si="24"/>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1897" t="s">
        <v>2562</v>
      </c>
      <c r="C116" s="689" t="s">
        <v>3031</v>
      </c>
      <c r="D116" s="689" t="s">
        <v>3032</v>
      </c>
      <c r="E116" s="689" t="s">
        <v>3033</v>
      </c>
      <c r="F116" s="689" t="s">
        <v>3034</v>
      </c>
      <c r="G116" s="689" t="s">
        <v>3035</v>
      </c>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755</v>
      </c>
      <c r="C118" s="719" t="s">
        <v>3036</v>
      </c>
      <c r="D118" s="719" t="s">
        <v>3037</v>
      </c>
      <c r="E118" s="719"/>
      <c r="F118" s="719"/>
      <c r="G118" s="71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80">
        <v>100</v>
      </c>
      <c r="D119" s="680">
        <f t="shared" ref="D119:M119" si="25">C119-$K40</f>
        <v>95</v>
      </c>
      <c r="E119" s="680">
        <f t="shared" si="25"/>
        <v>90</v>
      </c>
      <c r="F119" s="680">
        <f t="shared" si="25"/>
        <v>85</v>
      </c>
      <c r="G119" s="680">
        <f t="shared" si="25"/>
        <v>80</v>
      </c>
      <c r="H119" s="680">
        <f t="shared" si="25"/>
        <v>75</v>
      </c>
      <c r="I119" s="680">
        <f t="shared" si="25"/>
        <v>70</v>
      </c>
      <c r="J119" s="680">
        <f t="shared" si="25"/>
        <v>65</v>
      </c>
      <c r="K119" s="680">
        <f t="shared" si="25"/>
        <v>60</v>
      </c>
      <c r="L119" s="680">
        <f t="shared" si="25"/>
        <v>55</v>
      </c>
      <c r="M119" s="680">
        <f t="shared" si="25"/>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9"/>
      <c r="B120" s="674" t="s">
        <v>734</v>
      </c>
      <c r="C120" s="689" t="s">
        <v>3056</v>
      </c>
      <c r="D120" s="689" t="s">
        <v>3057</v>
      </c>
      <c r="E120" s="689"/>
      <c r="F120" s="689"/>
      <c r="G120" s="689"/>
      <c r="H120" s="689"/>
      <c r="I120" s="689"/>
      <c r="J120" s="689"/>
      <c r="K120" s="689"/>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8"/>
      <c r="B121" s="671"/>
      <c r="C121" s="693">
        <v>100</v>
      </c>
      <c r="D121" s="672">
        <v>97</v>
      </c>
      <c r="E121" s="672"/>
      <c r="F121" s="672"/>
      <c r="G121" s="672"/>
      <c r="H121" s="672"/>
      <c r="I121" s="672"/>
      <c r="J121" s="672"/>
      <c r="K121" s="672"/>
      <c r="L121" s="672"/>
      <c r="M121" s="672"/>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t="s">
        <v>3025</v>
      </c>
      <c r="D122" s="689" t="s">
        <v>3026</v>
      </c>
      <c r="E122" s="689" t="s">
        <v>3027</v>
      </c>
      <c r="F122" s="719" t="s">
        <v>3028</v>
      </c>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6">C123-$K42</f>
        <v>97</v>
      </c>
      <c r="E123" s="680">
        <f t="shared" si="26"/>
        <v>94</v>
      </c>
      <c r="F123" s="680">
        <f t="shared" si="26"/>
        <v>91</v>
      </c>
      <c r="G123" s="680">
        <f t="shared" si="26"/>
        <v>88</v>
      </c>
      <c r="H123" s="680">
        <f t="shared" si="26"/>
        <v>85</v>
      </c>
      <c r="I123" s="680">
        <f t="shared" si="26"/>
        <v>82</v>
      </c>
      <c r="J123" s="680">
        <f t="shared" si="26"/>
        <v>79</v>
      </c>
      <c r="K123" s="680">
        <f t="shared" si="26"/>
        <v>76</v>
      </c>
      <c r="L123" s="680">
        <f t="shared" si="26"/>
        <v>73</v>
      </c>
      <c r="M123" s="680">
        <f t="shared" si="26"/>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9"/>
      <c r="B126" s="674">
        <f>B44</f>
        <v>0</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0</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93"/>
      <c r="E129" s="693"/>
      <c r="F129" s="693"/>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0</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7">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7">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7">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1" sqref="C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3" t="s">
        <v>1727</v>
      </c>
      <c r="B1" s="739"/>
      <c r="C1" s="774" t="s">
        <v>3058</v>
      </c>
      <c r="D1" s="3156" t="s">
        <v>3059</v>
      </c>
      <c r="E1" s="2409" t="s">
        <v>2378</v>
      </c>
      <c r="F1" s="2410">
        <f ca="1">J53</f>
        <v>38</v>
      </c>
      <c r="G1" s="775">
        <f>MATCH(C1,'数据-取费表'!A6:A16,0)+5</f>
        <v>7</v>
      </c>
      <c r="H1" s="2051"/>
      <c r="I1" s="2052"/>
      <c r="J1" s="2052"/>
      <c r="K1" s="2053"/>
      <c r="L1" s="2052"/>
      <c r="M1" s="2052"/>
      <c r="N1" s="2054"/>
      <c r="O1" s="2054"/>
      <c r="P1" s="2054"/>
      <c r="Q1" s="2414"/>
      <c r="R1" s="2054"/>
      <c r="S1" s="2054"/>
      <c r="T1" s="2054"/>
      <c r="U1" s="2054"/>
      <c r="V1" s="2054"/>
      <c r="W1" s="2054"/>
      <c r="X1" s="2054"/>
      <c r="Y1" s="2054"/>
      <c r="Z1" s="2054"/>
      <c r="AA1" s="2054"/>
      <c r="AB1" s="2054"/>
      <c r="AC1" s="2054"/>
      <c r="AD1" s="2054"/>
      <c r="AE1" s="2054"/>
      <c r="AF1" s="2054"/>
      <c r="AG1" s="2054"/>
    </row>
    <row r="2" spans="1:33" ht="18" customHeight="1">
      <c r="A2" s="425" t="s">
        <v>1728</v>
      </c>
      <c r="B2" s="776">
        <f ca="1">C40+J29+L46</f>
        <v>4405</v>
      </c>
      <c r="C2" s="2058"/>
      <c r="D2" s="2056"/>
      <c r="E2" s="2057"/>
      <c r="F2" s="2057"/>
      <c r="G2" s="1590"/>
      <c r="H2" s="2058"/>
      <c r="I2" s="2058"/>
      <c r="J2" s="2058"/>
      <c r="K2" s="2059"/>
      <c r="L2" s="2058"/>
      <c r="M2" s="2058"/>
    </row>
    <row r="3" spans="1:33" ht="18" customHeight="1" thickBot="1">
      <c r="A3" s="834" t="s">
        <v>1729</v>
      </c>
      <c r="B3" s="835">
        <f ca="1">IF(ISERROR(B2*10000/F43),0,ROUND(B2*10000/F43,0))</f>
        <v>20788</v>
      </c>
      <c r="C3" s="2058"/>
      <c r="D3" s="2056"/>
      <c r="E3" s="2057"/>
      <c r="F3" s="2057"/>
      <c r="G3" s="1590"/>
      <c r="H3" s="777" t="s">
        <v>696</v>
      </c>
      <c r="I3" s="1362"/>
      <c r="J3" s="1362"/>
      <c r="K3" s="1591"/>
      <c r="L3" s="1362"/>
      <c r="M3" s="1362"/>
    </row>
    <row r="4" spans="1:33" ht="18" customHeight="1">
      <c r="A4" s="778" t="s">
        <v>1730</v>
      </c>
      <c r="B4" s="779" t="s">
        <v>1731</v>
      </c>
      <c r="C4" s="779" t="s">
        <v>1732</v>
      </c>
      <c r="D4" s="779" t="s">
        <v>634</v>
      </c>
      <c r="E4" s="780" t="s">
        <v>1733</v>
      </c>
      <c r="F4" s="781"/>
      <c r="G4" s="1592"/>
      <c r="H4" s="778" t="s">
        <v>1734</v>
      </c>
      <c r="I4" s="779" t="s">
        <v>1735</v>
      </c>
      <c r="J4" s="779" t="s">
        <v>1736</v>
      </c>
      <c r="K4" s="779" t="s">
        <v>1737</v>
      </c>
      <c r="L4" s="780" t="s">
        <v>1738</v>
      </c>
      <c r="M4" s="781"/>
    </row>
    <row r="5" spans="1:33" ht="18" customHeight="1">
      <c r="A5" s="782">
        <v>1</v>
      </c>
      <c r="B5" s="783" t="s">
        <v>2463</v>
      </c>
      <c r="C5" s="54">
        <f ca="1">C6+C10+C12</f>
        <v>244</v>
      </c>
      <c r="D5" s="2518" t="s">
        <v>2466</v>
      </c>
      <c r="E5" s="2512"/>
      <c r="F5" s="2513"/>
      <c r="G5" s="1592"/>
      <c r="H5" s="782">
        <v>1</v>
      </c>
      <c r="I5" s="783" t="s">
        <v>2463</v>
      </c>
      <c r="J5" s="54">
        <f ca="1">J6+J10+J12</f>
        <v>0</v>
      </c>
      <c r="K5" s="2518" t="s">
        <v>2466</v>
      </c>
      <c r="L5" s="2512"/>
      <c r="M5" s="2513"/>
    </row>
    <row r="6" spans="1:33" ht="18" customHeight="1">
      <c r="A6" s="1831" t="s">
        <v>1826</v>
      </c>
      <c r="B6" s="3467" t="s">
        <v>2468</v>
      </c>
      <c r="C6" s="784">
        <f ca="1">ROUND(F6*F8*F7*(1-F9)/10000,0)</f>
        <v>244</v>
      </c>
      <c r="D6" s="2519" t="s">
        <v>2467</v>
      </c>
      <c r="E6" s="785" t="s">
        <v>1740</v>
      </c>
      <c r="F6" s="786">
        <f ca="1">INDIRECT("'数据-取费表'!u"&amp;$G$1)</f>
        <v>3.5</v>
      </c>
      <c r="G6" s="1592"/>
      <c r="H6" s="2526" t="s">
        <v>2474</v>
      </c>
      <c r="I6" s="3467" t="s">
        <v>2468</v>
      </c>
      <c r="J6" s="784">
        <f ca="1">ROUND(M6*M8*M7*(1-M9)/10000,0)</f>
        <v>0</v>
      </c>
      <c r="K6" s="343" t="s">
        <v>1739</v>
      </c>
      <c r="L6" s="785" t="s">
        <v>1740</v>
      </c>
      <c r="M6" s="786">
        <f ca="1">INDIRECT("'数据-取费表'!z"&amp;$G$1)</f>
        <v>0</v>
      </c>
    </row>
    <row r="7" spans="1:33" ht="18" customHeight="1">
      <c r="A7" s="2522"/>
      <c r="B7" s="3468"/>
      <c r="C7" s="789"/>
      <c r="D7" s="790"/>
      <c r="E7" s="785" t="s">
        <v>1741</v>
      </c>
      <c r="F7" s="786">
        <f ca="1">IF(INDIRECT("'数据-取费表'!ah"&amp;$G$1)="",INDIRECT("'数据-取费表'!k"&amp;$G$1),INDIRECT("'数据-取费表'!ah"&amp;$G$1))</f>
        <v>2119</v>
      </c>
      <c r="G7" s="1592"/>
      <c r="H7" s="2511"/>
      <c r="I7" s="3468"/>
      <c r="J7" s="789"/>
      <c r="K7" s="790"/>
      <c r="L7" s="785" t="s">
        <v>1741</v>
      </c>
      <c r="M7" s="786">
        <f ca="1">F7</f>
        <v>2119</v>
      </c>
    </row>
    <row r="8" spans="1:33" ht="18" customHeight="1">
      <c r="A8" s="2515"/>
      <c r="B8" s="3469"/>
      <c r="C8" s="789"/>
      <c r="D8" s="790"/>
      <c r="E8" s="785" t="s">
        <v>1742</v>
      </c>
      <c r="F8" s="786">
        <f ca="1">INDIRECT("'数据-取费表'!ai"&amp;$G$1)</f>
        <v>365</v>
      </c>
      <c r="G8" s="1592"/>
      <c r="H8" s="2511"/>
      <c r="I8" s="3469"/>
      <c r="J8" s="789"/>
      <c r="K8" s="790"/>
      <c r="L8" s="785" t="s">
        <v>1742</v>
      </c>
      <c r="M8" s="786">
        <f ca="1">INDIRECT("'数据-取费表'!ai"&amp;$G$1)</f>
        <v>365</v>
      </c>
    </row>
    <row r="9" spans="1:33" ht="18" customHeight="1">
      <c r="A9" s="787"/>
      <c r="B9" s="3470"/>
      <c r="C9" s="789"/>
      <c r="D9" s="790"/>
      <c r="E9" s="785" t="s">
        <v>1743</v>
      </c>
      <c r="F9" s="795">
        <f ca="1">INDIRECT("'数据-取费表'!w"&amp;$G$1)</f>
        <v>0.1</v>
      </c>
      <c r="G9" s="1592"/>
      <c r="H9" s="2527"/>
      <c r="I9" s="3469"/>
      <c r="J9" s="789"/>
      <c r="K9" s="790"/>
      <c r="L9" s="796" t="s">
        <v>1743</v>
      </c>
      <c r="M9" s="797">
        <f ca="1">INDIRECT("'数据-取费表'!ab"&amp;$G$1)</f>
        <v>0</v>
      </c>
    </row>
    <row r="10" spans="1:33" ht="18" customHeight="1">
      <c r="A10" s="1831" t="s">
        <v>2472</v>
      </c>
      <c r="B10" s="2516" t="s">
        <v>2464</v>
      </c>
      <c r="C10" s="800">
        <f ca="1">ROUND(IF(F10="押一",F6*F8*F7/12*F11,IF(F10="押二",F6*F8*F7/12*2*F11,IF(F10="押三",F6*F8*F7/12*3*F11,C11*F11)))/10000,0)</f>
        <v>0</v>
      </c>
      <c r="D10" s="2523" t="s">
        <v>2471</v>
      </c>
      <c r="E10" s="2520" t="s">
        <v>2469</v>
      </c>
      <c r="F10" s="2643" t="s">
        <v>3060</v>
      </c>
      <c r="G10" s="1592"/>
      <c r="H10" s="2583" t="s">
        <v>2475</v>
      </c>
      <c r="I10" s="2588" t="s">
        <v>2464</v>
      </c>
      <c r="J10" s="784">
        <f ca="1">ROUND(IF(M10="押一",M6*M8*M7/12*M11,IF(M10="押二",M6*M8*M7/12*2*M11,IF(M10="押三",M6*M8*M7/12*3*M11,J11*M11)))/10000,0)</f>
        <v>0</v>
      </c>
      <c r="K10" s="2523" t="s">
        <v>2471</v>
      </c>
      <c r="L10" s="2520" t="s">
        <v>2469</v>
      </c>
      <c r="M10" s="2643"/>
    </row>
    <row r="11" spans="1:33" ht="18" customHeight="1">
      <c r="A11" s="791"/>
      <c r="B11" s="2517" t="s">
        <v>2579</v>
      </c>
      <c r="C11" s="2521"/>
      <c r="D11" s="790"/>
      <c r="E11" s="2520" t="s">
        <v>2470</v>
      </c>
      <c r="F11" s="797">
        <f ca="1">'数据-取费表'!B39</f>
        <v>1.4999999999999999E-2</v>
      </c>
      <c r="G11" s="1592"/>
      <c r="H11" s="2584"/>
      <c r="I11" s="2517" t="s">
        <v>2579</v>
      </c>
      <c r="J11" s="2521"/>
      <c r="K11" s="2585"/>
      <c r="L11" s="2520" t="s">
        <v>2470</v>
      </c>
      <c r="M11" s="2514">
        <f ca="1">'数据-取费表'!B39</f>
        <v>1.4999999999999999E-2</v>
      </c>
    </row>
    <row r="12" spans="1:33" ht="18" customHeight="1" thickBot="1">
      <c r="A12" s="2559" t="s">
        <v>2473</v>
      </c>
      <c r="B12" s="2560" t="s">
        <v>2465</v>
      </c>
      <c r="C12" s="2561"/>
      <c r="D12" s="2562"/>
      <c r="E12" s="2563"/>
      <c r="F12" s="2564"/>
      <c r="G12" s="1592"/>
      <c r="H12" s="2573" t="s">
        <v>2476</v>
      </c>
      <c r="I12" s="2586" t="s">
        <v>2465</v>
      </c>
      <c r="J12" s="2587"/>
      <c r="K12" s="2562"/>
      <c r="L12" s="2563"/>
      <c r="M12" s="2576"/>
    </row>
    <row r="13" spans="1:33" ht="18" customHeight="1" thickTop="1">
      <c r="A13" s="1830">
        <v>2</v>
      </c>
      <c r="B13" s="1828" t="s">
        <v>1744</v>
      </c>
      <c r="C13" s="793">
        <f ca="1">ROUND(C29*F13,0)</f>
        <v>787</v>
      </c>
      <c r="D13" s="1835" t="s">
        <v>2300</v>
      </c>
      <c r="E13" s="1835" t="s">
        <v>1746</v>
      </c>
      <c r="F13" s="2558">
        <f ca="1">INDIRECT("'数据-取费表'!y"&amp;$G$1)</f>
        <v>1</v>
      </c>
      <c r="G13" s="1592"/>
      <c r="H13" s="1830">
        <v>2</v>
      </c>
      <c r="I13" s="1828" t="s">
        <v>1744</v>
      </c>
      <c r="J13" s="1820">
        <f ca="1">ROUND(J14*J15,0)</f>
        <v>0</v>
      </c>
      <c r="K13" s="1822" t="s">
        <v>1745</v>
      </c>
      <c r="L13" s="2574"/>
      <c r="M13" s="2575"/>
    </row>
    <row r="14" spans="1:33" ht="18" customHeight="1">
      <c r="A14" s="1648" t="s">
        <v>1886</v>
      </c>
      <c r="B14" s="785" t="s">
        <v>646</v>
      </c>
      <c r="C14" s="805">
        <f ca="1">INDIRECT("'数据-取费表'!m"&amp;$G$1)+INDIRECT("'数据-取费表'!t"&amp;$G$1)</f>
        <v>489</v>
      </c>
      <c r="D14" s="1980" t="s">
        <v>1747</v>
      </c>
      <c r="E14" s="1981"/>
      <c r="F14" s="806"/>
      <c r="G14" s="1592"/>
      <c r="H14" s="1649" t="s">
        <v>1832</v>
      </c>
      <c r="I14" s="2232" t="s">
        <v>2834</v>
      </c>
      <c r="J14" s="52">
        <f ca="1">C29</f>
        <v>787</v>
      </c>
      <c r="K14" s="25"/>
      <c r="L14" s="802"/>
      <c r="M14" s="803"/>
    </row>
    <row r="15" spans="1:33" s="2065" customFormat="1" ht="18" customHeight="1" thickBot="1">
      <c r="A15" s="1648" t="s">
        <v>1887</v>
      </c>
      <c r="B15" s="785" t="s">
        <v>648</v>
      </c>
      <c r="C15" s="52">
        <f ca="1">ROUND(C14*F15,0)</f>
        <v>15</v>
      </c>
      <c r="D15" s="807" t="s">
        <v>1748</v>
      </c>
      <c r="E15" s="807" t="s">
        <v>1749</v>
      </c>
      <c r="F15" s="808">
        <f>'数据-取费表'!B33</f>
        <v>0.03</v>
      </c>
      <c r="G15" s="1593"/>
      <c r="H15" s="2573" t="s">
        <v>1891</v>
      </c>
      <c r="I15" s="2568" t="s">
        <v>1746</v>
      </c>
      <c r="J15" s="2577">
        <f ca="1">INDIRECT("'数据-取费表'!ad"&amp;$G$1)</f>
        <v>0</v>
      </c>
      <c r="K15" s="2578"/>
      <c r="L15" s="2579"/>
      <c r="M15" s="2580"/>
      <c r="N15" s="2064"/>
      <c r="O15" s="2064"/>
      <c r="P15" s="2064"/>
      <c r="Q15" s="2415"/>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5" t="s">
        <v>651</v>
      </c>
      <c r="C16" s="52">
        <f ca="1">ROUND(INDIRECT("'数据-取费表'!m"&amp;$G$1)*F16,0)</f>
        <v>0</v>
      </c>
      <c r="D16" s="785" t="s">
        <v>1748</v>
      </c>
      <c r="E16" s="785" t="s">
        <v>1749</v>
      </c>
      <c r="F16" s="810">
        <f ca="1">IF(INDIRECT("'数据-取费表'!c"&amp;$G$1)="住宅",'数据-取费表'!B34,0)</f>
        <v>0</v>
      </c>
      <c r="G16" s="1592"/>
      <c r="H16" s="1830" t="s">
        <v>1750</v>
      </c>
      <c r="I16" s="1828" t="s">
        <v>1751</v>
      </c>
      <c r="J16" s="793">
        <f ca="1">ROUND(J17+J22+J23+J24,0)</f>
        <v>24</v>
      </c>
      <c r="K16" s="1822" t="s">
        <v>1752</v>
      </c>
      <c r="L16" s="2508"/>
      <c r="M16" s="2513"/>
    </row>
    <row r="17" spans="1:33" s="2065" customFormat="1" ht="18" customHeight="1">
      <c r="A17" s="1648" t="s">
        <v>1889</v>
      </c>
      <c r="B17" s="785" t="s">
        <v>654</v>
      </c>
      <c r="C17" s="52">
        <f ca="1">ROUND(F17*(F43+INDIRECT("'数据-取费表'!S"&amp;$G$1))/10000,0)</f>
        <v>43</v>
      </c>
      <c r="D17" s="785" t="s">
        <v>1753</v>
      </c>
      <c r="E17" s="785" t="s">
        <v>1754</v>
      </c>
      <c r="F17" s="55">
        <f>'数据-取费表'!B35</f>
        <v>200</v>
      </c>
      <c r="G17" s="1593"/>
      <c r="H17" s="1649" t="s">
        <v>1832</v>
      </c>
      <c r="I17" s="785" t="s">
        <v>657</v>
      </c>
      <c r="J17" s="52">
        <f ca="1">ROUND(IF(项目基本情况!B11="自然人",J5*M17,J18+J19+J20),0)</f>
        <v>8</v>
      </c>
      <c r="K17" s="2507" t="s">
        <v>1755</v>
      </c>
      <c r="L17" s="2506" t="s">
        <v>1756</v>
      </c>
      <c r="M17" s="811" t="str">
        <f ca="1">IF(项目基本情况!B11="企业","",IF(INDIRECT("'数据-取费表'!c"&amp;$G$1)="住宅",5%,IF(M6*M7*M8/12/(1+'数据-取费表'!C42)&gt;20000,12%,7%)))</f>
        <v/>
      </c>
      <c r="N17" s="2064"/>
      <c r="O17" s="2064"/>
      <c r="P17" s="2064"/>
      <c r="Q17" s="2415"/>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5" t="s">
        <v>660</v>
      </c>
      <c r="C18" s="52">
        <f ca="1">ROUND(C14*F18,0)</f>
        <v>7</v>
      </c>
      <c r="D18" s="785" t="s">
        <v>1748</v>
      </c>
      <c r="E18" s="785" t="s">
        <v>1749</v>
      </c>
      <c r="F18" s="810">
        <f>'数据-取费表'!B36</f>
        <v>1.4999999999999999E-2</v>
      </c>
      <c r="G18" s="1593"/>
      <c r="H18" s="1648" t="s">
        <v>1886</v>
      </c>
      <c r="I18" s="785" t="s">
        <v>1757</v>
      </c>
      <c r="J18" s="52">
        <f ca="1">ROUND(J5*M18/1.05,1)</f>
        <v>0</v>
      </c>
      <c r="K18" s="2506" t="s">
        <v>1758</v>
      </c>
      <c r="L18" s="785" t="s">
        <v>1749</v>
      </c>
      <c r="M18" s="810">
        <f>'数据-取费表'!B41</f>
        <v>5.6000000000000001E-2</v>
      </c>
      <c r="N18" s="2064"/>
      <c r="O18" s="2064"/>
      <c r="P18" s="2064"/>
      <c r="Q18" s="2415"/>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5" t="s">
        <v>663</v>
      </c>
      <c r="C19" s="52">
        <f ca="1">SUM(C14:C18)</f>
        <v>554</v>
      </c>
      <c r="D19" s="260" t="s">
        <v>1759</v>
      </c>
      <c r="E19" s="1983"/>
      <c r="F19" s="55"/>
      <c r="G19" s="1592"/>
      <c r="H19" s="1648" t="s">
        <v>1887</v>
      </c>
      <c r="I19" s="785" t="s">
        <v>1760</v>
      </c>
      <c r="J19" s="52">
        <f ca="1">IF(K19="按租金收入计税",ROUND(J5*M19,1),ROUND(C29*F33*0.7,1))</f>
        <v>6.6</v>
      </c>
      <c r="K19" s="812" t="s">
        <v>666</v>
      </c>
      <c r="L19" s="785" t="s">
        <v>1749</v>
      </c>
      <c r="M19" s="810">
        <f>IF(K19="按租金收入计税",'数据-取费表'!B51,'数据-取费表'!B50)</f>
        <v>1.2E-2</v>
      </c>
    </row>
    <row r="20" spans="1:33" s="2065" customFormat="1" ht="18" customHeight="1">
      <c r="A20" s="1649" t="s">
        <v>1891</v>
      </c>
      <c r="B20" s="785" t="s">
        <v>667</v>
      </c>
      <c r="C20" s="52">
        <f ca="1">ROUND(C19*F20,0)</f>
        <v>8</v>
      </c>
      <c r="D20" s="813" t="s">
        <v>1761</v>
      </c>
      <c r="E20" s="785" t="s">
        <v>1749</v>
      </c>
      <c r="F20" s="810">
        <f>'数据-取费表'!B37</f>
        <v>1.4999999999999999E-2</v>
      </c>
      <c r="G20" s="1593"/>
      <c r="H20" s="1651" t="s">
        <v>1882</v>
      </c>
      <c r="I20" s="343" t="s">
        <v>1762</v>
      </c>
      <c r="J20" s="53">
        <f ca="1">ROUND(M20*M21/10000,0)</f>
        <v>1</v>
      </c>
      <c r="K20" s="815" t="s">
        <v>1763</v>
      </c>
      <c r="L20" s="785" t="s">
        <v>1764</v>
      </c>
      <c r="M20" s="641">
        <f>'数据-取费表'!B52</f>
        <v>16</v>
      </c>
      <c r="N20" s="2064"/>
      <c r="O20" s="2064"/>
      <c r="P20" s="2064"/>
      <c r="Q20" s="2415"/>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5" t="s">
        <v>1765</v>
      </c>
      <c r="C21" s="52" t="s">
        <v>1766</v>
      </c>
      <c r="D21" s="813" t="s">
        <v>2301</v>
      </c>
      <c r="E21" s="785" t="s">
        <v>1767</v>
      </c>
      <c r="F21" s="810">
        <f>'数据-取费表'!B38</f>
        <v>1.4999999999999999E-2</v>
      </c>
      <c r="G21" s="1593"/>
      <c r="H21" s="2528"/>
      <c r="I21" s="794"/>
      <c r="J21" s="68"/>
      <c r="K21" s="817"/>
      <c r="L21" s="785" t="s">
        <v>1768</v>
      </c>
      <c r="M21" s="786">
        <f ca="1">INDIRECT("'数据-取费表'!r"&amp;$G$1)</f>
        <v>417.18</v>
      </c>
      <c r="N21" s="2064"/>
      <c r="O21" s="2064"/>
      <c r="P21" s="2064"/>
      <c r="Q21" s="2415"/>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5" t="s">
        <v>1769</v>
      </c>
      <c r="C22" s="52"/>
      <c r="D22" s="2594" t="str">
        <f>IF(F23&lt;=1,"单利计息。","复利计息。")&amp;"建造成本、管理费用、销售费用产生的利息。"</f>
        <v>复利计息。建造成本、管理费用、销售费用产生的利息。</v>
      </c>
      <c r="E22" s="1983"/>
      <c r="F22" s="55"/>
      <c r="G22" s="1592"/>
      <c r="H22" s="1649" t="s">
        <v>1891</v>
      </c>
      <c r="I22" s="785" t="s">
        <v>1770</v>
      </c>
      <c r="J22" s="52">
        <f ca="1">ROUND(J14*M22,0)</f>
        <v>16</v>
      </c>
      <c r="K22" s="2506" t="s">
        <v>1771</v>
      </c>
      <c r="L22" s="785" t="s">
        <v>1749</v>
      </c>
      <c r="M22" s="818">
        <f ca="1">INDIRECT("'数据-取费表'!Ak"&amp;$G$1)</f>
        <v>0.02</v>
      </c>
    </row>
    <row r="23" spans="1:33" s="2065" customFormat="1" ht="18" customHeight="1">
      <c r="A23" s="1648" t="s">
        <v>1833</v>
      </c>
      <c r="B23" s="785" t="s">
        <v>2541</v>
      </c>
      <c r="C23" s="52">
        <f ca="1">ROUND(IF('数据-取费表'!B22&lt;=1,(C19+C20)*F24*F23/2,(C19+C20)*(POWER((1+F24),F23/2)-1)),0)</f>
        <v>27</v>
      </c>
      <c r="D23" s="2593" t="str">
        <f>IF(F23&lt;=1,"(建造成本+管理费用)×利率×(建设周期÷2)","(建造成本+管理费用)×((1+利率)^(建设周期÷2)-1)")</f>
        <v>(建造成本+管理费用)×((1+利率)^(建设周期÷2)-1)</v>
      </c>
      <c r="E23" s="785" t="s">
        <v>1772</v>
      </c>
      <c r="F23" s="641">
        <f>'数据-取费表'!B20</f>
        <v>2</v>
      </c>
      <c r="G23" s="1593"/>
      <c r="H23" s="1649" t="s">
        <v>1892</v>
      </c>
      <c r="I23" s="785" t="s">
        <v>680</v>
      </c>
      <c r="J23" s="52">
        <f ca="1">ROUND(J13*M23,0)</f>
        <v>0</v>
      </c>
      <c r="K23" s="2506" t="s">
        <v>1773</v>
      </c>
      <c r="L23" s="785" t="s">
        <v>1749</v>
      </c>
      <c r="M23" s="819">
        <f ca="1">INDIRECT("'数据-取费表'!Al"&amp;$G$1)</f>
        <v>2E-3</v>
      </c>
      <c r="N23" s="2064"/>
      <c r="O23" s="2064"/>
      <c r="P23" s="2064"/>
      <c r="Q23" s="2415"/>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5" t="s">
        <v>1774</v>
      </c>
      <c r="C24" s="52">
        <f ca="1">ROUND(IF('数据-取费表'!B22&lt;=1,F21*F24*F23/2,F21*(POWER((1+F24),F23/2)-1)),4)</f>
        <v>6.9999999999999999E-4</v>
      </c>
      <c r="D24" s="2593" t="str">
        <f>IF(F23&lt;=1,"销售费用×利率×(建设周期÷2)","销售费用×((1+利率)^(建设周期÷2)-1)")</f>
        <v>销售费用×((1+利率)^(建设周期÷2)-1)</v>
      </c>
      <c r="E24" s="785" t="s">
        <v>1775</v>
      </c>
      <c r="F24" s="820">
        <f ca="1">'数据-取费表'!B40</f>
        <v>4.7500000000000001E-2</v>
      </c>
      <c r="G24" s="1593"/>
      <c r="H24" s="2573" t="s">
        <v>1893</v>
      </c>
      <c r="I24" s="2568" t="s">
        <v>667</v>
      </c>
      <c r="J24" s="2566">
        <f ca="1">ROUND(J5*M24,0)</f>
        <v>0</v>
      </c>
      <c r="K24" s="2567" t="s">
        <v>1776</v>
      </c>
      <c r="L24" s="2568" t="s">
        <v>1749</v>
      </c>
      <c r="M24" s="2564">
        <f ca="1">INDIRECT("'数据-取费表'!Am"&amp;$G$1)</f>
        <v>0.03</v>
      </c>
      <c r="N24" s="2064"/>
      <c r="O24" s="2064"/>
      <c r="P24" s="2064"/>
      <c r="Q24" s="2415"/>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5" t="s">
        <v>685</v>
      </c>
      <c r="C25" s="52"/>
      <c r="D25" s="260" t="s">
        <v>1777</v>
      </c>
      <c r="E25" s="1983"/>
      <c r="F25" s="55"/>
      <c r="G25" s="1592"/>
      <c r="H25" s="1830" t="s">
        <v>1778</v>
      </c>
      <c r="I25" s="3034" t="s">
        <v>2830</v>
      </c>
      <c r="J25" s="793">
        <f ca="1">J5-J16</f>
        <v>-24</v>
      </c>
      <c r="K25" s="2570" t="s">
        <v>1779</v>
      </c>
      <c r="L25" s="2571"/>
      <c r="M25" s="2572"/>
    </row>
    <row r="26" spans="1:33" ht="18" customHeight="1">
      <c r="A26" s="1648" t="s">
        <v>1833</v>
      </c>
      <c r="B26" s="785" t="s">
        <v>2442</v>
      </c>
      <c r="C26" s="52">
        <f ca="1">ROUND((C19+C20)*F26,0)</f>
        <v>141</v>
      </c>
      <c r="D26" s="813" t="s">
        <v>1780</v>
      </c>
      <c r="E26" s="796" t="s">
        <v>1781</v>
      </c>
      <c r="F26" s="795">
        <f ca="1">INDIRECT("'数据-取费表'!q"&amp;$G$1)</f>
        <v>0.25</v>
      </c>
      <c r="G26" s="1592"/>
      <c r="H26" s="2524" t="s">
        <v>1782</v>
      </c>
      <c r="I26" s="2233" t="s">
        <v>2835</v>
      </c>
      <c r="J26" s="784">
        <f ca="1">IF(J5&lt;&gt;0,ROUND(J25*(1-((1+M28)/(1+M26))^M27)/(M26-M28),0),0)</f>
        <v>0</v>
      </c>
      <c r="K26" s="815" t="s">
        <v>1783</v>
      </c>
      <c r="L26" s="785" t="s">
        <v>2423</v>
      </c>
      <c r="M26" s="795">
        <f ca="1">INDIRECT("'数据-取费表'!I"&amp;$G$1)</f>
        <v>0.06</v>
      </c>
    </row>
    <row r="27" spans="1:33" ht="18" customHeight="1">
      <c r="A27" s="1648" t="s">
        <v>1834</v>
      </c>
      <c r="B27" s="785" t="s">
        <v>687</v>
      </c>
      <c r="C27" s="52">
        <f ca="1">ROUND(F21*F26,4)</f>
        <v>3.8E-3</v>
      </c>
      <c r="D27" s="813" t="s">
        <v>1784</v>
      </c>
      <c r="E27" s="807"/>
      <c r="F27" s="808"/>
      <c r="G27" s="1592"/>
      <c r="H27" s="2525"/>
      <c r="I27" s="788"/>
      <c r="J27" s="789"/>
      <c r="K27" s="822" t="s">
        <v>1785</v>
      </c>
      <c r="L27" s="785" t="s">
        <v>1786</v>
      </c>
      <c r="M27" s="823">
        <f ca="1">INDIRECT("'数据-取费表'!ag"&amp;$G$1)</f>
        <v>0</v>
      </c>
    </row>
    <row r="28" spans="1:33" s="2065" customFormat="1" ht="18" customHeight="1">
      <c r="A28" s="1650" t="s">
        <v>1843</v>
      </c>
      <c r="B28" s="785" t="s">
        <v>688</v>
      </c>
      <c r="C28" s="52">
        <f>ROUND(F28/(1+'数据-取费表'!C42),4)</f>
        <v>5.33E-2</v>
      </c>
      <c r="D28" s="813" t="s">
        <v>2302</v>
      </c>
      <c r="E28" s="785" t="s">
        <v>1787</v>
      </c>
      <c r="F28" s="810">
        <f>'数据-取费表'!B41</f>
        <v>5.6000000000000001E-2</v>
      </c>
      <c r="G28" s="1593"/>
      <c r="H28" s="1830"/>
      <c r="I28" s="792"/>
      <c r="J28" s="793"/>
      <c r="K28" s="817"/>
      <c r="L28" s="785" t="s">
        <v>1788</v>
      </c>
      <c r="M28" s="795">
        <f ca="1">INDIRECT("'数据-取费表'!aa"&amp;$G$1)</f>
        <v>0</v>
      </c>
      <c r="N28" s="2064"/>
      <c r="O28" s="2064"/>
      <c r="P28" s="2064"/>
      <c r="Q28" s="2415"/>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5" t="s">
        <v>1894</v>
      </c>
      <c r="B29" s="2563" t="s">
        <v>2303</v>
      </c>
      <c r="C29" s="2566">
        <f ca="1">ROUND((C19+C20+C23+C26)/(1-F21-C24-C27-C28),0)</f>
        <v>787</v>
      </c>
      <c r="D29" s="2567"/>
      <c r="E29" s="2568"/>
      <c r="F29" s="2569"/>
      <c r="G29" s="1593"/>
      <c r="H29" s="824" t="s">
        <v>1789</v>
      </c>
      <c r="I29" s="825" t="s">
        <v>1790</v>
      </c>
      <c r="J29" s="826">
        <f ca="1">ROUND(J26/(1+F40)^F41,0)</f>
        <v>0</v>
      </c>
      <c r="K29" s="827" t="s">
        <v>1791</v>
      </c>
      <c r="L29" s="828"/>
      <c r="M29" s="829">
        <f ca="1">INDIRECT("'数据-取费表'!k"&amp;$G$1)</f>
        <v>2119</v>
      </c>
      <c r="N29" s="2064"/>
      <c r="O29" s="2064"/>
      <c r="P29" s="2064"/>
      <c r="Q29" s="2415"/>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3">
        <f ca="1">ROUND(C31+C36+C37+C38,0)</f>
        <v>45</v>
      </c>
      <c r="D30" s="1822" t="s">
        <v>1793</v>
      </c>
      <c r="E30" s="2508"/>
      <c r="F30" s="2513"/>
      <c r="G30" s="2063"/>
      <c r="H30" s="2066"/>
      <c r="I30" s="2067"/>
      <c r="J30" s="2068"/>
      <c r="K30" s="2069"/>
      <c r="L30" s="2070"/>
      <c r="M30" s="2071"/>
    </row>
    <row r="31" spans="1:33" ht="18" customHeight="1">
      <c r="A31" s="1649" t="s">
        <v>1832</v>
      </c>
      <c r="B31" s="785" t="s">
        <v>657</v>
      </c>
      <c r="C31" s="52">
        <f ca="1">ROUND(IF(项目基本情况!B11="自然人",C5*F31,C32+C33+C34),1)</f>
        <v>20.3</v>
      </c>
      <c r="D31" s="1980" t="s">
        <v>1794</v>
      </c>
      <c r="E31" s="1978" t="s">
        <v>1795</v>
      </c>
      <c r="F31" s="811"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5" t="s">
        <v>1796</v>
      </c>
      <c r="C32" s="52">
        <f ca="1">ROUND(C5*F32/1.05,1)</f>
        <v>13</v>
      </c>
      <c r="D32" s="1978" t="s">
        <v>1797</v>
      </c>
      <c r="E32" s="785" t="s">
        <v>1798</v>
      </c>
      <c r="F32" s="810">
        <f>'数据-取费表'!B41</f>
        <v>5.6000000000000001E-2</v>
      </c>
      <c r="G32" s="2063"/>
      <c r="H32" s="2072"/>
      <c r="I32" s="2073"/>
      <c r="J32" s="2074"/>
      <c r="K32" s="2075"/>
      <c r="L32" s="2076"/>
      <c r="M32" s="2077"/>
    </row>
    <row r="33" spans="1:18" ht="18" customHeight="1">
      <c r="A33" s="1648" t="s">
        <v>1834</v>
      </c>
      <c r="B33" s="785" t="s">
        <v>1799</v>
      </c>
      <c r="C33" s="52">
        <f ca="1">IF(D33="按租金收入计税",ROUND(C5*F33,1),IF(D33="按房产原值计税",ROUND(C29*F33*0.7,1),INDIRECT("'数据-取费表'!Aj"&amp;$G$1)))</f>
        <v>6.6</v>
      </c>
      <c r="D33" s="812" t="s">
        <v>1682</v>
      </c>
      <c r="E33" s="785" t="s">
        <v>1798</v>
      </c>
      <c r="F33" s="810">
        <f>IF(D33="按租金收入计税",'数据-取费表'!B51,'数据-取费表'!B50)</f>
        <v>1.2E-2</v>
      </c>
      <c r="G33" s="2063"/>
      <c r="H33" s="2078"/>
      <c r="I33" s="2078"/>
      <c r="J33" s="2078"/>
      <c r="K33" s="2079"/>
      <c r="L33" s="2078"/>
      <c r="M33" s="2078"/>
    </row>
    <row r="34" spans="1:18" ht="18" customHeight="1">
      <c r="A34" s="1651" t="s">
        <v>1835</v>
      </c>
      <c r="B34" s="343" t="s">
        <v>1800</v>
      </c>
      <c r="C34" s="53">
        <f ca="1">ROUND(F34*F35/10000,1)</f>
        <v>0.7</v>
      </c>
      <c r="D34" s="815" t="s">
        <v>1801</v>
      </c>
      <c r="E34" s="785" t="s">
        <v>1802</v>
      </c>
      <c r="F34" s="641">
        <f>'数据-取费表'!B52</f>
        <v>16</v>
      </c>
      <c r="G34" s="2063"/>
      <c r="H34" s="2066"/>
      <c r="I34" s="836" t="s">
        <v>1815</v>
      </c>
      <c r="J34" s="837"/>
      <c r="K34" s="2081"/>
      <c r="L34" s="2080"/>
      <c r="M34" s="2080"/>
    </row>
    <row r="35" spans="1:18" ht="18" customHeight="1">
      <c r="A35" s="816"/>
      <c r="B35" s="794"/>
      <c r="C35" s="68"/>
      <c r="D35" s="817"/>
      <c r="E35" s="785" t="s">
        <v>1803</v>
      </c>
      <c r="F35" s="786">
        <f ca="1">INDIRECT("'数据-取费表'!r"&amp;$G$1)</f>
        <v>417.18</v>
      </c>
      <c r="G35" s="2063"/>
      <c r="H35" s="2066"/>
      <c r="I35" s="838" t="s">
        <v>1816</v>
      </c>
      <c r="J35" s="839">
        <f ca="1">ROUND(C13*J36,0)</f>
        <v>67</v>
      </c>
      <c r="K35" s="2079"/>
      <c r="L35" s="2078"/>
      <c r="M35" s="2078"/>
    </row>
    <row r="36" spans="1:18" ht="18" customHeight="1">
      <c r="A36" s="1649" t="s">
        <v>1891</v>
      </c>
      <c r="B36" s="785" t="s">
        <v>1804</v>
      </c>
      <c r="C36" s="52">
        <f ca="1">ROUND(C29*F36,1)</f>
        <v>15.7</v>
      </c>
      <c r="D36" s="1978" t="s">
        <v>1805</v>
      </c>
      <c r="E36" s="785" t="s">
        <v>1798</v>
      </c>
      <c r="F36" s="818">
        <f ca="1">INDIRECT("'数据-取费表'!Ak"&amp;$G$1)</f>
        <v>0.02</v>
      </c>
      <c r="G36" s="2063"/>
      <c r="H36" s="2078"/>
      <c r="I36" s="840" t="s">
        <v>1817</v>
      </c>
      <c r="J36" s="841">
        <f ca="1">INDIRECT("'数据-取费表'!j"&amp;$G$1)</f>
        <v>8.5000000000000006E-2</v>
      </c>
      <c r="K36" s="2083"/>
      <c r="L36" s="2078"/>
      <c r="M36" s="2078"/>
    </row>
    <row r="37" spans="1:18" ht="18" customHeight="1">
      <c r="A37" s="1649" t="s">
        <v>1892</v>
      </c>
      <c r="B37" s="785" t="s">
        <v>680</v>
      </c>
      <c r="C37" s="52">
        <f ca="1">ROUND(C13*F37,1)</f>
        <v>1.6</v>
      </c>
      <c r="D37" s="1978" t="s">
        <v>1806</v>
      </c>
      <c r="E37" s="785" t="s">
        <v>1798</v>
      </c>
      <c r="F37" s="819">
        <f ca="1">INDIRECT("'数据-取费表'!Al"&amp;$G$1)</f>
        <v>2E-3</v>
      </c>
      <c r="G37" s="2063"/>
      <c r="H37" s="2078"/>
      <c r="I37" s="842" t="s">
        <v>1818</v>
      </c>
      <c r="J37" s="843"/>
      <c r="K37" s="2083"/>
      <c r="L37" s="2078"/>
      <c r="M37" s="2078"/>
    </row>
    <row r="38" spans="1:18" ht="18" customHeight="1" thickBot="1">
      <c r="A38" s="2573" t="s">
        <v>1893</v>
      </c>
      <c r="B38" s="2568" t="s">
        <v>667</v>
      </c>
      <c r="C38" s="2566">
        <f ca="1">ROUND(C5*F38,1)</f>
        <v>7.3</v>
      </c>
      <c r="D38" s="2567" t="s">
        <v>1807</v>
      </c>
      <c r="E38" s="2568" t="s">
        <v>1798</v>
      </c>
      <c r="F38" s="2564">
        <f ca="1">INDIRECT("'数据-取费表'!Am"&amp;$G$1)</f>
        <v>0.03</v>
      </c>
      <c r="G38" s="2063"/>
      <c r="H38" s="2078"/>
      <c r="I38" s="844" t="s">
        <v>1819</v>
      </c>
      <c r="J38" s="845"/>
      <c r="K38" s="2084"/>
      <c r="L38" s="2078"/>
      <c r="M38" s="2078"/>
    </row>
    <row r="39" spans="1:18" ht="24.6" customHeight="1" thickTop="1">
      <c r="A39" s="1830" t="s">
        <v>1896</v>
      </c>
      <c r="B39" s="3034" t="s">
        <v>2830</v>
      </c>
      <c r="C39" s="793">
        <f ca="1">C5-C30</f>
        <v>199</v>
      </c>
      <c r="D39" s="2570" t="s">
        <v>1808</v>
      </c>
      <c r="E39" s="2571"/>
      <c r="F39" s="2572"/>
      <c r="G39" s="2063"/>
      <c r="H39" s="2078"/>
      <c r="I39" s="838" t="s">
        <v>1820</v>
      </c>
      <c r="J39" s="846">
        <f ca="1">ROUND(J35/C39,3)</f>
        <v>0.33700000000000002</v>
      </c>
      <c r="K39" s="2084"/>
      <c r="L39" s="2078"/>
      <c r="M39" s="2078"/>
    </row>
    <row r="40" spans="1:18" ht="18" customHeight="1">
      <c r="A40" s="782" t="s">
        <v>1897</v>
      </c>
      <c r="B40" s="2233" t="s">
        <v>2304</v>
      </c>
      <c r="C40" s="784">
        <f ca="1">ROUND(C39*(1-((1+F42)/(1+F40))^F41)/(F40-F42),0)</f>
        <v>4405</v>
      </c>
      <c r="D40" s="815" t="s">
        <v>1809</v>
      </c>
      <c r="E40" s="785" t="s">
        <v>2423</v>
      </c>
      <c r="F40" s="795">
        <f ca="1">INDIRECT("'数据-取费表'!I"&amp;$G$1)</f>
        <v>0.06</v>
      </c>
      <c r="G40" s="2063"/>
      <c r="H40" s="2063"/>
      <c r="I40" s="838" t="s">
        <v>1821</v>
      </c>
      <c r="J40" s="846">
        <f ca="1">1-J39</f>
        <v>0.66300000000000003</v>
      </c>
      <c r="K40" s="2084"/>
      <c r="L40" s="2063"/>
      <c r="M40" s="2063"/>
    </row>
    <row r="41" spans="1:18" ht="18" customHeight="1">
      <c r="A41" s="787"/>
      <c r="B41" s="788"/>
      <c r="C41" s="789"/>
      <c r="D41" s="822" t="s">
        <v>1810</v>
      </c>
      <c r="E41" s="785" t="s">
        <v>2975</v>
      </c>
      <c r="F41" s="823">
        <f ca="1">IF(INDIRECT("'数据-取费表'!af"&amp;$G$1)=0,INDIRECT("'数据-取费表'!ae"&amp;$G$1),INDIRECT("'数据-取费表'!af"&amp;$G$1))</f>
        <v>38</v>
      </c>
      <c r="G41" s="2063"/>
      <c r="H41" s="1989"/>
      <c r="I41" s="844" t="s">
        <v>1822</v>
      </c>
      <c r="J41" s="847"/>
      <c r="K41" s="2083"/>
      <c r="L41" s="1989"/>
      <c r="M41" s="1989"/>
    </row>
    <row r="42" spans="1:18" ht="18" customHeight="1">
      <c r="A42" s="791"/>
      <c r="B42" s="792"/>
      <c r="C42" s="793"/>
      <c r="D42" s="817"/>
      <c r="E42" s="785" t="s">
        <v>1811</v>
      </c>
      <c r="F42" s="795">
        <f ca="1">INDIRECT("'数据-取费表'!v"&amp;$G$1)</f>
        <v>0.03</v>
      </c>
      <c r="G42" s="2063"/>
      <c r="H42" s="1989"/>
      <c r="I42" s="848" t="s">
        <v>1823</v>
      </c>
      <c r="J42" s="846">
        <f ca="1">ROUND(C13/C40,3)</f>
        <v>0.17899999999999999</v>
      </c>
      <c r="K42" s="2083"/>
      <c r="L42" s="1989"/>
      <c r="M42" s="1989"/>
    </row>
    <row r="43" spans="1:18" ht="18" customHeight="1" thickBot="1">
      <c r="A43" s="824" t="s">
        <v>1789</v>
      </c>
      <c r="B43" s="825" t="s">
        <v>1812</v>
      </c>
      <c r="C43" s="826">
        <f ca="1">ROUND(C40*10000/F43,0)</f>
        <v>20788</v>
      </c>
      <c r="D43" s="827" t="s">
        <v>1813</v>
      </c>
      <c r="E43" s="828" t="s">
        <v>1814</v>
      </c>
      <c r="F43" s="829">
        <f ca="1">INDIRECT("'数据-取费表'!k"&amp;$G$1)</f>
        <v>2119</v>
      </c>
      <c r="G43" s="2063"/>
      <c r="H43" s="1989"/>
      <c r="I43" s="848" t="s">
        <v>1824</v>
      </c>
      <c r="J43" s="849">
        <f ca="1">1-J42</f>
        <v>0.82099999999999995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96">
        <f ca="1">C67-C40</f>
        <v>-4776</v>
      </c>
      <c r="D46" s="2086"/>
      <c r="E46" s="2086"/>
      <c r="F46" s="2086"/>
      <c r="I46" s="2376" t="s">
        <v>2346</v>
      </c>
      <c r="J46" s="2377"/>
      <c r="K46" s="2378"/>
      <c r="L46" s="2379" t="str">
        <f ca="1">IF(M47="住宅",0,IF(L48&gt;J51,L60,J60))</f>
        <v>0</v>
      </c>
      <c r="O46" s="2416" t="s">
        <v>2414</v>
      </c>
      <c r="P46" s="1592"/>
      <c r="Q46" s="1604"/>
      <c r="R46" s="1592"/>
    </row>
    <row r="47" spans="1:18" s="2060" customFormat="1" ht="18" customHeight="1" thickBot="1">
      <c r="A47" s="2370">
        <v>1</v>
      </c>
      <c r="B47" s="2371" t="s">
        <v>636</v>
      </c>
      <c r="C47" s="2596">
        <f ca="1">C48+C52+C54</f>
        <v>0</v>
      </c>
      <c r="D47" s="2086"/>
      <c r="E47" s="2086"/>
      <c r="F47" s="2086"/>
      <c r="I47" s="2380" t="s">
        <v>2347</v>
      </c>
      <c r="J47" s="2385" t="s">
        <v>3040</v>
      </c>
      <c r="K47" s="2386" t="s">
        <v>2353</v>
      </c>
      <c r="L47" s="2387">
        <f ca="1">INDIRECT("'数据-取费表'!d"&amp;$G$1)</f>
        <v>40</v>
      </c>
      <c r="M47" s="1604" t="str">
        <f>IF(ISNUMBER(FIND("住宅",C1)),"住宅","非住宅")</f>
        <v>非住宅</v>
      </c>
      <c r="O47" s="2417" t="s">
        <v>2379</v>
      </c>
      <c r="P47" s="2418" t="s">
        <v>2380</v>
      </c>
      <c r="Q47" s="2419" t="s">
        <v>2381</v>
      </c>
      <c r="R47" s="2418" t="s">
        <v>2382</v>
      </c>
    </row>
    <row r="48" spans="1:18" s="2060" customFormat="1" ht="18" customHeight="1" thickBot="1">
      <c r="A48" s="2665" t="s">
        <v>2543</v>
      </c>
      <c r="B48" s="2666" t="s">
        <v>2544</v>
      </c>
      <c r="C48" s="2372">
        <f ca="1">ROUND(F48*F50*F49*(1-F51)/10000,0)</f>
        <v>0</v>
      </c>
      <c r="D48" s="2373" t="s">
        <v>637</v>
      </c>
      <c r="E48" s="2374" t="s">
        <v>2299</v>
      </c>
      <c r="F48" s="2375"/>
      <c r="G48" s="2091"/>
      <c r="I48" s="2381" t="s">
        <v>2348</v>
      </c>
      <c r="J48" s="2388" t="s">
        <v>2354</v>
      </c>
      <c r="K48" s="2389" t="s">
        <v>2355</v>
      </c>
      <c r="L48" s="2390">
        <f ca="1">INDIRECT("'数据-取费表'!f"&amp;$G$1)</f>
        <v>40</v>
      </c>
      <c r="O48" s="2420" t="s">
        <v>2383</v>
      </c>
      <c r="P48" s="2421" t="s">
        <v>2409</v>
      </c>
      <c r="Q48" s="2422">
        <f ca="1">C40+J29</f>
        <v>4405</v>
      </c>
      <c r="R48" s="2421" t="s">
        <v>2384</v>
      </c>
    </row>
    <row r="49" spans="1:18" s="2060" customFormat="1" ht="18" customHeight="1" thickBot="1">
      <c r="A49" s="787"/>
      <c r="B49" s="788"/>
      <c r="C49" s="789"/>
      <c r="D49" s="790"/>
      <c r="E49" s="785" t="s">
        <v>1741</v>
      </c>
      <c r="F49" s="786">
        <f ca="1">F7</f>
        <v>2119</v>
      </c>
      <c r="G49" s="2091"/>
      <c r="H49" s="2094"/>
      <c r="I49" s="2381" t="s">
        <v>2349</v>
      </c>
      <c r="J49" s="2391">
        <v>2020</v>
      </c>
      <c r="K49" s="2392" t="s">
        <v>2356</v>
      </c>
      <c r="L49" s="2393"/>
      <c r="O49" s="2420" t="s">
        <v>2385</v>
      </c>
      <c r="P49" s="2421" t="s">
        <v>2410</v>
      </c>
      <c r="Q49" s="2422" t="str">
        <f ca="1">J60</f>
        <v>0</v>
      </c>
      <c r="R49" s="2421" t="s">
        <v>2386</v>
      </c>
    </row>
    <row r="50" spans="1:18" s="2060" customFormat="1" ht="18" customHeight="1" thickBot="1">
      <c r="A50" s="787"/>
      <c r="B50" s="788"/>
      <c r="C50" s="789"/>
      <c r="D50" s="790"/>
      <c r="E50" s="785" t="s">
        <v>1742</v>
      </c>
      <c r="F50" s="786">
        <f ca="1">F8</f>
        <v>365</v>
      </c>
      <c r="G50" s="2096"/>
      <c r="H50" s="2094"/>
      <c r="I50" s="2381" t="s">
        <v>2350</v>
      </c>
      <c r="J50" s="2394">
        <f>SUMPRODUCT((I63:I65=J47)*(J62:L62=J48)*(J63:L65))</f>
        <v>60</v>
      </c>
      <c r="K50" s="2392" t="s">
        <v>2357</v>
      </c>
      <c r="L50" s="2393"/>
      <c r="O50" s="2423" t="s">
        <v>2387</v>
      </c>
      <c r="P50" s="2421" t="s">
        <v>2411</v>
      </c>
      <c r="Q50" s="2422">
        <f ca="1">C29</f>
        <v>787</v>
      </c>
      <c r="R50" s="2421" t="s">
        <v>2384</v>
      </c>
    </row>
    <row r="51" spans="1:18" s="2060" customFormat="1" ht="18" customHeight="1" thickBot="1">
      <c r="A51" s="787"/>
      <c r="B51" s="788"/>
      <c r="C51" s="789"/>
      <c r="D51" s="790"/>
      <c r="E51" s="785" t="s">
        <v>641</v>
      </c>
      <c r="F51" s="2369"/>
      <c r="H51" s="2094"/>
      <c r="I51" s="2382" t="s">
        <v>2351</v>
      </c>
      <c r="J51" s="2395">
        <f>IF(J49="",J50,J49+J50-YEAR('数据-取费表'!B2))</f>
        <v>62</v>
      </c>
      <c r="K51" s="2381" t="s">
        <v>2358</v>
      </c>
      <c r="L51" s="2396">
        <f ca="1">ROUND(-PV(INDIRECT("'数据-取费表'!h"&amp;$G$1),L48,(C39-C13*J36),0),0)</f>
        <v>2267</v>
      </c>
      <c r="O51" s="2423" t="s">
        <v>2388</v>
      </c>
      <c r="P51" s="2421" t="s">
        <v>2389</v>
      </c>
      <c r="Q51" s="2424" t="e">
        <f ca="1">J58</f>
        <v>#VALUE!</v>
      </c>
      <c r="R51" s="2425"/>
    </row>
    <row r="52" spans="1:18" s="2060" customFormat="1" ht="18" customHeight="1" thickBot="1">
      <c r="A52" s="782" t="s">
        <v>2542</v>
      </c>
      <c r="B52" s="2516" t="s">
        <v>2464</v>
      </c>
      <c r="C52" s="800">
        <f ca="1">ROUND(IF(F52="押一",F48*F50*F49/12*F11,IF(F52="押二",F48*F50*F49/12*2*F11,IF(F52="押三",F48*F50*F49/12*3*F11,C53*F11)))/10000,0)</f>
        <v>0</v>
      </c>
      <c r="D52" s="2523" t="s">
        <v>2471</v>
      </c>
      <c r="E52" s="2520" t="s">
        <v>2469</v>
      </c>
      <c r="F52" s="2643"/>
      <c r="I52" s="2383" t="s">
        <v>2425</v>
      </c>
      <c r="J52" s="2397">
        <v>0.09</v>
      </c>
      <c r="K52" s="2383" t="s">
        <v>2424</v>
      </c>
      <c r="L52" s="2397"/>
      <c r="O52" s="2423" t="s">
        <v>2390</v>
      </c>
      <c r="P52" s="2421" t="s">
        <v>2391</v>
      </c>
      <c r="Q52" s="2424">
        <f>J52</f>
        <v>0.09</v>
      </c>
      <c r="R52" s="2425"/>
    </row>
    <row r="53" spans="1:18" s="2060" customFormat="1" ht="39.75" customHeight="1" thickBot="1">
      <c r="A53" s="787"/>
      <c r="B53" s="2517" t="s">
        <v>2579</v>
      </c>
      <c r="C53" s="2521"/>
      <c r="D53" s="2523"/>
      <c r="E53" s="2520"/>
      <c r="F53" s="801"/>
      <c r="I53" s="2384" t="s">
        <v>2352</v>
      </c>
      <c r="J53" s="2398">
        <f ca="1">IF(M47="住宅",J51,IF(D1="——",MIN(J51,L48),IF(D1="土地（套用方法）",MIN(J51,L48-'数据-取费表'!B20))))</f>
        <v>38</v>
      </c>
      <c r="K53" s="3483" t="s">
        <v>2977</v>
      </c>
      <c r="L53" s="3484"/>
      <c r="O53" s="2423" t="s">
        <v>2392</v>
      </c>
      <c r="P53" s="2421" t="s">
        <v>2393</v>
      </c>
      <c r="Q53" s="2422">
        <f ca="1">J53</f>
        <v>38</v>
      </c>
      <c r="R53" s="2421" t="s">
        <v>2394</v>
      </c>
    </row>
    <row r="54" spans="1:18" s="2060" customFormat="1" ht="18" customHeight="1" thickBot="1">
      <c r="A54" s="2559" t="s">
        <v>2473</v>
      </c>
      <c r="B54" s="2560" t="s">
        <v>2465</v>
      </c>
      <c r="C54" s="2561"/>
      <c r="D54" s="2523"/>
      <c r="E54" s="2520"/>
      <c r="F54" s="801"/>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0" t="s">
        <v>2395</v>
      </c>
      <c r="P54" s="2421" t="s">
        <v>2412</v>
      </c>
      <c r="Q54" s="2422">
        <f ca="1">Q48+Q49</f>
        <v>4405</v>
      </c>
      <c r="R54" s="2425" t="s">
        <v>2396</v>
      </c>
    </row>
    <row r="55" spans="1:18" s="2060" customFormat="1" ht="18" customHeight="1" thickTop="1" thickBot="1">
      <c r="A55" s="798">
        <v>2</v>
      </c>
      <c r="B55" s="799" t="s">
        <v>645</v>
      </c>
      <c r="C55" s="800">
        <f ca="1">C13</f>
        <v>787</v>
      </c>
      <c r="D55" s="796"/>
      <c r="E55" s="796"/>
      <c r="F55" s="801"/>
      <c r="I55" s="3127" t="s">
        <v>2359</v>
      </c>
      <c r="J55" s="3126" t="e">
        <f ca="1">ROUND(IF(J47="钢混",J57/J50,1-(1-2%)*(J50-J57)/J50),3)</f>
        <v>#VALUE!</v>
      </c>
      <c r="K55" s="2399" t="s">
        <v>2360</v>
      </c>
      <c r="L55" s="2400"/>
      <c r="O55" s="2426" t="s">
        <v>2415</v>
      </c>
      <c r="P55" s="1592"/>
      <c r="Q55" s="1604"/>
      <c r="R55" s="1592"/>
    </row>
    <row r="56" spans="1:18" s="2060" customFormat="1" ht="42.75" customHeight="1" thickBot="1">
      <c r="A56" s="1650"/>
      <c r="B56" s="2232" t="s">
        <v>2305</v>
      </c>
      <c r="C56" s="52">
        <f ca="1">C29</f>
        <v>787</v>
      </c>
      <c r="D56" s="2662"/>
      <c r="E56" s="785"/>
      <c r="F56" s="810"/>
      <c r="I56" s="2401" t="s">
        <v>2361</v>
      </c>
      <c r="J56" s="3150" t="s">
        <v>1680</v>
      </c>
      <c r="K56" s="2381" t="s">
        <v>2366</v>
      </c>
      <c r="L56" s="2390" t="str">
        <f ca="1">IF(L48&lt;J51,"——",L48-J51)</f>
        <v>——</v>
      </c>
      <c r="O56" s="2417" t="s">
        <v>2379</v>
      </c>
      <c r="P56" s="2418" t="s">
        <v>2380</v>
      </c>
      <c r="Q56" s="2419" t="s">
        <v>2381</v>
      </c>
      <c r="R56" s="2418" t="s">
        <v>2382</v>
      </c>
    </row>
    <row r="57" spans="1:18" s="2060" customFormat="1" ht="28.5" customHeight="1" thickBot="1">
      <c r="A57" s="798" t="s">
        <v>1750</v>
      </c>
      <c r="B57" s="799" t="s">
        <v>652</v>
      </c>
      <c r="C57" s="800">
        <f ca="1">ROUND(C58+C63+C64+C65,0)</f>
        <v>25</v>
      </c>
      <c r="D57" s="25" t="s">
        <v>1752</v>
      </c>
      <c r="E57" s="2663"/>
      <c r="F57" s="55"/>
      <c r="I57" s="2402" t="s">
        <v>2362</v>
      </c>
      <c r="J57" s="2404" t="str">
        <f ca="1">IF(OR(M47="住宅",J51&lt;L48,J56="是"),"——",J51-L48)</f>
        <v>——</v>
      </c>
      <c r="K57" s="2381" t="s">
        <v>2367</v>
      </c>
      <c r="L57" s="2390" t="str">
        <f ca="1">IF(L48&lt;J51,"——",IF(L55="比较法",L49,IF(L55="基准地价",L50,L51)))</f>
        <v>——</v>
      </c>
      <c r="O57" s="2420" t="s">
        <v>2383</v>
      </c>
      <c r="P57" s="2421" t="s">
        <v>2413</v>
      </c>
      <c r="Q57" s="2422">
        <f ca="1">C40+J29</f>
        <v>4405</v>
      </c>
      <c r="R57" s="2421" t="s">
        <v>2384</v>
      </c>
    </row>
    <row r="58" spans="1:18" s="2060" customFormat="1" ht="28.5" customHeight="1" thickBot="1">
      <c r="A58" s="1649" t="s">
        <v>1826</v>
      </c>
      <c r="B58" s="785" t="s">
        <v>657</v>
      </c>
      <c r="C58" s="52">
        <f ca="1">ROUND(IF(项目基本情况!B11="自然人",C47*F58,C59+C60+C61),1)</f>
        <v>7.3</v>
      </c>
      <c r="D58" s="2661" t="s">
        <v>658</v>
      </c>
      <c r="E58" s="2662" t="s">
        <v>691</v>
      </c>
      <c r="F58" s="811" t="str">
        <f ca="1">IF(项目基本情况!B11="企业","",IF(INDIRECT("'数据-取费表'!c"&amp;$G$1)="住宅",5%,IF(F48*F49*F50/12/(1+'数据-取费表'!C42)&gt;20000,12%,7%)))</f>
        <v/>
      </c>
      <c r="I58" s="2402" t="s">
        <v>2363</v>
      </c>
      <c r="J58" s="3128" t="e">
        <f ca="1">IF(J55&lt;0.4,0.4,J55)</f>
        <v>#VALUE!</v>
      </c>
      <c r="K58" s="2381" t="s">
        <v>2368</v>
      </c>
      <c r="L58" s="2390" t="e">
        <f ca="1">ROUND(POWER(1+L52,L47-L48)*(POWER(1+L52,L48)-1)/(POWER(1+L52,L47)-1),4)</f>
        <v>#DIV/0!</v>
      </c>
      <c r="O58" s="2420" t="s">
        <v>2385</v>
      </c>
      <c r="P58" s="2421" t="s">
        <v>2416</v>
      </c>
      <c r="Q58" s="2422">
        <f ca="1">L60</f>
        <v>0</v>
      </c>
      <c r="R58" s="2425" t="s">
        <v>2418</v>
      </c>
    </row>
    <row r="59" spans="1:18" s="2060" customFormat="1" ht="28.5" customHeight="1" thickBot="1">
      <c r="A59" s="1648" t="s">
        <v>1833</v>
      </c>
      <c r="B59" s="785" t="s">
        <v>661</v>
      </c>
      <c r="C59" s="52">
        <f ca="1">ROUND(C47*F59/1.05,1)</f>
        <v>0</v>
      </c>
      <c r="D59" s="2662" t="s">
        <v>1758</v>
      </c>
      <c r="E59" s="785" t="s">
        <v>1749</v>
      </c>
      <c r="F59" s="810">
        <f t="shared" ref="F59:F65" si="0">F32</f>
        <v>5.6000000000000001E-2</v>
      </c>
      <c r="I59" s="2402" t="s">
        <v>2364</v>
      </c>
      <c r="J59" s="2404"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2387</v>
      </c>
      <c r="P59" s="2421" t="s">
        <v>2417</v>
      </c>
      <c r="Q59" s="2422">
        <f>IF(L55="比较法",L49,IF(L55="基准地价",L50,0))</f>
        <v>0</v>
      </c>
      <c r="R59" s="2421" t="s">
        <v>2384</v>
      </c>
    </row>
    <row r="60" spans="1:18" s="2060" customFormat="1" ht="18" customHeight="1" thickBot="1">
      <c r="A60" s="1648" t="s">
        <v>1834</v>
      </c>
      <c r="B60" s="785" t="s">
        <v>1760</v>
      </c>
      <c r="C60" s="52">
        <f ca="1">IF(D60="按租金收入计税",ROUND(C47*F60,1),IF(D60="按房产原值计税",ROUND(C56*F60*0.7,1),INDIRECT("'数据-取费表'!Aj"&amp;$G$1)))</f>
        <v>6.6</v>
      </c>
      <c r="D60" s="2662" t="str">
        <f>D33</f>
        <v>按房产原值计税</v>
      </c>
      <c r="E60" s="785" t="s">
        <v>1749</v>
      </c>
      <c r="F60" s="810">
        <f t="shared" si="0"/>
        <v>1.2E-2</v>
      </c>
      <c r="I60" s="2403" t="s">
        <v>2365</v>
      </c>
      <c r="J60" s="2405" t="str">
        <f ca="1">IF(OR(M47="住宅",J51&lt;L48,J56="是"),"0",ROUND(J59/(1+J52)^J53,0))</f>
        <v>0</v>
      </c>
      <c r="K60" s="2406" t="s">
        <v>2370</v>
      </c>
      <c r="L60" s="2405">
        <f ca="1">IF(OR(M47="住宅",L48&lt;J51),0,ROUND(L57*(L58/L59-1),0))</f>
        <v>0</v>
      </c>
      <c r="O60" s="2423" t="s">
        <v>2388</v>
      </c>
      <c r="P60" s="2421" t="s">
        <v>2397</v>
      </c>
      <c r="Q60" s="2424">
        <f>L52</f>
        <v>0</v>
      </c>
      <c r="R60" s="2425"/>
    </row>
    <row r="61" spans="1:18" s="2060" customFormat="1" ht="18" customHeight="1" thickBot="1">
      <c r="A61" s="1651" t="s">
        <v>1835</v>
      </c>
      <c r="B61" s="343" t="s">
        <v>669</v>
      </c>
      <c r="C61" s="53">
        <f ca="1">ROUND(F61*F62/10000,1)</f>
        <v>0.7</v>
      </c>
      <c r="D61" s="815" t="s">
        <v>670</v>
      </c>
      <c r="E61" s="785" t="s">
        <v>671</v>
      </c>
      <c r="F61" s="641">
        <f t="shared" si="0"/>
        <v>16</v>
      </c>
      <c r="K61" s="2087"/>
      <c r="O61" s="2423" t="s">
        <v>2390</v>
      </c>
      <c r="P61" s="2421" t="s">
        <v>2398</v>
      </c>
      <c r="Q61" s="2422" t="e">
        <f ca="1">L58</f>
        <v>#DIV/0!</v>
      </c>
      <c r="R61" s="2425" t="s">
        <v>2399</v>
      </c>
    </row>
    <row r="62" spans="1:18" s="2060" customFormat="1" ht="15.75" thickBot="1">
      <c r="A62" s="816"/>
      <c r="B62" s="794"/>
      <c r="C62" s="68"/>
      <c r="D62" s="817"/>
      <c r="E62" s="785" t="s">
        <v>675</v>
      </c>
      <c r="F62" s="786">
        <f t="shared" ca="1" si="0"/>
        <v>417.18</v>
      </c>
      <c r="I62" s="2407" t="s">
        <v>2371</v>
      </c>
      <c r="J62" s="2408" t="s">
        <v>2372</v>
      </c>
      <c r="K62" s="2408" t="s">
        <v>2373</v>
      </c>
      <c r="L62" s="2408" t="s">
        <v>2354</v>
      </c>
      <c r="M62" s="3129" t="s">
        <v>2952</v>
      </c>
      <c r="O62" s="2423" t="s">
        <v>2392</v>
      </c>
      <c r="P62" s="2421" t="str">
        <f>K59</f>
        <v>建设期及建筑物耐用年限下的土地年期修正系数Kn</v>
      </c>
      <c r="Q62" s="2422" t="e">
        <f ca="1">L59</f>
        <v>#DIV/0!</v>
      </c>
      <c r="R62" s="2425" t="s">
        <v>2401</v>
      </c>
    </row>
    <row r="63" spans="1:18" s="2060" customFormat="1" ht="15.75" thickBot="1">
      <c r="A63" s="1649" t="s">
        <v>1891</v>
      </c>
      <c r="B63" s="785" t="s">
        <v>677</v>
      </c>
      <c r="C63" s="52">
        <f ca="1">ROUND(C56*F63,1)</f>
        <v>15.7</v>
      </c>
      <c r="D63" s="2662" t="s">
        <v>1805</v>
      </c>
      <c r="E63" s="785" t="s">
        <v>1749</v>
      </c>
      <c r="F63" s="818">
        <f t="shared" ca="1" si="0"/>
        <v>0.02</v>
      </c>
      <c r="I63" s="2407" t="s">
        <v>2374</v>
      </c>
      <c r="J63" s="2408">
        <v>70</v>
      </c>
      <c r="K63" s="2408">
        <v>50</v>
      </c>
      <c r="L63" s="2408">
        <v>80</v>
      </c>
      <c r="M63" s="3130">
        <v>0.02</v>
      </c>
      <c r="O63" s="2420" t="s">
        <v>2395</v>
      </c>
      <c r="P63" s="2421" t="s">
        <v>2412</v>
      </c>
      <c r="Q63" s="2422">
        <f ca="1">Q57+Q58</f>
        <v>4405</v>
      </c>
      <c r="R63" s="2425" t="s">
        <v>2396</v>
      </c>
    </row>
    <row r="64" spans="1:18" s="2060" customFormat="1" ht="16.5" thickBot="1">
      <c r="A64" s="1649" t="s">
        <v>1892</v>
      </c>
      <c r="B64" s="785" t="s">
        <v>680</v>
      </c>
      <c r="C64" s="52">
        <f ca="1">ROUND(C55*F64,1)</f>
        <v>1.6</v>
      </c>
      <c r="D64" s="2662" t="s">
        <v>681</v>
      </c>
      <c r="E64" s="785" t="s">
        <v>1749</v>
      </c>
      <c r="F64" s="819">
        <f t="shared" ca="1" si="0"/>
        <v>2E-3</v>
      </c>
      <c r="I64" s="2407" t="s">
        <v>2375</v>
      </c>
      <c r="J64" s="2408">
        <v>50</v>
      </c>
      <c r="K64" s="2408">
        <v>35</v>
      </c>
      <c r="L64" s="2408">
        <v>60</v>
      </c>
      <c r="M64" s="3131">
        <v>0</v>
      </c>
      <c r="O64" s="2426" t="s">
        <v>2419</v>
      </c>
      <c r="P64" s="1592"/>
      <c r="Q64" s="1604"/>
      <c r="R64" s="1592"/>
    </row>
    <row r="65" spans="1:18" s="2060" customFormat="1" ht="15.75" thickBot="1">
      <c r="A65" s="1649" t="s">
        <v>1893</v>
      </c>
      <c r="B65" s="785" t="s">
        <v>667</v>
      </c>
      <c r="C65" s="52">
        <f ca="1">ROUND(C47*F65,1)</f>
        <v>0</v>
      </c>
      <c r="D65" s="2662" t="s">
        <v>684</v>
      </c>
      <c r="E65" s="785" t="s">
        <v>1749</v>
      </c>
      <c r="F65" s="795">
        <f t="shared" ca="1" si="0"/>
        <v>0.03</v>
      </c>
      <c r="I65" s="2407" t="s">
        <v>2376</v>
      </c>
      <c r="J65" s="2408">
        <v>40</v>
      </c>
      <c r="K65" s="2408">
        <v>30</v>
      </c>
      <c r="L65" s="2408">
        <v>50</v>
      </c>
      <c r="M65" s="3130">
        <v>0.02</v>
      </c>
      <c r="O65" s="2417" t="s">
        <v>2379</v>
      </c>
      <c r="P65" s="2418" t="s">
        <v>2380</v>
      </c>
      <c r="Q65" s="2419" t="s">
        <v>2381</v>
      </c>
      <c r="R65" s="2418" t="s">
        <v>2382</v>
      </c>
    </row>
    <row r="66" spans="1:18" s="2060" customFormat="1" ht="24.75" thickBot="1">
      <c r="A66" s="798" t="s">
        <v>1778</v>
      </c>
      <c r="B66" s="3035" t="s">
        <v>2830</v>
      </c>
      <c r="C66" s="800">
        <f ca="1">C47-C57</f>
        <v>-25</v>
      </c>
      <c r="D66" s="2661" t="s">
        <v>701</v>
      </c>
      <c r="E66" s="2660"/>
      <c r="F66" s="821"/>
      <c r="K66" s="2087"/>
      <c r="O66" s="2420" t="s">
        <v>2383</v>
      </c>
      <c r="P66" s="2421" t="s">
        <v>2413</v>
      </c>
      <c r="Q66" s="2422">
        <f ca="1">C40+J29</f>
        <v>4405</v>
      </c>
      <c r="R66" s="2421" t="s">
        <v>2384</v>
      </c>
    </row>
    <row r="67" spans="1:18" s="2060" customFormat="1" ht="20.25" thickBot="1">
      <c r="A67" s="782" t="s">
        <v>1782</v>
      </c>
      <c r="B67" s="2233" t="s">
        <v>2304</v>
      </c>
      <c r="C67" s="784">
        <f ca="1">ROUND(C66*(1-((1+F69)/(1+F67))^F68)/(F67-F69),0)</f>
        <v>-371</v>
      </c>
      <c r="D67" s="815" t="s">
        <v>705</v>
      </c>
      <c r="E67" s="785" t="s">
        <v>706</v>
      </c>
      <c r="F67" s="795">
        <f ca="1">F40</f>
        <v>0.06</v>
      </c>
      <c r="K67" s="2087"/>
      <c r="O67" s="2420" t="s">
        <v>2385</v>
      </c>
      <c r="P67" s="2421" t="s">
        <v>2416</v>
      </c>
      <c r="Q67" s="2422">
        <f ca="1">L60</f>
        <v>0</v>
      </c>
      <c r="R67" s="2425" t="s">
        <v>2418</v>
      </c>
    </row>
    <row r="68" spans="1:18" ht="21.75" thickBot="1">
      <c r="A68" s="787"/>
      <c r="B68" s="788"/>
      <c r="C68" s="789"/>
      <c r="D68" s="822" t="s">
        <v>1810</v>
      </c>
      <c r="E68" s="785" t="s">
        <v>1786</v>
      </c>
      <c r="F68" s="823">
        <f ca="1">F41</f>
        <v>38</v>
      </c>
      <c r="O68" s="2423" t="s">
        <v>2387</v>
      </c>
      <c r="P68" s="2421" t="s">
        <v>2417</v>
      </c>
      <c r="Q68" s="2427">
        <f ca="1">L51</f>
        <v>2267</v>
      </c>
      <c r="R68" s="2428" t="s">
        <v>2420</v>
      </c>
    </row>
    <row r="69" spans="1:18" ht="20.25" thickBot="1">
      <c r="A69" s="791"/>
      <c r="B69" s="792"/>
      <c r="C69" s="793"/>
      <c r="D69" s="817"/>
      <c r="E69" s="785" t="s">
        <v>711</v>
      </c>
      <c r="F69" s="2369"/>
      <c r="O69" s="2423" t="s">
        <v>2388</v>
      </c>
      <c r="P69" s="2429" t="s">
        <v>2402</v>
      </c>
      <c r="Q69" s="2422">
        <f ca="1">ROUND(Q70-Q71*Q72,0)</f>
        <v>132</v>
      </c>
      <c r="R69" s="2425"/>
    </row>
    <row r="70" spans="1:18" ht="15.75" thickBot="1">
      <c r="A70" s="824" t="s">
        <v>1789</v>
      </c>
      <c r="B70" s="825" t="s">
        <v>1812</v>
      </c>
      <c r="C70" s="826">
        <f ca="1">ROUND(C67*10000/F70,0)</f>
        <v>-1751</v>
      </c>
      <c r="D70" s="827" t="s">
        <v>1813</v>
      </c>
      <c r="E70" s="828" t="s">
        <v>1814</v>
      </c>
      <c r="F70" s="829">
        <f ca="1">F43</f>
        <v>2119</v>
      </c>
      <c r="O70" s="2423" t="s">
        <v>2403</v>
      </c>
      <c r="P70" s="2429" t="s">
        <v>2404</v>
      </c>
      <c r="Q70" s="2422">
        <f ca="1">C39</f>
        <v>199</v>
      </c>
      <c r="R70" s="2421" t="s">
        <v>2384</v>
      </c>
    </row>
    <row r="71" spans="1:18" ht="15.75" thickBot="1">
      <c r="O71" s="2423" t="s">
        <v>2405</v>
      </c>
      <c r="P71" s="2429" t="s">
        <v>2406</v>
      </c>
      <c r="Q71" s="2422">
        <f ca="1">C13</f>
        <v>787</v>
      </c>
      <c r="R71" s="2421" t="s">
        <v>2384</v>
      </c>
    </row>
    <row r="72" spans="1:18" ht="15.75" thickBot="1">
      <c r="O72" s="2423" t="s">
        <v>2407</v>
      </c>
      <c r="P72" s="2429" t="s">
        <v>2408</v>
      </c>
      <c r="Q72" s="2424">
        <f ca="1">J36</f>
        <v>8.5000000000000006E-2</v>
      </c>
      <c r="R72" s="2425"/>
    </row>
    <row r="73" spans="1:18" ht="15.75" thickBot="1">
      <c r="O73" s="2423" t="s">
        <v>2390</v>
      </c>
      <c r="P73" s="2421" t="s">
        <v>2397</v>
      </c>
      <c r="Q73" s="2424">
        <f>L52</f>
        <v>0</v>
      </c>
      <c r="R73" s="2425"/>
    </row>
    <row r="74" spans="1:18" ht="20.25" thickBot="1">
      <c r="O74" s="2423" t="s">
        <v>2392</v>
      </c>
      <c r="P74" s="2421" t="s">
        <v>2398</v>
      </c>
      <c r="Q74" s="2422" t="e">
        <f ca="1">L58</f>
        <v>#DIV/0!</v>
      </c>
      <c r="R74" s="2425" t="s">
        <v>2399</v>
      </c>
    </row>
    <row r="75" spans="1:18" ht="15.75" thickBot="1">
      <c r="O75" s="2423" t="s">
        <v>2421</v>
      </c>
      <c r="P75" s="2421" t="str">
        <f>K59</f>
        <v>建设期及建筑物耐用年限下的土地年期修正系数Kn</v>
      </c>
      <c r="Q75" s="2422" t="e">
        <f ca="1">L59</f>
        <v>#DIV/0!</v>
      </c>
      <c r="R75" s="2425" t="s">
        <v>2401</v>
      </c>
    </row>
    <row r="76" spans="1:18" ht="15.75" thickBot="1">
      <c r="O76" s="2420" t="s">
        <v>2395</v>
      </c>
      <c r="P76" s="2421" t="s">
        <v>2412</v>
      </c>
      <c r="Q76" s="2422">
        <f ca="1">Q66+Q67</f>
        <v>4405</v>
      </c>
      <c r="R76" s="2425"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5" t="s">
        <v>2477</v>
      </c>
      <c r="B1" s="3486"/>
      <c r="C1" s="3487"/>
      <c r="D1" s="3488">
        <f>SUM(I10,I15,I20,I21,I23)</f>
        <v>0</v>
      </c>
      <c r="E1" s="3488"/>
      <c r="F1" s="3488"/>
      <c r="G1" s="3488"/>
      <c r="H1" s="3488"/>
      <c r="I1" s="3489"/>
    </row>
    <row r="2" spans="1:9">
      <c r="A2" s="3490" t="s">
        <v>2478</v>
      </c>
      <c r="B2" s="3491" t="s">
        <v>2479</v>
      </c>
      <c r="C2" s="3491"/>
      <c r="D2" s="2529" t="s">
        <v>2480</v>
      </c>
      <c r="E2" s="2529" t="s">
        <v>2481</v>
      </c>
      <c r="F2" s="2529" t="s">
        <v>2482</v>
      </c>
      <c r="G2" s="2529" t="s">
        <v>2483</v>
      </c>
      <c r="H2" s="2529" t="s">
        <v>2484</v>
      </c>
      <c r="I2" s="2530" t="s">
        <v>2485</v>
      </c>
    </row>
    <row r="3" spans="1:9">
      <c r="A3" s="3490"/>
      <c r="B3" s="3491" t="s">
        <v>2486</v>
      </c>
      <c r="C3" s="3491"/>
      <c r="D3" s="2531"/>
      <c r="E3" s="2529"/>
      <c r="F3" s="2532"/>
      <c r="G3" s="2532"/>
      <c r="H3" s="2533"/>
      <c r="I3" s="2534">
        <f>ROUND(D3*E3*F3*G3*H3/10000,0)</f>
        <v>0</v>
      </c>
    </row>
    <row r="4" spans="1:9">
      <c r="A4" s="3490"/>
      <c r="B4" s="3491" t="s">
        <v>2487</v>
      </c>
      <c r="C4" s="3491"/>
      <c r="D4" s="2531"/>
      <c r="E4" s="2529"/>
      <c r="F4" s="2532"/>
      <c r="G4" s="2532"/>
      <c r="H4" s="2533"/>
      <c r="I4" s="2534">
        <f t="shared" ref="I4:I9" si="0">ROUND(D4*E4*F4*G4*H4/10000,0)</f>
        <v>0</v>
      </c>
    </row>
    <row r="5" spans="1:9">
      <c r="A5" s="3490"/>
      <c r="B5" s="3491" t="s">
        <v>2488</v>
      </c>
      <c r="C5" s="3491"/>
      <c r="D5" s="2531"/>
      <c r="E5" s="2529"/>
      <c r="F5" s="2532"/>
      <c r="G5" s="2532"/>
      <c r="H5" s="2533"/>
      <c r="I5" s="2534">
        <f t="shared" si="0"/>
        <v>0</v>
      </c>
    </row>
    <row r="6" spans="1:9">
      <c r="A6" s="3490"/>
      <c r="B6" s="3491" t="s">
        <v>2489</v>
      </c>
      <c r="C6" s="3491"/>
      <c r="D6" s="2531"/>
      <c r="E6" s="2529"/>
      <c r="F6" s="2532"/>
      <c r="G6" s="2532"/>
      <c r="H6" s="2533"/>
      <c r="I6" s="2534">
        <f t="shared" si="0"/>
        <v>0</v>
      </c>
    </row>
    <row r="7" spans="1:9">
      <c r="A7" s="3490"/>
      <c r="B7" s="3491" t="s">
        <v>2490</v>
      </c>
      <c r="C7" s="3491"/>
      <c r="D7" s="2531"/>
      <c r="E7" s="2529"/>
      <c r="F7" s="2532"/>
      <c r="G7" s="2532"/>
      <c r="H7" s="2533"/>
      <c r="I7" s="2534">
        <f t="shared" si="0"/>
        <v>0</v>
      </c>
    </row>
    <row r="8" spans="1:9">
      <c r="A8" s="3490"/>
      <c r="B8" s="3491" t="s">
        <v>2491</v>
      </c>
      <c r="C8" s="3491"/>
      <c r="D8" s="2531"/>
      <c r="E8" s="2529"/>
      <c r="F8" s="2532"/>
      <c r="G8" s="2532"/>
      <c r="H8" s="2533"/>
      <c r="I8" s="2534">
        <f t="shared" si="0"/>
        <v>0</v>
      </c>
    </row>
    <row r="9" spans="1:9">
      <c r="A9" s="3490"/>
      <c r="B9" s="3491" t="s">
        <v>2492</v>
      </c>
      <c r="C9" s="3491"/>
      <c r="D9" s="2531"/>
      <c r="E9" s="2529"/>
      <c r="F9" s="2532"/>
      <c r="G9" s="2532"/>
      <c r="H9" s="2533"/>
      <c r="I9" s="2534">
        <f t="shared" si="0"/>
        <v>0</v>
      </c>
    </row>
    <row r="10" spans="1:9">
      <c r="A10" s="3490"/>
      <c r="B10" s="3492" t="s">
        <v>2493</v>
      </c>
      <c r="C10" s="3492"/>
      <c r="D10" s="2535">
        <v>527</v>
      </c>
      <c r="E10" s="2535" t="e">
        <f>ROUND(D1*10000/D10/H9,0)</f>
        <v>#DIV/0!</v>
      </c>
      <c r="F10" s="2536"/>
      <c r="G10" s="2536"/>
      <c r="H10" s="2537"/>
      <c r="I10" s="2538">
        <f>SUM(I3:I9)</f>
        <v>0</v>
      </c>
    </row>
    <row r="11" spans="1:9" ht="14.25">
      <c r="A11" s="3490" t="s">
        <v>2494</v>
      </c>
      <c r="B11" s="3491" t="s">
        <v>2495</v>
      </c>
      <c r="C11" s="3491"/>
      <c r="D11" s="2531" t="s">
        <v>2496</v>
      </c>
      <c r="E11" s="2531" t="s">
        <v>2497</v>
      </c>
      <c r="F11" s="2532" t="s">
        <v>2498</v>
      </c>
      <c r="G11" s="2532" t="s">
        <v>2499</v>
      </c>
      <c r="H11" s="2539" t="s">
        <v>2500</v>
      </c>
      <c r="I11" s="2530" t="s">
        <v>2501</v>
      </c>
    </row>
    <row r="12" spans="1:9">
      <c r="A12" s="3490"/>
      <c r="B12" s="3491" t="s">
        <v>2502</v>
      </c>
      <c r="C12" s="3491"/>
      <c r="D12" s="2531"/>
      <c r="E12" s="2531"/>
      <c r="F12" s="2532"/>
      <c r="G12" s="2533"/>
      <c r="H12" s="2540"/>
      <c r="I12" s="2530">
        <f>ROUND(D12*E12*F12*G12/10000,0)</f>
        <v>0</v>
      </c>
    </row>
    <row r="13" spans="1:9">
      <c r="A13" s="3490"/>
      <c r="B13" s="3491" t="s">
        <v>2503</v>
      </c>
      <c r="C13" s="3491"/>
      <c r="D13" s="2531"/>
      <c r="E13" s="2531"/>
      <c r="F13" s="2532"/>
      <c r="G13" s="2533"/>
      <c r="H13" s="2540"/>
      <c r="I13" s="2530">
        <f>ROUND(D13*E13*F13*G13/10000,0)</f>
        <v>0</v>
      </c>
    </row>
    <row r="14" spans="1:9">
      <c r="A14" s="3490"/>
      <c r="B14" s="3491" t="s">
        <v>2504</v>
      </c>
      <c r="C14" s="3491"/>
      <c r="D14" s="2531"/>
      <c r="E14" s="2531"/>
      <c r="F14" s="2532"/>
      <c r="G14" s="2533"/>
      <c r="H14" s="2540"/>
      <c r="I14" s="2530">
        <f>ROUND(D14*E14*F14*G14/10000,0)</f>
        <v>0</v>
      </c>
    </row>
    <row r="15" spans="1:9">
      <c r="A15" s="3490"/>
      <c r="B15" s="3492" t="s">
        <v>2493</v>
      </c>
      <c r="C15" s="3492"/>
      <c r="D15" s="2535"/>
      <c r="E15" s="2535">
        <f>SUM(E12:E14)</f>
        <v>0</v>
      </c>
      <c r="F15" s="2536"/>
      <c r="G15" s="2533"/>
      <c r="H15" s="2540"/>
      <c r="I15" s="2541">
        <f>SUM(I12:I14)</f>
        <v>0</v>
      </c>
    </row>
    <row r="16" spans="1:9" ht="24">
      <c r="A16" s="3490" t="s">
        <v>2505</v>
      </c>
      <c r="B16" s="3491" t="s">
        <v>2506</v>
      </c>
      <c r="C16" s="3491"/>
      <c r="D16" s="2531" t="s">
        <v>2507</v>
      </c>
      <c r="E16" s="2542" t="s">
        <v>2508</v>
      </c>
      <c r="F16" s="2532" t="s">
        <v>2509</v>
      </c>
      <c r="G16" s="2533" t="s">
        <v>2499</v>
      </c>
      <c r="H16" s="2539" t="s">
        <v>2500</v>
      </c>
      <c r="I16" s="2530" t="s">
        <v>2501</v>
      </c>
    </row>
    <row r="17" spans="1:9" ht="14.25">
      <c r="A17" s="3490"/>
      <c r="B17" s="3491" t="s">
        <v>2510</v>
      </c>
      <c r="C17" s="3491"/>
      <c r="D17" s="2531"/>
      <c r="E17" s="2531"/>
      <c r="F17" s="2532"/>
      <c r="G17" s="2533"/>
      <c r="H17" s="2543"/>
      <c r="I17" s="2544">
        <f>ROUND(D17*E17*F17*G17/10000,0)</f>
        <v>0</v>
      </c>
    </row>
    <row r="18" spans="1:9" ht="14.25">
      <c r="A18" s="3490"/>
      <c r="B18" s="3491" t="s">
        <v>2511</v>
      </c>
      <c r="C18" s="3491"/>
      <c r="D18" s="2531"/>
      <c r="E18" s="2531"/>
      <c r="F18" s="2532"/>
      <c r="G18" s="2533"/>
      <c r="H18" s="2543"/>
      <c r="I18" s="2544">
        <f>ROUND(D18*E18*F18*G18/10000,0)</f>
        <v>0</v>
      </c>
    </row>
    <row r="19" spans="1:9" ht="14.25">
      <c r="A19" s="3490"/>
      <c r="B19" s="3491" t="s">
        <v>2512</v>
      </c>
      <c r="C19" s="3491"/>
      <c r="D19" s="2531"/>
      <c r="E19" s="2531"/>
      <c r="F19" s="2532"/>
      <c r="G19" s="2533"/>
      <c r="H19" s="2543"/>
      <c r="I19" s="2544">
        <f>ROUND(D19*E19*F19*G19/10000,0)</f>
        <v>0</v>
      </c>
    </row>
    <row r="20" spans="1:9">
      <c r="A20" s="3490"/>
      <c r="B20" s="3492" t="s">
        <v>2493</v>
      </c>
      <c r="C20" s="3492"/>
      <c r="D20" s="2535">
        <f>SUM(D17:D19)</f>
        <v>0</v>
      </c>
      <c r="E20" s="2535"/>
      <c r="F20" s="2536"/>
      <c r="G20" s="2533"/>
      <c r="H20" s="2540"/>
      <c r="I20" s="2541">
        <f>SUM(I17:I19)</f>
        <v>0</v>
      </c>
    </row>
    <row r="21" spans="1:9">
      <c r="A21" s="3490" t="s">
        <v>2513</v>
      </c>
      <c r="B21" s="3494"/>
      <c r="C21" s="3494"/>
      <c r="D21" s="3494"/>
      <c r="E21" s="3494"/>
      <c r="F21" s="3494"/>
      <c r="G21" s="3494"/>
      <c r="H21" s="2545">
        <v>0.1</v>
      </c>
      <c r="I21" s="2538">
        <f>ROUND(I10*H21,0)</f>
        <v>0</v>
      </c>
    </row>
    <row r="22" spans="1:9" ht="14.25">
      <c r="A22" s="3495" t="s">
        <v>2514</v>
      </c>
      <c r="B22" s="3496"/>
      <c r="C22" s="3497"/>
      <c r="D22" s="2546" t="s">
        <v>2515</v>
      </c>
      <c r="E22" s="2546" t="s">
        <v>2516</v>
      </c>
      <c r="F22" s="2547" t="s">
        <v>2517</v>
      </c>
      <c r="G22" s="2547" t="s">
        <v>2518</v>
      </c>
      <c r="H22" s="2539" t="s">
        <v>2519</v>
      </c>
      <c r="I22" s="2530" t="s">
        <v>2520</v>
      </c>
    </row>
    <row r="23" spans="1:9" ht="14.25" thickBot="1">
      <c r="A23" s="3498"/>
      <c r="B23" s="3499"/>
      <c r="C23" s="3500"/>
      <c r="D23" s="2548"/>
      <c r="E23" s="2548"/>
      <c r="F23" s="2548"/>
      <c r="G23" s="2549"/>
      <c r="H23" s="2550"/>
      <c r="I23" s="2551">
        <f>ROUND(E23*D23*F23*(1-G23)/10000,0)</f>
        <v>0</v>
      </c>
    </row>
    <row r="26" spans="1:9">
      <c r="A26" s="2552" t="s">
        <v>2521</v>
      </c>
      <c r="B26" s="2552"/>
      <c r="C26" s="2552"/>
      <c r="D26" s="2552"/>
      <c r="E26" s="3501">
        <f>C27-C30-C31-C32</f>
        <v>0</v>
      </c>
      <c r="F26" s="3501"/>
      <c r="G26" s="3501"/>
      <c r="H26" s="3068" t="s">
        <v>2851</v>
      </c>
    </row>
    <row r="27" spans="1:9">
      <c r="A27" s="2553">
        <v>1</v>
      </c>
      <c r="B27" s="2554" t="s">
        <v>2522</v>
      </c>
      <c r="C27" s="2554"/>
      <c r="D27" s="2554"/>
      <c r="E27" s="3502"/>
      <c r="F27" s="3502"/>
      <c r="G27" s="3502"/>
    </row>
    <row r="28" spans="1:9">
      <c r="A28" s="2555" t="s">
        <v>2523</v>
      </c>
      <c r="B28" s="2554" t="s">
        <v>2524</v>
      </c>
      <c r="C28" s="2554"/>
      <c r="D28" s="2554"/>
      <c r="E28" s="3502"/>
      <c r="F28" s="3502"/>
      <c r="G28" s="3502"/>
    </row>
    <row r="29" spans="1:9">
      <c r="A29" s="2555" t="s">
        <v>2525</v>
      </c>
      <c r="B29" s="2554" t="s">
        <v>2465</v>
      </c>
      <c r="C29" s="2554"/>
      <c r="D29" s="2554"/>
      <c r="E29" s="2554" t="s">
        <v>2526</v>
      </c>
      <c r="F29" s="2554"/>
      <c r="G29" s="2554"/>
    </row>
    <row r="30" spans="1:9">
      <c r="A30" s="2553">
        <v>2</v>
      </c>
      <c r="B30" s="2554" t="s">
        <v>2527</v>
      </c>
      <c r="C30" s="2554">
        <f>C27*D30</f>
        <v>0</v>
      </c>
      <c r="D30" s="2556">
        <v>0.2</v>
      </c>
      <c r="E30" s="2554" t="s">
        <v>2528</v>
      </c>
      <c r="F30" s="2554"/>
      <c r="G30" s="2554"/>
    </row>
    <row r="31" spans="1:9">
      <c r="A31" s="2553">
        <v>3</v>
      </c>
      <c r="B31" s="2554" t="s">
        <v>2529</v>
      </c>
      <c r="C31" s="2554">
        <f>C25*D31</f>
        <v>0</v>
      </c>
      <c r="D31" s="2556">
        <v>0.15</v>
      </c>
      <c r="E31" s="2554" t="s">
        <v>2530</v>
      </c>
      <c r="F31" s="2554"/>
      <c r="G31" s="2554"/>
    </row>
    <row r="32" spans="1:9">
      <c r="A32" s="2553">
        <v>4</v>
      </c>
      <c r="B32" s="2554" t="s">
        <v>2531</v>
      </c>
      <c r="C32" s="2554">
        <f>C27*D32</f>
        <v>0</v>
      </c>
      <c r="D32" s="2556">
        <v>0.05</v>
      </c>
      <c r="E32" s="3493"/>
      <c r="F32" s="3493"/>
      <c r="G32" s="3493"/>
    </row>
    <row r="33" spans="1:7" hidden="1">
      <c r="A33" s="3503" t="s">
        <v>2532</v>
      </c>
      <c r="B33" s="3504"/>
      <c r="C33" s="3504"/>
      <c r="D33" s="3505"/>
      <c r="E33" s="3501"/>
      <c r="F33" s="3501"/>
      <c r="G33" s="3501"/>
    </row>
    <row r="34" spans="1:7" hidden="1">
      <c r="A34" s="2557">
        <v>1</v>
      </c>
      <c r="B34" s="2554" t="s">
        <v>2533</v>
      </c>
      <c r="C34" s="2554"/>
      <c r="D34" s="2554"/>
      <c r="E34" s="3502"/>
      <c r="F34" s="3502"/>
      <c r="G34" s="3502"/>
    </row>
    <row r="35" spans="1:7" hidden="1">
      <c r="A35" s="2557">
        <v>2</v>
      </c>
      <c r="B35" s="2554" t="s">
        <v>2534</v>
      </c>
      <c r="C35" s="2554"/>
      <c r="D35" s="2554"/>
      <c r="E35" s="3502"/>
      <c r="F35" s="3502"/>
      <c r="G35" s="3502"/>
    </row>
    <row r="36" spans="1:7" hidden="1">
      <c r="A36" s="2557">
        <v>3</v>
      </c>
      <c r="B36" s="2554" t="s">
        <v>2535</v>
      </c>
      <c r="C36" s="2554"/>
      <c r="D36" s="2554"/>
      <c r="E36" s="3502"/>
      <c r="F36" s="3502"/>
      <c r="G36" s="3502"/>
    </row>
    <row r="37" spans="1:7" hidden="1">
      <c r="A37" s="2557">
        <v>4</v>
      </c>
      <c r="B37" s="2554" t="s">
        <v>2536</v>
      </c>
      <c r="C37" s="2554"/>
      <c r="D37" s="2554"/>
      <c r="E37" s="3502"/>
      <c r="F37" s="3502"/>
      <c r="G37" s="3502"/>
    </row>
    <row r="38" spans="1:7" hidden="1">
      <c r="A38" s="3503" t="s">
        <v>2537</v>
      </c>
      <c r="B38" s="3504"/>
      <c r="C38" s="3504"/>
      <c r="D38" s="3505"/>
      <c r="E38" s="3501"/>
      <c r="F38" s="3501"/>
      <c r="G38" s="35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3" t="s">
        <v>604</v>
      </c>
      <c r="B1" s="743"/>
      <c r="C1" s="2183"/>
      <c r="D1" s="2183"/>
      <c r="E1" s="2183"/>
      <c r="F1" s="2183"/>
      <c r="G1" s="2109"/>
    </row>
    <row r="2" spans="1:25" s="2060" customFormat="1" ht="18" customHeight="1">
      <c r="A2" s="425" t="s">
        <v>467</v>
      </c>
      <c r="B2" s="427">
        <f ca="1">C23</f>
        <v>0</v>
      </c>
      <c r="C2" s="2109"/>
      <c r="D2" s="2109"/>
      <c r="E2" s="2109"/>
      <c r="F2" s="2109"/>
      <c r="G2" s="2109"/>
    </row>
    <row r="3" spans="1:25" s="2060" customFormat="1" ht="18" customHeight="1">
      <c r="A3" s="1379" t="s">
        <v>1687</v>
      </c>
      <c r="B3" s="427">
        <f ca="1">ROUND(B2*10000/'数据-汇总表'!E3,0)</f>
        <v>0</v>
      </c>
      <c r="C3" s="2109"/>
      <c r="D3" s="2109"/>
      <c r="E3" s="2109"/>
      <c r="F3" s="2109"/>
      <c r="G3" s="2109"/>
    </row>
    <row r="4" spans="1:25" s="2060" customFormat="1" ht="18" customHeight="1">
      <c r="A4" s="428" t="s">
        <v>468</v>
      </c>
      <c r="B4" s="429">
        <f ca="1">ROUND(B2*10000/'数据-汇总表'!D3,0)</f>
        <v>0</v>
      </c>
      <c r="C4" s="2062"/>
      <c r="D4" s="2109"/>
      <c r="E4" s="2109"/>
      <c r="F4" s="2109"/>
      <c r="G4" s="2109"/>
    </row>
    <row r="5" spans="1:25" s="2060" customFormat="1" ht="18" customHeight="1" thickBot="1">
      <c r="A5" s="431"/>
      <c r="B5" s="432">
        <f ca="1">ROUND(B2/('数据-汇总表'!D3/666.67),0)</f>
        <v>0</v>
      </c>
      <c r="C5" s="433" t="s">
        <v>469</v>
      </c>
      <c r="D5" s="2109"/>
      <c r="E5" s="2109"/>
      <c r="F5" s="2109"/>
      <c r="G5" s="2109"/>
    </row>
    <row r="6" spans="1:25" s="2184" customFormat="1" ht="13.5" customHeight="1">
      <c r="A6" s="744"/>
      <c r="B6" s="745" t="s">
        <v>605</v>
      </c>
      <c r="C6" s="746" t="s">
        <v>606</v>
      </c>
      <c r="D6" s="746" t="s">
        <v>607</v>
      </c>
      <c r="E6" s="747" t="s">
        <v>608</v>
      </c>
      <c r="F6" s="747" t="s">
        <v>609</v>
      </c>
      <c r="G6" s="748"/>
    </row>
    <row r="7" spans="1:25" s="2184" customFormat="1" ht="13.5" customHeight="1">
      <c r="A7" s="2491">
        <v>1</v>
      </c>
      <c r="B7" s="749" t="s">
        <v>610</v>
      </c>
      <c r="C7" s="750">
        <f>C8+C9</f>
        <v>0</v>
      </c>
      <c r="D7" s="750"/>
      <c r="E7" s="751"/>
      <c r="F7" s="751"/>
      <c r="G7" s="2501"/>
    </row>
    <row r="8" spans="1:25" s="2184" customFormat="1" ht="13.5" customHeight="1">
      <c r="A8" s="2491" t="s">
        <v>2444</v>
      </c>
      <c r="B8" s="2494" t="s">
        <v>2446</v>
      </c>
      <c r="C8" s="2495"/>
      <c r="D8" s="750"/>
      <c r="E8" s="751"/>
      <c r="F8" s="751"/>
      <c r="G8" s="752"/>
    </row>
    <row r="9" spans="1:25" s="2184" customFormat="1" ht="13.5" customHeight="1">
      <c r="A9" s="2491" t="s">
        <v>2445</v>
      </c>
      <c r="B9" s="2494" t="s">
        <v>2447</v>
      </c>
      <c r="C9" s="2495"/>
      <c r="D9" s="750"/>
      <c r="E9" s="751"/>
      <c r="F9" s="751"/>
      <c r="G9" s="752"/>
    </row>
    <row r="10" spans="1:25" s="2184" customFormat="1" ht="36">
      <c r="A10" s="2491">
        <v>2</v>
      </c>
      <c r="B10" s="749" t="s">
        <v>614</v>
      </c>
      <c r="C10" s="750">
        <f>C11+C14+C15</f>
        <v>0</v>
      </c>
      <c r="D10" s="761">
        <f>'数据-汇总表'!E3</f>
        <v>217232</v>
      </c>
      <c r="E10" s="750">
        <f>'数据-取费表'!B31</f>
        <v>200</v>
      </c>
      <c r="F10" s="762"/>
      <c r="G10" s="760" t="s">
        <v>615</v>
      </c>
    </row>
    <row r="11" spans="1:25" s="2184" customFormat="1" ht="13.5" customHeight="1">
      <c r="A11" s="2491" t="s">
        <v>2444</v>
      </c>
      <c r="B11" s="753" t="s">
        <v>611</v>
      </c>
      <c r="C11" s="754">
        <f>'数据-取费表'!B29</f>
        <v>0</v>
      </c>
      <c r="D11" s="755"/>
      <c r="E11" s="754"/>
      <c r="F11" s="756"/>
      <c r="G11" s="2500" t="s">
        <v>2455</v>
      </c>
    </row>
    <row r="12" spans="1:25" s="2184" customFormat="1" ht="13.5" customHeight="1">
      <c r="A12" s="2498" t="s">
        <v>2452</v>
      </c>
      <c r="B12" s="757" t="s">
        <v>612</v>
      </c>
      <c r="C12" s="758">
        <f>ROUND(D12*E12/10000,0)</f>
        <v>1263</v>
      </c>
      <c r="D12" s="759">
        <f>'数据-汇总表'!E5</f>
        <v>157834</v>
      </c>
      <c r="E12" s="758">
        <f>'数据-取费表'!B27</f>
        <v>80</v>
      </c>
      <c r="F12" s="756"/>
      <c r="G12" s="760"/>
    </row>
    <row r="13" spans="1:25" s="2184" customFormat="1" ht="13.5" customHeight="1">
      <c r="A13" s="2498" t="s">
        <v>2451</v>
      </c>
      <c r="B13" s="757" t="s">
        <v>613</v>
      </c>
      <c r="C13" s="758">
        <f>ROUND(D13*E13/10000,0)</f>
        <v>950</v>
      </c>
      <c r="D13" s="759">
        <f>'数据-汇总表'!E6</f>
        <v>59398</v>
      </c>
      <c r="E13" s="758">
        <f>'数据-取费表'!B28</f>
        <v>160</v>
      </c>
      <c r="F13" s="756"/>
      <c r="G13" s="760"/>
    </row>
    <row r="14" spans="1:25" s="2184" customFormat="1" ht="13.5" customHeight="1">
      <c r="A14" s="2491" t="s">
        <v>2445</v>
      </c>
      <c r="B14" s="2497" t="s">
        <v>2448</v>
      </c>
      <c r="C14" s="2495"/>
      <c r="D14" s="759"/>
      <c r="E14" s="758"/>
      <c r="F14" s="2496"/>
      <c r="G14" s="2499" t="s">
        <v>2453</v>
      </c>
    </row>
    <row r="15" spans="1:25" s="2184" customFormat="1" ht="13.5" customHeight="1">
      <c r="A15" s="2491" t="s">
        <v>2450</v>
      </c>
      <c r="B15" s="2497" t="s">
        <v>2449</v>
      </c>
      <c r="C15" s="2495"/>
      <c r="D15" s="759"/>
      <c r="E15" s="758"/>
      <c r="F15" s="2496"/>
      <c r="G15" s="2499" t="s">
        <v>2454</v>
      </c>
    </row>
    <row r="16" spans="1:25" s="2185" customFormat="1" ht="48">
      <c r="A16" s="2491">
        <v>3</v>
      </c>
      <c r="B16" s="749" t="s">
        <v>616</v>
      </c>
      <c r="C16" s="2495"/>
      <c r="D16" s="761"/>
      <c r="E16" s="750"/>
      <c r="F16" s="762"/>
      <c r="G16" s="760" t="s">
        <v>2456</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2">
        <v>4</v>
      </c>
      <c r="B17" s="749" t="s">
        <v>617</v>
      </c>
      <c r="C17" s="2595">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3"/>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2">
        <v>5</v>
      </c>
      <c r="B18" s="749" t="s">
        <v>618</v>
      </c>
      <c r="C18" s="750">
        <f>ROUND((C7+C10+C16)*F18,0)</f>
        <v>0</v>
      </c>
      <c r="D18" s="763"/>
      <c r="E18" s="764"/>
      <c r="F18" s="762">
        <f>'数据-取费表'!Q16</f>
        <v>0.12</v>
      </c>
      <c r="G18" s="766"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1">
        <v>6</v>
      </c>
      <c r="B19" s="749" t="s">
        <v>620</v>
      </c>
      <c r="C19" s="750">
        <f ca="1">C7+C10+C16+C17+C18</f>
        <v>0</v>
      </c>
      <c r="D19" s="761"/>
      <c r="E19" s="750"/>
      <c r="F19" s="762"/>
      <c r="G19" s="766"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1">
        <v>7</v>
      </c>
      <c r="B20" s="749" t="s">
        <v>622</v>
      </c>
      <c r="C20" s="750">
        <f ca="1">ROUND(C19*F20,0)</f>
        <v>0</v>
      </c>
      <c r="D20" s="761"/>
      <c r="E20" s="750"/>
      <c r="F20" s="1348"/>
      <c r="G20" s="766"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1">
        <v>8</v>
      </c>
      <c r="B21" s="749" t="s">
        <v>624</v>
      </c>
      <c r="C21" s="750">
        <f ca="1">C19+C20</f>
        <v>0</v>
      </c>
      <c r="D21" s="761"/>
      <c r="E21" s="750"/>
      <c r="F21" s="762"/>
      <c r="G21" s="766"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1">
        <v>9</v>
      </c>
      <c r="B22" s="749" t="s">
        <v>626</v>
      </c>
      <c r="C22" s="750">
        <f ca="1">ROUND(C21*F22,0)</f>
        <v>0</v>
      </c>
      <c r="D22" s="761"/>
      <c r="E22" s="750"/>
      <c r="F22" s="767">
        <f>'数据-取费表'!AP16</f>
        <v>0.92900000000000005</v>
      </c>
      <c r="G22" s="766"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3">
        <v>10</v>
      </c>
      <c r="B23" s="768" t="s">
        <v>628</v>
      </c>
      <c r="C23" s="769">
        <f ca="1">C22</f>
        <v>0</v>
      </c>
      <c r="D23" s="770"/>
      <c r="E23" s="769"/>
      <c r="F23" s="771"/>
      <c r="G23" s="772"/>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505" t="s">
        <v>758</v>
      </c>
      <c r="C1" s="506" t="s">
        <v>721</v>
      </c>
      <c r="D1" s="2368"/>
      <c r="E1" s="508"/>
      <c r="F1" s="2831"/>
      <c r="G1" s="1601" t="s">
        <v>722</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467</v>
      </c>
      <c r="B2" s="851"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11" t="s">
        <v>520</v>
      </c>
      <c r="B3" s="512" t="e">
        <f>C49</f>
        <v>#DIV/0!</v>
      </c>
      <c r="C3" s="853" t="s">
        <v>723</v>
      </c>
      <c r="D3" s="852">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30"/>
    </row>
    <row r="4" spans="1:29" ht="15">
      <c r="A4" s="514" t="s">
        <v>522</v>
      </c>
      <c r="B4" s="515"/>
      <c r="C4" s="3265" t="s">
        <v>523</v>
      </c>
      <c r="D4" s="3266"/>
      <c r="E4" s="3267" t="s">
        <v>524</v>
      </c>
      <c r="F4" s="3268"/>
      <c r="G4" s="3265" t="s">
        <v>525</v>
      </c>
      <c r="H4" s="3266"/>
      <c r="I4" s="3265" t="s">
        <v>526</v>
      </c>
      <c r="J4" s="3266"/>
      <c r="K4" s="516" t="s">
        <v>527</v>
      </c>
      <c r="L4" s="2134"/>
      <c r="M4" s="2135"/>
      <c r="N4" s="2135"/>
      <c r="O4" s="2135"/>
      <c r="P4" s="3269" t="s">
        <v>528</v>
      </c>
      <c r="Q4" s="3270"/>
      <c r="R4" s="3255" t="s">
        <v>524</v>
      </c>
      <c r="S4" s="3256"/>
      <c r="T4" s="3255" t="s">
        <v>525</v>
      </c>
      <c r="U4" s="3256"/>
      <c r="V4" s="3254" t="s">
        <v>526</v>
      </c>
      <c r="W4" s="3254"/>
      <c r="X4" s="1567"/>
      <c r="Y4" s="3255" t="s">
        <v>528</v>
      </c>
      <c r="Z4" s="3256"/>
      <c r="AA4" s="3261" t="s">
        <v>524</v>
      </c>
      <c r="AB4" s="3254" t="s">
        <v>525</v>
      </c>
      <c r="AC4" s="3261" t="s">
        <v>526</v>
      </c>
    </row>
    <row r="5" spans="1:29" ht="15">
      <c r="A5" s="517"/>
      <c r="B5" s="518"/>
      <c r="C5" s="3275" t="s">
        <v>2937</v>
      </c>
      <c r="D5" s="3276"/>
      <c r="E5" s="3436" t="s">
        <v>2938</v>
      </c>
      <c r="F5" s="3437"/>
      <c r="G5" s="3275" t="s">
        <v>2939</v>
      </c>
      <c r="H5" s="3276"/>
      <c r="I5" s="3275" t="s">
        <v>2940</v>
      </c>
      <c r="J5" s="3276"/>
      <c r="K5" s="516"/>
      <c r="L5" s="2134"/>
      <c r="M5" s="2135"/>
      <c r="N5" s="2135"/>
      <c r="O5" s="2135"/>
      <c r="P5" s="3271"/>
      <c r="Q5" s="3272"/>
      <c r="R5" s="3257"/>
      <c r="S5" s="3258"/>
      <c r="T5" s="3257"/>
      <c r="U5" s="3258"/>
      <c r="V5" s="3254"/>
      <c r="W5" s="3254"/>
      <c r="X5" s="1567"/>
      <c r="Y5" s="3257"/>
      <c r="Z5" s="3258"/>
      <c r="AA5" s="3262"/>
      <c r="AB5" s="3254"/>
      <c r="AC5" s="3262"/>
    </row>
    <row r="6" spans="1:29" ht="15.75" thickBot="1">
      <c r="A6" s="519"/>
      <c r="B6" s="520"/>
      <c r="C6" s="3281" t="s">
        <v>2941</v>
      </c>
      <c r="D6" s="3282"/>
      <c r="E6" s="3434" t="s">
        <v>2941</v>
      </c>
      <c r="F6" s="3435"/>
      <c r="G6" s="3281" t="s">
        <v>2941</v>
      </c>
      <c r="H6" s="3282"/>
      <c r="I6" s="3281" t="s">
        <v>2941</v>
      </c>
      <c r="J6" s="3282"/>
      <c r="K6" s="516" t="s">
        <v>529</v>
      </c>
      <c r="L6" s="2134"/>
      <c r="M6" s="2135"/>
      <c r="N6" s="2135"/>
      <c r="O6" s="2135"/>
      <c r="P6" s="3273"/>
      <c r="Q6" s="3274"/>
      <c r="R6" s="3257"/>
      <c r="S6" s="3258"/>
      <c r="T6" s="3259"/>
      <c r="U6" s="3260"/>
      <c r="V6" s="3254"/>
      <c r="W6" s="3254"/>
      <c r="X6" s="1567"/>
      <c r="Y6" s="3259"/>
      <c r="Z6" s="3260"/>
      <c r="AA6" s="3263"/>
      <c r="AB6" s="3254"/>
      <c r="AC6" s="3263"/>
    </row>
    <row r="7" spans="1:29" s="1219" customFormat="1" ht="15.75" thickBot="1">
      <c r="A7" s="2936"/>
      <c r="B7" s="2943" t="s">
        <v>530</v>
      </c>
      <c r="C7" s="521">
        <f>'数据-取费表'!B2</f>
        <v>43187</v>
      </c>
      <c r="D7" s="522">
        <v>100</v>
      </c>
      <c r="E7" s="523"/>
      <c r="F7" s="524">
        <f>SUMIF(58:58,YEAR(E7)&amp;"-"&amp;MONTH(E7),59:59)</f>
        <v>0</v>
      </c>
      <c r="G7" s="523"/>
      <c r="H7" s="522">
        <f>SUMIF(58:58,YEAR(G7)&amp;"-"&amp;MONTH(G7),59:59)</f>
        <v>0</v>
      </c>
      <c r="I7" s="523"/>
      <c r="J7" s="522">
        <f>SUMIF(58:58,YEAR(I7)&amp;"-"&amp;MONTH(I7),59:59)</f>
        <v>0</v>
      </c>
      <c r="K7" s="526"/>
      <c r="L7" s="2136"/>
      <c r="M7" s="2137"/>
      <c r="N7" s="2137"/>
      <c r="O7" s="2137"/>
      <c r="P7" s="3251" t="s">
        <v>531</v>
      </c>
      <c r="Q7" s="3264"/>
      <c r="R7" s="1568" t="s">
        <v>8</v>
      </c>
      <c r="S7" s="1569">
        <f t="shared" ref="S7:S15" si="0">F7</f>
        <v>0</v>
      </c>
      <c r="T7" s="1568" t="s">
        <v>8</v>
      </c>
      <c r="U7" s="1569">
        <f t="shared" ref="U7:U15" si="1">H7</f>
        <v>0</v>
      </c>
      <c r="V7" s="1568" t="s">
        <v>8</v>
      </c>
      <c r="W7" s="1569">
        <f t="shared" ref="W7:W15" si="2">J7</f>
        <v>0</v>
      </c>
      <c r="X7" s="1570"/>
      <c r="Y7" s="3251" t="s">
        <v>531</v>
      </c>
      <c r="Z7" s="3252"/>
      <c r="AA7" s="1571" t="e">
        <f>D7/F7</f>
        <v>#DIV/0!</v>
      </c>
      <c r="AB7" s="1571" t="e">
        <f>D7/H7</f>
        <v>#DIV/0!</v>
      </c>
      <c r="AC7" s="1571" t="e">
        <f>D7/J7</f>
        <v>#DIV/0!</v>
      </c>
    </row>
    <row r="8" spans="1:29" s="1219" customFormat="1" ht="15.75" thickBot="1">
      <c r="A8" s="2937"/>
      <c r="B8" s="2944" t="s">
        <v>532</v>
      </c>
      <c r="C8" s="527" t="s">
        <v>577</v>
      </c>
      <c r="D8" s="522">
        <v>100</v>
      </c>
      <c r="E8" s="527"/>
      <c r="F8" s="524">
        <f>SUMIF(61:61,E8,62:62)-SUMIF(61:61,C8,62:62)+100</f>
        <v>0</v>
      </c>
      <c r="G8" s="527"/>
      <c r="H8" s="522">
        <f>SUMIF(61:61,G8,62:62)-SUMIF(61:61,C8,62:62)+100</f>
        <v>0</v>
      </c>
      <c r="I8" s="527"/>
      <c r="J8" s="522">
        <f>SUMIF(61:61,I8,62:62)-SUMIF(61:61,C8,62:62)+100</f>
        <v>0</v>
      </c>
      <c r="K8" s="526"/>
      <c r="L8" s="2136"/>
      <c r="M8" s="2137"/>
      <c r="N8" s="2137"/>
      <c r="O8" s="2137"/>
      <c r="P8" s="3251" t="s">
        <v>534</v>
      </c>
      <c r="Q8" s="3252"/>
      <c r="R8" s="1568" t="s">
        <v>8</v>
      </c>
      <c r="S8" s="1569">
        <f t="shared" si="0"/>
        <v>0</v>
      </c>
      <c r="T8" s="1568" t="s">
        <v>8</v>
      </c>
      <c r="U8" s="1569">
        <f t="shared" si="1"/>
        <v>0</v>
      </c>
      <c r="V8" s="1568" t="s">
        <v>8</v>
      </c>
      <c r="W8" s="1569">
        <f t="shared" si="2"/>
        <v>0</v>
      </c>
      <c r="X8" s="1570"/>
      <c r="Y8" s="3251" t="s">
        <v>534</v>
      </c>
      <c r="Z8" s="3252"/>
      <c r="AA8" s="1571" t="e">
        <f t="shared" ref="AA8:AA46" si="3">D8/F8</f>
        <v>#DIV/0!</v>
      </c>
      <c r="AB8" s="1571" t="e">
        <f t="shared" ref="AB8:AB46" si="4">D8/H8</f>
        <v>#DIV/0!</v>
      </c>
      <c r="AC8" s="1571" t="e">
        <f t="shared" ref="AC8:AC46" si="5">D8/J8</f>
        <v>#DIV/0!</v>
      </c>
    </row>
    <row r="9" spans="1:29" s="1219" customFormat="1" ht="15">
      <c r="A9" s="2938"/>
      <c r="B9" s="2945" t="s">
        <v>2764</v>
      </c>
      <c r="C9" s="858"/>
      <c r="D9" s="253">
        <v>100</v>
      </c>
      <c r="E9" s="861"/>
      <c r="F9" s="253">
        <f>SUMIF(63:63,E9,64:64)-SUMIF(63:63,C9,64:64)+100</f>
        <v>100</v>
      </c>
      <c r="G9" s="859"/>
      <c r="H9" s="253">
        <f>SUMIF(63:63,G9,64:64)-SUMIF(63:63,C9,64:64)+100</f>
        <v>100</v>
      </c>
      <c r="I9" s="859"/>
      <c r="J9" s="253">
        <f>SUMIF(63:63,I9,64:64)-SUMIF(63:63,C9,64:64)+100</f>
        <v>100</v>
      </c>
      <c r="K9" s="526"/>
      <c r="L9" s="2136"/>
      <c r="M9" s="2137"/>
      <c r="N9" s="2137"/>
      <c r="O9" s="2138"/>
      <c r="P9" s="3241" t="s">
        <v>536</v>
      </c>
      <c r="Q9" s="1150" t="str">
        <f t="shared" ref="Q9:Q15" si="6">B9</f>
        <v>用途</v>
      </c>
      <c r="R9" s="1568" t="s">
        <v>8</v>
      </c>
      <c r="S9" s="1569">
        <f t="shared" si="0"/>
        <v>100</v>
      </c>
      <c r="T9" s="1568" t="s">
        <v>8</v>
      </c>
      <c r="U9" s="1569">
        <f t="shared" si="1"/>
        <v>100</v>
      </c>
      <c r="V9" s="1568" t="s">
        <v>8</v>
      </c>
      <c r="W9" s="1569">
        <f t="shared" si="2"/>
        <v>100</v>
      </c>
      <c r="X9" s="1570"/>
      <c r="Y9" s="3253" t="s">
        <v>537</v>
      </c>
      <c r="Z9" s="1149" t="str">
        <f t="shared" ref="Z9:Z15" si="7">Q9</f>
        <v>用途</v>
      </c>
      <c r="AA9" s="1571">
        <f t="shared" si="3"/>
        <v>1</v>
      </c>
      <c r="AB9" s="1571">
        <f t="shared" si="4"/>
        <v>1</v>
      </c>
      <c r="AC9" s="1571">
        <f t="shared" si="5"/>
        <v>1</v>
      </c>
    </row>
    <row r="10" spans="1:29" s="1337" customFormat="1" ht="27">
      <c r="A10" s="2939"/>
      <c r="B10" s="2944" t="s">
        <v>2765</v>
      </c>
      <c r="C10" s="862"/>
      <c r="D10" s="254">
        <v>100</v>
      </c>
      <c r="E10" s="862"/>
      <c r="F10" s="254">
        <f>SUMIF(65:65,E10,66:66)-SUMIF(65:65,C10,66:66)+100</f>
        <v>100</v>
      </c>
      <c r="G10" s="863"/>
      <c r="H10" s="254">
        <f>SUMIF(65:65,G10,66:66)-SUMIF(65:65,C10,66:66)+100</f>
        <v>100</v>
      </c>
      <c r="I10" s="862"/>
      <c r="J10" s="254">
        <f>SUMIF(65:65,I10,66:66)-SUMIF(65:65,C10,66:66)+100</f>
        <v>100</v>
      </c>
      <c r="K10" s="585"/>
      <c r="L10" s="2139"/>
      <c r="M10" s="2179"/>
      <c r="N10" s="2179"/>
      <c r="O10" s="2140"/>
      <c r="P10" s="3241"/>
      <c r="Q10" s="1150" t="str">
        <f t="shared" si="6"/>
        <v>土地使用年限（年）</v>
      </c>
      <c r="R10" s="1568" t="s">
        <v>8</v>
      </c>
      <c r="S10" s="1569">
        <f t="shared" si="0"/>
        <v>100</v>
      </c>
      <c r="T10" s="1568" t="s">
        <v>8</v>
      </c>
      <c r="U10" s="1569">
        <f t="shared" si="1"/>
        <v>100</v>
      </c>
      <c r="V10" s="1568" t="s">
        <v>8</v>
      </c>
      <c r="W10" s="1569">
        <f t="shared" si="2"/>
        <v>100</v>
      </c>
      <c r="X10" s="1570"/>
      <c r="Y10" s="3253"/>
      <c r="Z10" s="1149" t="str">
        <f t="shared" si="7"/>
        <v>土地使用年限（年）</v>
      </c>
      <c r="AA10" s="1571">
        <f t="shared" si="3"/>
        <v>1</v>
      </c>
      <c r="AB10" s="1571">
        <f t="shared" si="4"/>
        <v>1</v>
      </c>
      <c r="AC10" s="1571">
        <f t="shared" si="5"/>
        <v>1</v>
      </c>
    </row>
    <row r="11" spans="1:29" ht="15">
      <c r="A11" s="2940"/>
      <c r="B11" s="2944" t="s">
        <v>2766</v>
      </c>
      <c r="C11" s="534"/>
      <c r="D11" s="254">
        <v>100</v>
      </c>
      <c r="E11" s="534"/>
      <c r="F11" s="254" t="e">
        <f>LOOKUP(E11,68:68,69:69)-LOOKUP(C11,68:68,69:69)+100</f>
        <v>#N/A</v>
      </c>
      <c r="G11" s="535"/>
      <c r="H11" s="254" t="e">
        <f>LOOKUP(G11,68:68,69:69)-LOOKUP(C11,68:68,69:69)+100</f>
        <v>#N/A</v>
      </c>
      <c r="I11" s="534"/>
      <c r="J11" s="254" t="e">
        <f>LOOKUP(I11,68:68,69:69)-LOOKUP(C11,68:68,69:69)+100</f>
        <v>#N/A</v>
      </c>
      <c r="K11" s="585"/>
      <c r="L11" s="2141"/>
      <c r="M11" s="2135"/>
      <c r="N11" s="2135"/>
      <c r="O11" s="2142"/>
      <c r="P11" s="3241"/>
      <c r="Q11" s="1150" t="str">
        <f t="shared" si="6"/>
        <v>容积率</v>
      </c>
      <c r="R11" s="1568" t="s">
        <v>8</v>
      </c>
      <c r="S11" s="1569" t="e">
        <f t="shared" si="0"/>
        <v>#N/A</v>
      </c>
      <c r="T11" s="1568" t="s">
        <v>8</v>
      </c>
      <c r="U11" s="1569" t="e">
        <f t="shared" si="1"/>
        <v>#N/A</v>
      </c>
      <c r="V11" s="1568" t="s">
        <v>8</v>
      </c>
      <c r="W11" s="1569" t="e">
        <f t="shared" si="2"/>
        <v>#N/A</v>
      </c>
      <c r="X11" s="1570"/>
      <c r="Y11" s="3253"/>
      <c r="Z11" s="1149" t="str">
        <f t="shared" si="7"/>
        <v>容积率</v>
      </c>
      <c r="AA11" s="1571" t="e">
        <f t="shared" si="3"/>
        <v>#N/A</v>
      </c>
      <c r="AB11" s="1571" t="e">
        <f t="shared" si="4"/>
        <v>#N/A</v>
      </c>
      <c r="AC11" s="1571" t="e">
        <f t="shared" si="5"/>
        <v>#N/A</v>
      </c>
    </row>
    <row r="12" spans="1:29" s="1219" customFormat="1" ht="15">
      <c r="A12" s="2941"/>
      <c r="B12" s="2947">
        <v>111</v>
      </c>
      <c r="C12" s="530"/>
      <c r="D12" s="539">
        <v>100</v>
      </c>
      <c r="E12" s="540"/>
      <c r="F12" s="254">
        <f>SUMIF(70:70,E12,71:71)-SUMIF(70:70,C12,71:71)+100</f>
        <v>100</v>
      </c>
      <c r="G12" s="911"/>
      <c r="H12" s="254">
        <f>SUMIF(70:70,G12,71:71)-SUMIF(70:70,C12,71:71)+100</f>
        <v>100</v>
      </c>
      <c r="I12" s="540"/>
      <c r="J12" s="254">
        <f>SUMIF(70:70,I12,71:71)-SUMIF(70:70,C12,71:71)+100</f>
        <v>100</v>
      </c>
      <c r="K12" s="582"/>
      <c r="L12" s="2136"/>
      <c r="M12" s="2137"/>
      <c r="N12" s="2137"/>
      <c r="O12" s="2138"/>
      <c r="P12" s="3241"/>
      <c r="Q12" s="1150">
        <f t="shared" si="6"/>
        <v>111</v>
      </c>
      <c r="R12" s="1568" t="s">
        <v>8</v>
      </c>
      <c r="S12" s="1569">
        <f t="shared" si="0"/>
        <v>100</v>
      </c>
      <c r="T12" s="1568" t="s">
        <v>8</v>
      </c>
      <c r="U12" s="1569">
        <f t="shared" si="1"/>
        <v>100</v>
      </c>
      <c r="V12" s="1568" t="s">
        <v>8</v>
      </c>
      <c r="W12" s="1569">
        <f t="shared" si="2"/>
        <v>100</v>
      </c>
      <c r="X12" s="1570"/>
      <c r="Y12" s="3253"/>
      <c r="Z12" s="1149">
        <f t="shared" si="7"/>
        <v>111</v>
      </c>
      <c r="AA12" s="1571">
        <f>D12/F12</f>
        <v>1</v>
      </c>
      <c r="AB12" s="1571">
        <f>D12/H12</f>
        <v>1</v>
      </c>
      <c r="AC12" s="1571">
        <f>D12/J12</f>
        <v>1</v>
      </c>
    </row>
    <row r="13" spans="1:29" ht="15">
      <c r="A13" s="2941"/>
      <c r="B13" s="2947">
        <v>111</v>
      </c>
      <c r="C13" s="540"/>
      <c r="D13" s="541">
        <v>100</v>
      </c>
      <c r="E13" s="540"/>
      <c r="F13" s="254">
        <f>SUMIF(72:72,E13,73:73)-SUMIF(72:72,C13,73:73)+100</f>
        <v>100</v>
      </c>
      <c r="G13" s="911"/>
      <c r="H13" s="541">
        <f>SUMIF(72:72,G13,73:73)-SUMIF(72:72,C13,73:73)+100</f>
        <v>100</v>
      </c>
      <c r="I13" s="540"/>
      <c r="J13" s="541">
        <f>SUMIF(72:72,I13,73:73)-SUMIF(72:72,C13,73:73)+100</f>
        <v>100</v>
      </c>
      <c r="K13" s="582"/>
      <c r="L13" s="2143"/>
      <c r="M13" s="2135"/>
      <c r="N13" s="2135"/>
      <c r="O13" s="2142"/>
      <c r="P13" s="3241"/>
      <c r="Q13" s="1150">
        <f t="shared" si="6"/>
        <v>111</v>
      </c>
      <c r="R13" s="1568" t="s">
        <v>8</v>
      </c>
      <c r="S13" s="1569">
        <f t="shared" si="0"/>
        <v>100</v>
      </c>
      <c r="T13" s="1568" t="s">
        <v>8</v>
      </c>
      <c r="U13" s="1569">
        <f t="shared" si="1"/>
        <v>100</v>
      </c>
      <c r="V13" s="1568" t="s">
        <v>8</v>
      </c>
      <c r="W13" s="1569">
        <f t="shared" si="2"/>
        <v>100</v>
      </c>
      <c r="X13" s="1570"/>
      <c r="Y13" s="3253"/>
      <c r="Z13" s="1149">
        <f t="shared" si="7"/>
        <v>111</v>
      </c>
      <c r="AA13" s="1571">
        <f t="shared" si="3"/>
        <v>1</v>
      </c>
      <c r="AB13" s="1571">
        <f t="shared" si="4"/>
        <v>1</v>
      </c>
      <c r="AC13" s="1571">
        <f t="shared" si="5"/>
        <v>1</v>
      </c>
    </row>
    <row r="14" spans="1:29" ht="15.75" thickBot="1">
      <c r="A14" s="2942"/>
      <c r="B14" s="2948">
        <v>111</v>
      </c>
      <c r="C14" s="546"/>
      <c r="D14" s="547">
        <v>100</v>
      </c>
      <c r="E14" s="546"/>
      <c r="F14" s="547">
        <f>SUMIF(74:74,E14,75:75)-SUMIF(74:74,C14,75:75)+100</f>
        <v>100</v>
      </c>
      <c r="G14" s="911"/>
      <c r="H14" s="547">
        <f>SUMIF(74:74,G14,75:75)-SUMIF(74:74,C14,75:75)+100</f>
        <v>100</v>
      </c>
      <c r="I14" s="540"/>
      <c r="J14" s="547">
        <f>SUMIF(74:74,I14,75:75)-SUMIF(74:74,C14,75:75)+100</f>
        <v>100</v>
      </c>
      <c r="K14" s="582"/>
      <c r="L14" s="2143"/>
      <c r="M14" s="2135"/>
      <c r="N14" s="2135"/>
      <c r="O14" s="2142"/>
      <c r="P14" s="3241"/>
      <c r="Q14" s="1150">
        <f t="shared" si="6"/>
        <v>111</v>
      </c>
      <c r="R14" s="1568" t="s">
        <v>8</v>
      </c>
      <c r="S14" s="1569">
        <f t="shared" si="0"/>
        <v>100</v>
      </c>
      <c r="T14" s="1568" t="s">
        <v>8</v>
      </c>
      <c r="U14" s="1569">
        <f t="shared" si="1"/>
        <v>100</v>
      </c>
      <c r="V14" s="1568" t="s">
        <v>8</v>
      </c>
      <c r="W14" s="1569">
        <f t="shared" si="2"/>
        <v>100</v>
      </c>
      <c r="X14" s="1570"/>
      <c r="Y14" s="3253"/>
      <c r="Z14" s="1149">
        <f t="shared" si="7"/>
        <v>111</v>
      </c>
      <c r="AA14" s="1571">
        <f t="shared" si="3"/>
        <v>1</v>
      </c>
      <c r="AB14" s="1571">
        <f t="shared" si="4"/>
        <v>1</v>
      </c>
      <c r="AC14" s="1571">
        <f t="shared" si="5"/>
        <v>1</v>
      </c>
    </row>
    <row r="15" spans="1:29" ht="71.25">
      <c r="A15" s="2934" t="s">
        <v>2762</v>
      </c>
      <c r="B15" s="165"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7"/>
      <c r="L15" s="2143"/>
      <c r="M15" s="2135"/>
      <c r="N15" s="2135"/>
      <c r="O15" s="2142"/>
      <c r="P15" s="3246" t="s">
        <v>541</v>
      </c>
      <c r="Q15" s="1572" t="str">
        <f t="shared" si="6"/>
        <v>商业繁华度</v>
      </c>
      <c r="R15" s="1573" t="s">
        <v>8</v>
      </c>
      <c r="S15" s="1574">
        <f t="shared" si="0"/>
        <v>100</v>
      </c>
      <c r="T15" s="1573" t="s">
        <v>8</v>
      </c>
      <c r="U15" s="1574">
        <f t="shared" si="1"/>
        <v>100</v>
      </c>
      <c r="V15" s="1573" t="s">
        <v>8</v>
      </c>
      <c r="W15" s="1574">
        <f t="shared" si="2"/>
        <v>100</v>
      </c>
      <c r="X15" s="1567"/>
      <c r="Y15" s="3246" t="s">
        <v>541</v>
      </c>
      <c r="Z15" s="1575" t="str">
        <f t="shared" si="7"/>
        <v>商业繁华度</v>
      </c>
      <c r="AA15" s="1576">
        <f t="shared" si="3"/>
        <v>1</v>
      </c>
      <c r="AB15" s="1576">
        <f t="shared" si="4"/>
        <v>1</v>
      </c>
      <c r="AC15" s="1576">
        <f t="shared" si="5"/>
        <v>1</v>
      </c>
    </row>
    <row r="16" spans="1:29" ht="15">
      <c r="A16" s="533"/>
      <c r="B16" s="870"/>
      <c r="C16" s="577"/>
      <c r="D16" s="556"/>
      <c r="E16" s="577"/>
      <c r="F16" s="558"/>
      <c r="G16" s="577"/>
      <c r="H16" s="560"/>
      <c r="I16" s="577"/>
      <c r="J16" s="556"/>
      <c r="K16" s="898"/>
      <c r="L16" s="2143"/>
      <c r="M16" s="2135"/>
      <c r="N16" s="2135"/>
      <c r="O16" s="2142"/>
      <c r="P16" s="3247"/>
      <c r="Q16" s="1572"/>
      <c r="R16" s="1573"/>
      <c r="S16" s="1574"/>
      <c r="T16" s="1573"/>
      <c r="U16" s="1574"/>
      <c r="V16" s="1573"/>
      <c r="W16" s="1574"/>
      <c r="X16" s="1567"/>
      <c r="Y16" s="3247"/>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7"/>
      <c r="L17" s="2143"/>
      <c r="M17" s="2135"/>
      <c r="N17" s="2135"/>
      <c r="O17" s="2142"/>
      <c r="P17" s="3247"/>
      <c r="Q17" s="1572" t="str">
        <f>B17</f>
        <v>交通便捷度</v>
      </c>
      <c r="R17" s="1573" t="s">
        <v>8</v>
      </c>
      <c r="S17" s="1574">
        <f>F17</f>
        <v>100</v>
      </c>
      <c r="T17" s="1573" t="s">
        <v>8</v>
      </c>
      <c r="U17" s="1574">
        <f>H17</f>
        <v>100</v>
      </c>
      <c r="V17" s="1573" t="s">
        <v>8</v>
      </c>
      <c r="W17" s="1574">
        <f>J17</f>
        <v>100</v>
      </c>
      <c r="X17" s="1567"/>
      <c r="Y17" s="3247"/>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8"/>
      <c r="L18" s="2143"/>
      <c r="M18" s="2135"/>
      <c r="N18" s="2135"/>
      <c r="O18" s="2142"/>
      <c r="P18" s="3247"/>
      <c r="Q18" s="1572"/>
      <c r="R18" s="1573"/>
      <c r="S18" s="1574"/>
      <c r="T18" s="1573"/>
      <c r="U18" s="1574"/>
      <c r="V18" s="1573"/>
      <c r="W18" s="1574"/>
      <c r="X18" s="1567"/>
      <c r="Y18" s="3247"/>
      <c r="Z18" s="1575"/>
      <c r="AA18" s="1576">
        <v>1</v>
      </c>
      <c r="AB18" s="1576">
        <v>1</v>
      </c>
      <c r="AC18" s="1576">
        <v>1</v>
      </c>
    </row>
    <row r="19" spans="1:29" ht="42.75">
      <c r="A19" s="533"/>
      <c r="B19" s="2622" t="s">
        <v>2552</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7"/>
      <c r="L19" s="2143"/>
      <c r="M19" s="2135"/>
      <c r="N19" s="2135"/>
      <c r="O19" s="2142"/>
      <c r="P19" s="3247"/>
      <c r="Q19" s="1572" t="str">
        <f>B19</f>
        <v>公共配套设施</v>
      </c>
      <c r="R19" s="1573" t="s">
        <v>8</v>
      </c>
      <c r="S19" s="1574">
        <f>F19</f>
        <v>100</v>
      </c>
      <c r="T19" s="1573" t="s">
        <v>8</v>
      </c>
      <c r="U19" s="1574">
        <f>H19</f>
        <v>100</v>
      </c>
      <c r="V19" s="1573" t="s">
        <v>8</v>
      </c>
      <c r="W19" s="1574">
        <f>J19</f>
        <v>100</v>
      </c>
      <c r="X19" s="1567"/>
      <c r="Y19" s="3247"/>
      <c r="Z19" s="1575" t="str">
        <f>Q19</f>
        <v>公共配套设施</v>
      </c>
      <c r="AA19" s="1576">
        <f t="shared" si="3"/>
        <v>1</v>
      </c>
      <c r="AB19" s="1576">
        <f t="shared" si="4"/>
        <v>1</v>
      </c>
      <c r="AC19" s="1576">
        <f t="shared" si="5"/>
        <v>1</v>
      </c>
    </row>
    <row r="20" spans="1:29" ht="15">
      <c r="A20" s="533"/>
      <c r="B20" s="596"/>
      <c r="C20" s="577"/>
      <c r="D20" s="556"/>
      <c r="E20" s="557"/>
      <c r="F20" s="558"/>
      <c r="G20" s="559"/>
      <c r="H20" s="556"/>
      <c r="I20" s="557"/>
      <c r="J20" s="556"/>
      <c r="K20" s="898"/>
      <c r="L20" s="2143"/>
      <c r="M20" s="2135"/>
      <c r="N20" s="2135"/>
      <c r="O20" s="2142"/>
      <c r="P20" s="3247"/>
      <c r="Q20" s="1572"/>
      <c r="R20" s="1573"/>
      <c r="S20" s="1574"/>
      <c r="T20" s="1573"/>
      <c r="U20" s="1574"/>
      <c r="V20" s="1573"/>
      <c r="W20" s="1574"/>
      <c r="X20" s="1567"/>
      <c r="Y20" s="3247"/>
      <c r="Z20" s="1575"/>
      <c r="AA20" s="1576">
        <v>1</v>
      </c>
      <c r="AB20" s="1576">
        <v>1</v>
      </c>
      <c r="AC20" s="1576">
        <v>1</v>
      </c>
    </row>
    <row r="21" spans="1:29" ht="28.5">
      <c r="A21" s="533"/>
      <c r="B21" s="2615" t="s">
        <v>2564</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7"/>
      <c r="L21" s="2143"/>
      <c r="M21" s="2135"/>
      <c r="N21" s="2135"/>
      <c r="O21" s="2142"/>
      <c r="P21" s="3247"/>
      <c r="Q21" s="2601" t="str">
        <f>B21</f>
        <v>基础设施水平</v>
      </c>
      <c r="R21" s="1573" t="s">
        <v>8</v>
      </c>
      <c r="S21" s="1574">
        <f>F21</f>
        <v>100</v>
      </c>
      <c r="T21" s="1573" t="s">
        <v>8</v>
      </c>
      <c r="U21" s="1574">
        <f>H21</f>
        <v>100</v>
      </c>
      <c r="V21" s="1573" t="s">
        <v>8</v>
      </c>
      <c r="W21" s="1574">
        <f>J21</f>
        <v>100</v>
      </c>
      <c r="X21" s="2603"/>
      <c r="Y21" s="3247"/>
      <c r="Z21" s="2602" t="str">
        <f>Q21</f>
        <v>基础设施水平</v>
      </c>
      <c r="AA21" s="1576">
        <f>D21/F21</f>
        <v>1</v>
      </c>
      <c r="AB21" s="1576">
        <f>D21/H21</f>
        <v>1</v>
      </c>
      <c r="AC21" s="1576">
        <f>D21/J21</f>
        <v>1</v>
      </c>
    </row>
    <row r="22" spans="1:29" ht="15">
      <c r="A22" s="533"/>
      <c r="B22" s="921"/>
      <c r="C22" s="874"/>
      <c r="D22" s="556"/>
      <c r="E22" s="577"/>
      <c r="F22" s="558"/>
      <c r="G22" s="577"/>
      <c r="H22" s="556"/>
      <c r="I22" s="577"/>
      <c r="J22" s="556"/>
      <c r="K22" s="2624"/>
      <c r="L22" s="2143"/>
      <c r="M22" s="2135"/>
      <c r="N22" s="2135"/>
      <c r="O22" s="2142"/>
      <c r="P22" s="3247"/>
      <c r="Q22" s="2601"/>
      <c r="R22" s="1573"/>
      <c r="S22" s="1574"/>
      <c r="T22" s="1573"/>
      <c r="U22" s="1574"/>
      <c r="V22" s="1573"/>
      <c r="W22" s="1574"/>
      <c r="X22" s="2603"/>
      <c r="Y22" s="3247"/>
      <c r="Z22" s="2602"/>
      <c r="AA22" s="1576">
        <v>1</v>
      </c>
      <c r="AB22" s="1576">
        <v>1</v>
      </c>
      <c r="AC22" s="1576">
        <v>1</v>
      </c>
    </row>
    <row r="23" spans="1:29" ht="57">
      <c r="A23" s="533"/>
      <c r="B23" s="872" t="s">
        <v>297</v>
      </c>
      <c r="C23" s="899"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7"/>
      <c r="L23" s="2143"/>
      <c r="M23" s="2135"/>
      <c r="N23" s="2135"/>
      <c r="O23" s="2142"/>
      <c r="P23" s="3247"/>
      <c r="Q23" s="1572" t="str">
        <f>B23</f>
        <v>自然及人文环境</v>
      </c>
      <c r="R23" s="1573" t="s">
        <v>8</v>
      </c>
      <c r="S23" s="1574">
        <f>F23</f>
        <v>100</v>
      </c>
      <c r="T23" s="1573" t="s">
        <v>8</v>
      </c>
      <c r="U23" s="1574">
        <f>H23</f>
        <v>100</v>
      </c>
      <c r="V23" s="1573" t="s">
        <v>8</v>
      </c>
      <c r="W23" s="1574">
        <f>J23</f>
        <v>100</v>
      </c>
      <c r="X23" s="1567"/>
      <c r="Y23" s="3247"/>
      <c r="Z23" s="1575" t="str">
        <f>Q23</f>
        <v>自然及人文环境</v>
      </c>
      <c r="AA23" s="1576">
        <f t="shared" si="3"/>
        <v>1</v>
      </c>
      <c r="AB23" s="1576">
        <f t="shared" si="4"/>
        <v>1</v>
      </c>
      <c r="AC23" s="1576">
        <f t="shared" si="5"/>
        <v>1</v>
      </c>
    </row>
    <row r="24" spans="1:29" ht="15">
      <c r="A24" s="533"/>
      <c r="B24" s="596"/>
      <c r="C24" s="577"/>
      <c r="D24" s="556"/>
      <c r="E24" s="557"/>
      <c r="F24" s="558"/>
      <c r="G24" s="559"/>
      <c r="H24" s="556"/>
      <c r="I24" s="557"/>
      <c r="J24" s="556"/>
      <c r="K24" s="898"/>
      <c r="L24" s="2143"/>
      <c r="M24" s="2135"/>
      <c r="N24" s="2135"/>
      <c r="O24" s="2142"/>
      <c r="P24" s="3247"/>
      <c r="Q24" s="1572"/>
      <c r="R24" s="1573"/>
      <c r="S24" s="1574"/>
      <c r="T24" s="1573"/>
      <c r="U24" s="1574"/>
      <c r="V24" s="1573"/>
      <c r="W24" s="1574"/>
      <c r="X24" s="1567"/>
      <c r="Y24" s="3247"/>
      <c r="Z24" s="1575"/>
      <c r="AA24" s="1576">
        <v>1</v>
      </c>
      <c r="AB24" s="1576">
        <v>1</v>
      </c>
      <c r="AC24" s="1576">
        <v>1</v>
      </c>
    </row>
    <row r="25" spans="1:29" ht="15">
      <c r="A25" s="533"/>
      <c r="B25" s="529" t="s">
        <v>548</v>
      </c>
      <c r="C25" s="584"/>
      <c r="D25" s="541">
        <v>100</v>
      </c>
      <c r="E25" s="584"/>
      <c r="F25" s="576">
        <f>SUMIF(86:86,E25,87:87)-SUMIF(86:86,C25,87:87)+100</f>
        <v>100</v>
      </c>
      <c r="G25" s="584"/>
      <c r="H25" s="541">
        <f>SUMIF(86:86,G25,87:87)-SUMIF(86:86,C25,87:87)+100</f>
        <v>100</v>
      </c>
      <c r="I25" s="584"/>
      <c r="J25" s="541">
        <f>SUMIF(86:86,I25,87:87)-SUMIF(86:86,C25,87:87)+100</f>
        <v>100</v>
      </c>
      <c r="K25" s="585"/>
      <c r="L25" s="2143"/>
      <c r="M25" s="2135"/>
      <c r="N25" s="2135"/>
      <c r="O25" s="2142"/>
      <c r="P25" s="3247"/>
      <c r="Q25" s="1572" t="str">
        <f t="shared" ref="Q25:Q46" si="8">B25</f>
        <v>临街状况</v>
      </c>
      <c r="R25" s="1573" t="s">
        <v>8</v>
      </c>
      <c r="S25" s="1574">
        <f>F25</f>
        <v>100</v>
      </c>
      <c r="T25" s="1573" t="s">
        <v>8</v>
      </c>
      <c r="U25" s="1574">
        <f>H25</f>
        <v>100</v>
      </c>
      <c r="V25" s="1573" t="s">
        <v>8</v>
      </c>
      <c r="W25" s="1574">
        <f>J25</f>
        <v>100</v>
      </c>
      <c r="X25" s="1567"/>
      <c r="Y25" s="3247"/>
      <c r="Z25" s="1575" t="str">
        <f>Q25</f>
        <v>临街状况</v>
      </c>
      <c r="AA25" s="1576">
        <f t="shared" si="3"/>
        <v>1</v>
      </c>
      <c r="AB25" s="1576">
        <f t="shared" si="4"/>
        <v>1</v>
      </c>
      <c r="AC25" s="1576">
        <f t="shared" si="5"/>
        <v>1</v>
      </c>
    </row>
    <row r="26" spans="1:29" ht="15">
      <c r="A26" s="533"/>
      <c r="B26" s="877" t="s">
        <v>759</v>
      </c>
      <c r="C26" s="540"/>
      <c r="D26" s="541">
        <v>100</v>
      </c>
      <c r="E26" s="540"/>
      <c r="F26" s="576">
        <f>SUMIF(88:88,E26,89:89)-SUMIF(88:88,C26,89:89)+100</f>
        <v>100</v>
      </c>
      <c r="G26" s="540"/>
      <c r="H26" s="541">
        <f>SUMIF(88:88,G26,89:89)-SUMIF(88:88,C26,89:89)+100</f>
        <v>100</v>
      </c>
      <c r="I26" s="540"/>
      <c r="J26" s="541">
        <f>SUMIF(88:88,I26,89:89)-SUMIF(88:88,C26,89:89)+100</f>
        <v>100</v>
      </c>
      <c r="K26" s="582"/>
      <c r="L26" s="2143"/>
      <c r="M26" s="2135"/>
      <c r="N26" s="2135"/>
      <c r="O26" s="2142"/>
      <c r="P26" s="3247"/>
      <c r="Q26" s="1572" t="str">
        <f t="shared" si="8"/>
        <v>平面位置/可视性</v>
      </c>
      <c r="R26" s="1573" t="s">
        <v>8</v>
      </c>
      <c r="S26" s="1574">
        <f>F26</f>
        <v>100</v>
      </c>
      <c r="T26" s="1573" t="s">
        <v>8</v>
      </c>
      <c r="U26" s="1574">
        <f>H26</f>
        <v>100</v>
      </c>
      <c r="V26" s="1573" t="s">
        <v>8</v>
      </c>
      <c r="W26" s="1574">
        <f>J26</f>
        <v>100</v>
      </c>
      <c r="X26" s="1567"/>
      <c r="Y26" s="3247"/>
      <c r="Z26" s="1575" t="str">
        <f>Q26</f>
        <v>平面位置/可视性</v>
      </c>
      <c r="AA26" s="1576">
        <f t="shared" si="3"/>
        <v>1</v>
      </c>
      <c r="AB26" s="1576">
        <f t="shared" si="4"/>
        <v>1</v>
      </c>
      <c r="AC26" s="1576">
        <f t="shared" si="5"/>
        <v>1</v>
      </c>
    </row>
    <row r="27" spans="1:29" s="1219" customFormat="1" ht="15">
      <c r="A27" s="537"/>
      <c r="B27" s="872" t="s">
        <v>760</v>
      </c>
      <c r="C27" s="900"/>
      <c r="D27" s="875">
        <v>100</v>
      </c>
      <c r="E27" s="900"/>
      <c r="F27" s="876">
        <f>SUMIF(90:90,E27,91:91)-SUMIF(90:90,C27,91:91)+100</f>
        <v>100</v>
      </c>
      <c r="G27" s="900"/>
      <c r="H27" s="875">
        <f>SUMIF(90:90,G27,91:91)-SUMIF(90:90,C27,91:91)+100</f>
        <v>100</v>
      </c>
      <c r="I27" s="900"/>
      <c r="J27" s="875">
        <f>SUMIF(90:90,I27,91:91)-SUMIF(90:90,C27,91:91)+100</f>
        <v>100</v>
      </c>
      <c r="K27" s="585"/>
      <c r="L27" s="2136"/>
      <c r="M27" s="2137"/>
      <c r="N27" s="2137"/>
      <c r="O27" s="2138"/>
      <c r="P27" s="3247"/>
      <c r="Q27" s="1150" t="str">
        <f t="shared" si="8"/>
        <v>人流量</v>
      </c>
      <c r="R27" s="1568" t="s">
        <v>8</v>
      </c>
      <c r="S27" s="1569">
        <f>F27</f>
        <v>100</v>
      </c>
      <c r="T27" s="1568" t="s">
        <v>8</v>
      </c>
      <c r="U27" s="1569">
        <f>H27</f>
        <v>100</v>
      </c>
      <c r="V27" s="1568" t="s">
        <v>8</v>
      </c>
      <c r="W27" s="1569">
        <f>J27</f>
        <v>100</v>
      </c>
      <c r="X27" s="1570"/>
      <c r="Y27" s="3247"/>
      <c r="Z27" s="1149" t="str">
        <f>Q27</f>
        <v>人流量</v>
      </c>
      <c r="AA27" s="1576">
        <f>D27/F27</f>
        <v>1</v>
      </c>
      <c r="AB27" s="1576">
        <f>D27/H27</f>
        <v>1</v>
      </c>
      <c r="AC27" s="1576">
        <f>D27/J27</f>
        <v>1</v>
      </c>
    </row>
    <row r="28" spans="1:29" ht="15">
      <c r="A28" s="533"/>
      <c r="B28" s="529" t="s">
        <v>762</v>
      </c>
      <c r="C28" s="584"/>
      <c r="D28" s="541">
        <v>100</v>
      </c>
      <c r="E28" s="584"/>
      <c r="F28" s="576">
        <f>SUMIF(92:92,E28,93:93)-SUMIF(92:92,C28,93:93)+100</f>
        <v>100</v>
      </c>
      <c r="G28" s="584"/>
      <c r="H28" s="541">
        <f>SUMIF(92:92,G28,93:93)-SUMIF(92:92,C28,93:93)+100</f>
        <v>100</v>
      </c>
      <c r="I28" s="584"/>
      <c r="J28" s="541">
        <f>SUMIF(92:92,I28,93:93)-SUMIF(92:92,C28,93:93)+100</f>
        <v>100</v>
      </c>
      <c r="K28" s="582"/>
      <c r="L28" s="2143"/>
      <c r="M28" s="2135"/>
      <c r="N28" s="2135"/>
      <c r="O28" s="2142"/>
      <c r="P28" s="3247"/>
      <c r="Q28" s="1572" t="str">
        <f t="shared" si="8"/>
        <v>楼层</v>
      </c>
      <c r="R28" s="1573" t="s">
        <v>8</v>
      </c>
      <c r="S28" s="1574">
        <f t="shared" ref="S28:S46" si="9">F28</f>
        <v>100</v>
      </c>
      <c r="T28" s="1573" t="s">
        <v>8</v>
      </c>
      <c r="U28" s="1574">
        <f t="shared" ref="U28:U46" si="10">H28</f>
        <v>100</v>
      </c>
      <c r="V28" s="1573" t="s">
        <v>8</v>
      </c>
      <c r="W28" s="1574">
        <f t="shared" ref="W28:W46" si="11">J28</f>
        <v>100</v>
      </c>
      <c r="X28" s="1567"/>
      <c r="Y28" s="3247"/>
      <c r="Z28" s="1575" t="str">
        <f t="shared" ref="Z28:Z46" si="12">Q28</f>
        <v>楼层</v>
      </c>
      <c r="AA28" s="1576">
        <f t="shared" si="3"/>
        <v>1</v>
      </c>
      <c r="AB28" s="1576">
        <f t="shared" si="4"/>
        <v>1</v>
      </c>
      <c r="AC28" s="1576">
        <f t="shared" si="5"/>
        <v>1</v>
      </c>
    </row>
    <row r="29" spans="1:29" ht="15">
      <c r="A29" s="533"/>
      <c r="B29" s="877">
        <v>111</v>
      </c>
      <c r="C29" s="540"/>
      <c r="D29" s="541">
        <v>100</v>
      </c>
      <c r="E29" s="540"/>
      <c r="F29" s="576">
        <f>SUMIF(94:94,E29,95:95)-SUMIF(94:94,C29,95:95)+100</f>
        <v>100</v>
      </c>
      <c r="G29" s="540"/>
      <c r="H29" s="541">
        <f>SUMIF(94:94,G29,95:95)-SUMIF(94:94,C29,95:95)+100</f>
        <v>100</v>
      </c>
      <c r="I29" s="540"/>
      <c r="J29" s="541">
        <f>SUMIF(94:94,I29,95:95)-SUMIF(94:94,C29,95:95)+100</f>
        <v>100</v>
      </c>
      <c r="K29" s="582"/>
      <c r="L29" s="2143"/>
      <c r="M29" s="2135"/>
      <c r="N29" s="2135"/>
      <c r="O29" s="2142"/>
      <c r="P29" s="3247"/>
      <c r="Q29" s="1572">
        <f t="shared" si="8"/>
        <v>111</v>
      </c>
      <c r="R29" s="1573" t="s">
        <v>8</v>
      </c>
      <c r="S29" s="1574">
        <f t="shared" si="9"/>
        <v>100</v>
      </c>
      <c r="T29" s="1573" t="s">
        <v>8</v>
      </c>
      <c r="U29" s="1574">
        <f t="shared" si="10"/>
        <v>100</v>
      </c>
      <c r="V29" s="1573" t="s">
        <v>8</v>
      </c>
      <c r="W29" s="1574">
        <f t="shared" si="11"/>
        <v>100</v>
      </c>
      <c r="X29" s="1567"/>
      <c r="Y29" s="3247"/>
      <c r="Z29" s="1575">
        <f t="shared" si="12"/>
        <v>111</v>
      </c>
      <c r="AA29" s="1576">
        <f t="shared" si="3"/>
        <v>1</v>
      </c>
      <c r="AB29" s="1576">
        <f t="shared" si="4"/>
        <v>1</v>
      </c>
      <c r="AC29" s="1576">
        <f t="shared" si="5"/>
        <v>1</v>
      </c>
    </row>
    <row r="30" spans="1:29" ht="15">
      <c r="A30" s="533"/>
      <c r="B30" s="877">
        <v>111</v>
      </c>
      <c r="C30" s="540"/>
      <c r="D30" s="541">
        <v>100</v>
      </c>
      <c r="E30" s="540"/>
      <c r="F30" s="576">
        <f>SUMIF(96:96,E30,97:97)-SUMIF(96:96,C30,97:97)+100</f>
        <v>100</v>
      </c>
      <c r="G30" s="540"/>
      <c r="H30" s="541">
        <f>SUMIF(96:96,G30,97:97)-SUMIF(96:96,C30,97:97)+100</f>
        <v>100</v>
      </c>
      <c r="I30" s="540"/>
      <c r="J30" s="541">
        <f>SUMIF(96:96,I30,97:97)-SUMIF(96:96,C30,97:97)+100</f>
        <v>100</v>
      </c>
      <c r="K30" s="582"/>
      <c r="L30" s="2143"/>
      <c r="M30" s="2135"/>
      <c r="N30" s="2135"/>
      <c r="O30" s="2142"/>
      <c r="P30" s="3247"/>
      <c r="Q30" s="1572">
        <f t="shared" si="8"/>
        <v>111</v>
      </c>
      <c r="R30" s="1573" t="s">
        <v>8</v>
      </c>
      <c r="S30" s="1574">
        <f t="shared" si="9"/>
        <v>100</v>
      </c>
      <c r="T30" s="1573" t="s">
        <v>8</v>
      </c>
      <c r="U30" s="1574">
        <f t="shared" si="10"/>
        <v>100</v>
      </c>
      <c r="V30" s="1573" t="s">
        <v>8</v>
      </c>
      <c r="W30" s="1574">
        <f t="shared" si="11"/>
        <v>100</v>
      </c>
      <c r="X30" s="1567"/>
      <c r="Y30" s="3247"/>
      <c r="Z30" s="1575">
        <f t="shared" si="12"/>
        <v>111</v>
      </c>
      <c r="AA30" s="1576">
        <f t="shared" si="3"/>
        <v>1</v>
      </c>
      <c r="AB30" s="1576">
        <f t="shared" si="4"/>
        <v>1</v>
      </c>
      <c r="AC30" s="1576">
        <f t="shared" si="5"/>
        <v>1</v>
      </c>
    </row>
    <row r="31" spans="1:29" ht="15.75" thickBot="1">
      <c r="A31" s="544"/>
      <c r="B31" s="877">
        <v>111</v>
      </c>
      <c r="C31" s="546"/>
      <c r="D31" s="547">
        <v>100</v>
      </c>
      <c r="E31" s="540"/>
      <c r="F31" s="867">
        <f>SUMIF(98:98,E31,99:99)-SUMIF(98:98,C31,99:99)+100</f>
        <v>100</v>
      </c>
      <c r="G31" s="540"/>
      <c r="H31" s="547">
        <f>SUMIF(98:98,G31,99:99)-SUMIF(98:98,C31,99:99)+100</f>
        <v>100</v>
      </c>
      <c r="I31" s="540"/>
      <c r="J31" s="547">
        <f>SUMIF(98:98,I31,99:99)-SUMIF(98:98,C31,99:99)+100</f>
        <v>100</v>
      </c>
      <c r="K31" s="582"/>
      <c r="L31" s="2143"/>
      <c r="M31" s="2135"/>
      <c r="N31" s="2135"/>
      <c r="O31" s="2142"/>
      <c r="P31" s="3247"/>
      <c r="Q31" s="1572">
        <f t="shared" si="8"/>
        <v>111</v>
      </c>
      <c r="R31" s="1573" t="s">
        <v>8</v>
      </c>
      <c r="S31" s="1574">
        <f t="shared" si="9"/>
        <v>100</v>
      </c>
      <c r="T31" s="1573" t="s">
        <v>8</v>
      </c>
      <c r="U31" s="1574">
        <f t="shared" si="10"/>
        <v>100</v>
      </c>
      <c r="V31" s="1573" t="s">
        <v>8</v>
      </c>
      <c r="W31" s="1574">
        <f t="shared" si="11"/>
        <v>100</v>
      </c>
      <c r="X31" s="1567"/>
      <c r="Y31" s="3247"/>
      <c r="Z31" s="1575">
        <f t="shared" si="12"/>
        <v>111</v>
      </c>
      <c r="AA31" s="1576">
        <f t="shared" si="3"/>
        <v>1</v>
      </c>
      <c r="AB31" s="1576">
        <f t="shared" si="4"/>
        <v>1</v>
      </c>
      <c r="AC31" s="1576">
        <f t="shared" si="5"/>
        <v>1</v>
      </c>
    </row>
    <row r="32" spans="1:29" ht="15">
      <c r="A32" s="2931" t="s">
        <v>2763</v>
      </c>
      <c r="B32" s="171" t="s">
        <v>763</v>
      </c>
      <c r="C32" s="878"/>
      <c r="D32" s="598">
        <v>100</v>
      </c>
      <c r="E32" s="878"/>
      <c r="F32" s="576">
        <f>SUMIF(100:100,E32,101:101)-SUMIF(100:100,C32,101:101)+100</f>
        <v>100</v>
      </c>
      <c r="G32" s="878"/>
      <c r="H32" s="541">
        <f>SUMIF(100:100,G32,101:101)-SUMIF(100:100,C32,101:101)+100</f>
        <v>100</v>
      </c>
      <c r="I32" s="878"/>
      <c r="J32" s="598">
        <f>SUMIF(100:100,I32,101:101)-SUMIF(100:100,C32,101:101)+100</f>
        <v>100</v>
      </c>
      <c r="K32" s="585"/>
      <c r="L32" s="2143"/>
      <c r="M32" s="2135"/>
      <c r="N32" s="2135"/>
      <c r="O32" s="2142"/>
      <c r="P32" s="3248" t="s">
        <v>551</v>
      </c>
      <c r="Q32" s="1572" t="str">
        <f t="shared" si="8"/>
        <v>商业类型</v>
      </c>
      <c r="R32" s="1573" t="s">
        <v>8</v>
      </c>
      <c r="S32" s="1574">
        <f t="shared" si="9"/>
        <v>100</v>
      </c>
      <c r="T32" s="1573" t="s">
        <v>8</v>
      </c>
      <c r="U32" s="1574">
        <f t="shared" si="10"/>
        <v>100</v>
      </c>
      <c r="V32" s="1573" t="s">
        <v>8</v>
      </c>
      <c r="W32" s="1574">
        <f t="shared" si="11"/>
        <v>100</v>
      </c>
      <c r="X32" s="1567"/>
      <c r="Y32" s="3249" t="s">
        <v>551</v>
      </c>
      <c r="Z32" s="1575" t="str">
        <f t="shared" si="12"/>
        <v>商业类型</v>
      </c>
      <c r="AA32" s="1576">
        <f t="shared" si="3"/>
        <v>1</v>
      </c>
      <c r="AB32" s="1576">
        <f t="shared" si="4"/>
        <v>1</v>
      </c>
      <c r="AC32" s="1576">
        <f t="shared" si="5"/>
        <v>1</v>
      </c>
    </row>
    <row r="33" spans="1:29" s="1338" customFormat="1" ht="15">
      <c r="A33" s="604"/>
      <c r="B33" s="529" t="s">
        <v>727</v>
      </c>
      <c r="C33" s="879"/>
      <c r="D33" s="254">
        <v>100</v>
      </c>
      <c r="E33" s="535"/>
      <c r="F33" s="864" t="e">
        <f>LOOKUP(E33,103:103,104:104)-LOOKUP(C33,103:103,104:104)+100</f>
        <v>#N/A</v>
      </c>
      <c r="G33" s="534"/>
      <c r="H33" s="254" t="e">
        <f>LOOKUP(G33,103:103,104:104)-LOOKUP(C33,103:103,104:104)+100</f>
        <v>#N/A</v>
      </c>
      <c r="I33" s="534"/>
      <c r="J33" s="254" t="e">
        <f>LOOKUP(I33,103:103,104:104)-LOOKUP(C33,103:103,104:104)+100</f>
        <v>#N/A</v>
      </c>
      <c r="K33" s="582"/>
      <c r="L33" s="2141"/>
      <c r="M33" s="2172"/>
      <c r="N33" s="2172"/>
      <c r="O33" s="2144"/>
      <c r="P33" s="3249"/>
      <c r="Q33" s="1605" t="str">
        <f t="shared" si="8"/>
        <v>项目建筑规模</v>
      </c>
      <c r="R33" s="1577" t="s">
        <v>8</v>
      </c>
      <c r="S33" s="1578" t="e">
        <f t="shared" si="9"/>
        <v>#N/A</v>
      </c>
      <c r="T33" s="1577" t="s">
        <v>8</v>
      </c>
      <c r="U33" s="1578" t="e">
        <f t="shared" si="10"/>
        <v>#N/A</v>
      </c>
      <c r="V33" s="1577" t="s">
        <v>8</v>
      </c>
      <c r="W33" s="1578" t="e">
        <f t="shared" si="11"/>
        <v>#N/A</v>
      </c>
      <c r="X33" s="1579"/>
      <c r="Y33" s="3249"/>
      <c r="Z33" s="1580" t="str">
        <f t="shared" si="12"/>
        <v>项目建筑规模</v>
      </c>
      <c r="AA33" s="1576" t="e">
        <f t="shared" si="3"/>
        <v>#N/A</v>
      </c>
      <c r="AB33" s="1576" t="e">
        <f t="shared" si="4"/>
        <v>#N/A</v>
      </c>
      <c r="AC33" s="1576" t="e">
        <f t="shared" si="5"/>
        <v>#N/A</v>
      </c>
    </row>
    <row r="34" spans="1:29" ht="15">
      <c r="A34" s="595"/>
      <c r="B34" s="529" t="s">
        <v>728</v>
      </c>
      <c r="C34" s="880"/>
      <c r="D34" s="541">
        <v>100</v>
      </c>
      <c r="E34" s="881"/>
      <c r="F34" s="576">
        <f>SUMIF(105:105,E34,106:106)-SUMIF(105:105,C34,106:106)+100</f>
        <v>100</v>
      </c>
      <c r="G34" s="880"/>
      <c r="H34" s="541">
        <f>SUMIF(105:105,G34,106:106)-SUMIF(105:105,C34,106:106)+100</f>
        <v>100</v>
      </c>
      <c r="I34" s="880"/>
      <c r="J34" s="541">
        <f>SUMIF(105:105,I34,106:106)-SUMIF(105:105,C34,106:106)+100</f>
        <v>100</v>
      </c>
      <c r="K34" s="585"/>
      <c r="L34" s="2143"/>
      <c r="M34" s="2135"/>
      <c r="N34" s="2135"/>
      <c r="O34" s="2142"/>
      <c r="P34" s="3249"/>
      <c r="Q34" s="1572" t="str">
        <f t="shared" si="8"/>
        <v>建筑结构</v>
      </c>
      <c r="R34" s="1573" t="s">
        <v>8</v>
      </c>
      <c r="S34" s="1574">
        <f t="shared" si="9"/>
        <v>100</v>
      </c>
      <c r="T34" s="1573" t="s">
        <v>8</v>
      </c>
      <c r="U34" s="1574">
        <f t="shared" si="10"/>
        <v>100</v>
      </c>
      <c r="V34" s="1573" t="s">
        <v>8</v>
      </c>
      <c r="W34" s="1574">
        <f t="shared" si="11"/>
        <v>100</v>
      </c>
      <c r="X34" s="1567"/>
      <c r="Y34" s="3249"/>
      <c r="Z34" s="1575" t="str">
        <f t="shared" si="12"/>
        <v>建筑结构</v>
      </c>
      <c r="AA34" s="1576">
        <f t="shared" si="3"/>
        <v>1</v>
      </c>
      <c r="AB34" s="1576">
        <f t="shared" si="4"/>
        <v>1</v>
      </c>
      <c r="AC34" s="1576">
        <f t="shared" si="5"/>
        <v>1</v>
      </c>
    </row>
    <row r="35" spans="1:29" ht="15">
      <c r="A35" s="595"/>
      <c r="B35" s="529"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3"/>
      <c r="M35" s="2135"/>
      <c r="N35" s="2135"/>
      <c r="O35" s="2142"/>
      <c r="P35" s="3249"/>
      <c r="Q35" s="1572" t="str">
        <f t="shared" si="8"/>
        <v>公共部分装修</v>
      </c>
      <c r="R35" s="1573" t="s">
        <v>8</v>
      </c>
      <c r="S35" s="1574">
        <f t="shared" si="9"/>
        <v>100</v>
      </c>
      <c r="T35" s="1573" t="s">
        <v>8</v>
      </c>
      <c r="U35" s="1574">
        <f t="shared" si="10"/>
        <v>100</v>
      </c>
      <c r="V35" s="1573" t="s">
        <v>8</v>
      </c>
      <c r="W35" s="1574">
        <f t="shared" si="11"/>
        <v>100</v>
      </c>
      <c r="X35" s="1567"/>
      <c r="Y35" s="3249"/>
      <c r="Z35" s="1575" t="str">
        <f t="shared" si="12"/>
        <v>公共部分装修</v>
      </c>
      <c r="AA35" s="1576">
        <f t="shared" si="3"/>
        <v>1</v>
      </c>
      <c r="AB35" s="1576">
        <f t="shared" si="4"/>
        <v>1</v>
      </c>
      <c r="AC35" s="1576">
        <f t="shared" si="5"/>
        <v>1</v>
      </c>
    </row>
    <row r="36" spans="1:29" ht="15">
      <c r="A36" s="595"/>
      <c r="B36" s="529" t="s">
        <v>765</v>
      </c>
      <c r="C36" s="882"/>
      <c r="D36" s="541">
        <v>100</v>
      </c>
      <c r="E36" s="882"/>
      <c r="F36" s="576" t="e">
        <f>LOOKUP(E36,110:110,111:111)-LOOKUP(C36,110:110,111:111)+100</f>
        <v>#N/A</v>
      </c>
      <c r="G36" s="882"/>
      <c r="H36" s="576" t="e">
        <f>LOOKUP(G36,110:110,111:111)-LOOKUP(C36,110:110,111:111)+100</f>
        <v>#N/A</v>
      </c>
      <c r="I36" s="882"/>
      <c r="J36" s="541" t="e">
        <f>LOOKUP(I36,110:110,111:111)-LOOKUP(C36,110:110,111:111)+100</f>
        <v>#N/A</v>
      </c>
      <c r="K36" s="585"/>
      <c r="L36" s="2143"/>
      <c r="M36" s="2135"/>
      <c r="N36" s="2135"/>
      <c r="O36" s="2142"/>
      <c r="P36" s="3249"/>
      <c r="Q36" s="1572" t="str">
        <f t="shared" si="8"/>
        <v>成新度</v>
      </c>
      <c r="R36" s="1573" t="s">
        <v>8</v>
      </c>
      <c r="S36" s="1574" t="e">
        <f t="shared" si="9"/>
        <v>#N/A</v>
      </c>
      <c r="T36" s="1573" t="s">
        <v>8</v>
      </c>
      <c r="U36" s="1574" t="e">
        <f t="shared" si="10"/>
        <v>#N/A</v>
      </c>
      <c r="V36" s="1573" t="s">
        <v>8</v>
      </c>
      <c r="W36" s="1574" t="e">
        <f t="shared" si="11"/>
        <v>#N/A</v>
      </c>
      <c r="X36" s="1567"/>
      <c r="Y36" s="3249"/>
      <c r="Z36" s="1575" t="str">
        <f t="shared" si="12"/>
        <v>成新度</v>
      </c>
      <c r="AA36" s="1576" t="e">
        <f t="shared" si="3"/>
        <v>#N/A</v>
      </c>
      <c r="AB36" s="1576" t="e">
        <f t="shared" si="4"/>
        <v>#N/A</v>
      </c>
      <c r="AC36" s="1576" t="e">
        <f t="shared" si="5"/>
        <v>#N/A</v>
      </c>
    </row>
    <row r="37" spans="1:29" s="1219" customFormat="1" ht="15">
      <c r="A37" s="601"/>
      <c r="B37" s="1896" t="s">
        <v>2571</v>
      </c>
      <c r="C37" s="600"/>
      <c r="D37" s="254">
        <v>100</v>
      </c>
      <c r="E37" s="600"/>
      <c r="F37" s="576">
        <f>SUMIF(112:112,E37,113:113)-SUMIF(112:112,C37,113:113)+100</f>
        <v>100</v>
      </c>
      <c r="G37" s="600"/>
      <c r="H37" s="541">
        <f>SUMIF(112:112,G37,113:113)-SUMIF(112:112,C37,113:113)+100</f>
        <v>100</v>
      </c>
      <c r="I37" s="600"/>
      <c r="J37" s="541">
        <f>SUMIF(112:112,I37,113:113)-SUMIF(112:112,C37,113:113)+100</f>
        <v>100</v>
      </c>
      <c r="K37" s="585"/>
      <c r="L37" s="2136"/>
      <c r="M37" s="2137"/>
      <c r="N37" s="2137"/>
      <c r="O37" s="2138"/>
      <c r="P37" s="3249"/>
      <c r="Q37" s="1150" t="str">
        <f t="shared" si="8"/>
        <v>市政基础设施</v>
      </c>
      <c r="R37" s="1568" t="s">
        <v>8</v>
      </c>
      <c r="S37" s="1569">
        <f t="shared" si="9"/>
        <v>100</v>
      </c>
      <c r="T37" s="1568" t="s">
        <v>8</v>
      </c>
      <c r="U37" s="1569">
        <f t="shared" si="10"/>
        <v>100</v>
      </c>
      <c r="V37" s="1568" t="s">
        <v>8</v>
      </c>
      <c r="W37" s="1569">
        <f t="shared" si="11"/>
        <v>100</v>
      </c>
      <c r="X37" s="1570"/>
      <c r="Y37" s="3249"/>
      <c r="Z37" s="1149" t="str">
        <f t="shared" si="12"/>
        <v>市政基础设施</v>
      </c>
      <c r="AA37" s="1571">
        <f t="shared" si="3"/>
        <v>1</v>
      </c>
      <c r="AB37" s="1571">
        <f t="shared" si="4"/>
        <v>1</v>
      </c>
      <c r="AC37" s="1571">
        <f t="shared" si="5"/>
        <v>1</v>
      </c>
    </row>
    <row r="38" spans="1:29" ht="15">
      <c r="A38" s="595"/>
      <c r="B38" s="529"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3"/>
      <c r="M38" s="2135"/>
      <c r="N38" s="2135"/>
      <c r="O38" s="2142"/>
      <c r="P38" s="3249" t="s">
        <v>767</v>
      </c>
      <c r="Q38" s="1572" t="str">
        <f t="shared" si="8"/>
        <v>业态</v>
      </c>
      <c r="R38" s="1573" t="s">
        <v>8</v>
      </c>
      <c r="S38" s="1574">
        <f t="shared" si="9"/>
        <v>100</v>
      </c>
      <c r="T38" s="1573" t="s">
        <v>8</v>
      </c>
      <c r="U38" s="1574">
        <f t="shared" si="10"/>
        <v>100</v>
      </c>
      <c r="V38" s="1573" t="s">
        <v>8</v>
      </c>
      <c r="W38" s="1574">
        <f t="shared" si="11"/>
        <v>100</v>
      </c>
      <c r="X38" s="1567"/>
      <c r="Y38" s="3249" t="s">
        <v>767</v>
      </c>
      <c r="Z38" s="1575" t="str">
        <f t="shared" si="12"/>
        <v>业态</v>
      </c>
      <c r="AA38" s="1576">
        <f t="shared" si="3"/>
        <v>1</v>
      </c>
      <c r="AB38" s="1576">
        <f t="shared" si="4"/>
        <v>1</v>
      </c>
      <c r="AC38" s="1576">
        <f t="shared" si="5"/>
        <v>1</v>
      </c>
    </row>
    <row r="39" spans="1:29" ht="15">
      <c r="A39" s="595"/>
      <c r="B39" s="529"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249"/>
      <c r="Q39" s="1572" t="str">
        <f t="shared" si="8"/>
        <v>层高</v>
      </c>
      <c r="R39" s="1573" t="s">
        <v>8</v>
      </c>
      <c r="S39" s="1574">
        <f t="shared" si="9"/>
        <v>100</v>
      </c>
      <c r="T39" s="1573" t="s">
        <v>8</v>
      </c>
      <c r="U39" s="1574">
        <f t="shared" si="10"/>
        <v>100</v>
      </c>
      <c r="V39" s="1573" t="s">
        <v>8</v>
      </c>
      <c r="W39" s="1574">
        <f t="shared" si="11"/>
        <v>100</v>
      </c>
      <c r="X39" s="1567"/>
      <c r="Y39" s="3249"/>
      <c r="Z39" s="1575" t="str">
        <f t="shared" si="12"/>
        <v>层高</v>
      </c>
      <c r="AA39" s="1576">
        <f t="shared" si="3"/>
        <v>1</v>
      </c>
      <c r="AB39" s="1576">
        <f t="shared" si="4"/>
        <v>1</v>
      </c>
      <c r="AC39" s="1576">
        <f t="shared" si="5"/>
        <v>1</v>
      </c>
    </row>
    <row r="40" spans="1:29" ht="15">
      <c r="A40" s="595"/>
      <c r="B40" s="529" t="s">
        <v>769</v>
      </c>
      <c r="C40" s="901"/>
      <c r="D40" s="541">
        <v>100</v>
      </c>
      <c r="E40" s="902"/>
      <c r="F40" s="576">
        <f>SUMIF(118:118,E40,119:119)-SUMIF(118:118,C40,119:119)+100</f>
        <v>100</v>
      </c>
      <c r="G40" s="902"/>
      <c r="H40" s="541">
        <f>SUMIF(118:118,G40,119:119)-SUMIF(118:118,C40,119:119)+100</f>
        <v>100</v>
      </c>
      <c r="I40" s="902"/>
      <c r="J40" s="541">
        <f>SUMIF(118:118,I40,119:119)-SUMIF(118:118,C40,119:119)+100</f>
        <v>100</v>
      </c>
      <c r="K40" s="582"/>
      <c r="L40" s="2143"/>
      <c r="M40" s="2135"/>
      <c r="N40" s="2135"/>
      <c r="O40" s="2142"/>
      <c r="P40" s="3249"/>
      <c r="Q40" s="1572" t="str">
        <f t="shared" si="8"/>
        <v>单套建筑面积</v>
      </c>
      <c r="R40" s="1573" t="s">
        <v>8</v>
      </c>
      <c r="S40" s="1574">
        <f t="shared" si="9"/>
        <v>100</v>
      </c>
      <c r="T40" s="1573" t="s">
        <v>8</v>
      </c>
      <c r="U40" s="1574">
        <f t="shared" si="10"/>
        <v>100</v>
      </c>
      <c r="V40" s="1573" t="s">
        <v>8</v>
      </c>
      <c r="W40" s="1574">
        <f t="shared" si="11"/>
        <v>100</v>
      </c>
      <c r="X40" s="1567"/>
      <c r="Y40" s="3249"/>
      <c r="Z40" s="1575" t="str">
        <f t="shared" si="12"/>
        <v>单套建筑面积</v>
      </c>
      <c r="AA40" s="1576">
        <f t="shared" si="3"/>
        <v>1</v>
      </c>
      <c r="AB40" s="1576">
        <f t="shared" si="4"/>
        <v>1</v>
      </c>
      <c r="AC40" s="1576">
        <f t="shared" si="5"/>
        <v>1</v>
      </c>
    </row>
    <row r="41" spans="1:29" s="1338" customFormat="1" ht="15">
      <c r="A41" s="604"/>
      <c r="B41" s="903"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1"/>
      <c r="M41" s="2172"/>
      <c r="N41" s="2172"/>
      <c r="O41" s="2144"/>
      <c r="P41" s="3249"/>
      <c r="Q41" s="1605" t="str">
        <f t="shared" si="8"/>
        <v>进深比</v>
      </c>
      <c r="R41" s="1577" t="s">
        <v>8</v>
      </c>
      <c r="S41" s="1578">
        <f t="shared" si="9"/>
        <v>100</v>
      </c>
      <c r="T41" s="1577" t="s">
        <v>8</v>
      </c>
      <c r="U41" s="1578">
        <f t="shared" si="10"/>
        <v>100</v>
      </c>
      <c r="V41" s="1577" t="s">
        <v>8</v>
      </c>
      <c r="W41" s="1578">
        <f t="shared" si="11"/>
        <v>100</v>
      </c>
      <c r="X41" s="1579"/>
      <c r="Y41" s="3249"/>
      <c r="Z41" s="1580" t="str">
        <f t="shared" si="12"/>
        <v>进深比</v>
      </c>
      <c r="AA41" s="1576">
        <f t="shared" si="3"/>
        <v>1</v>
      </c>
      <c r="AB41" s="1576">
        <f t="shared" si="4"/>
        <v>1</v>
      </c>
      <c r="AC41" s="1576">
        <f t="shared" si="5"/>
        <v>1</v>
      </c>
    </row>
    <row r="42" spans="1:29" ht="15">
      <c r="A42" s="595"/>
      <c r="B42" s="529"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3"/>
      <c r="M42" s="2135"/>
      <c r="N42" s="2135"/>
      <c r="O42" s="2142"/>
      <c r="P42" s="3249"/>
      <c r="Q42" s="1572" t="str">
        <f t="shared" si="8"/>
        <v>内部装修</v>
      </c>
      <c r="R42" s="1573" t="s">
        <v>8</v>
      </c>
      <c r="S42" s="1574">
        <f t="shared" si="9"/>
        <v>100</v>
      </c>
      <c r="T42" s="1573" t="s">
        <v>8</v>
      </c>
      <c r="U42" s="1574">
        <f t="shared" si="10"/>
        <v>100</v>
      </c>
      <c r="V42" s="1573" t="s">
        <v>8</v>
      </c>
      <c r="W42" s="1574">
        <f t="shared" si="11"/>
        <v>100</v>
      </c>
      <c r="X42" s="1567"/>
      <c r="Y42" s="3249"/>
      <c r="Z42" s="1575" t="str">
        <f t="shared" si="12"/>
        <v>内部装修</v>
      </c>
      <c r="AA42" s="1576">
        <f t="shared" si="3"/>
        <v>1</v>
      </c>
      <c r="AB42" s="1576">
        <f t="shared" si="4"/>
        <v>1</v>
      </c>
      <c r="AC42" s="1576">
        <f t="shared" si="5"/>
        <v>1</v>
      </c>
    </row>
    <row r="43" spans="1:29" ht="27">
      <c r="A43" s="595"/>
      <c r="B43" s="529"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3"/>
      <c r="M43" s="2135"/>
      <c r="N43" s="2135"/>
      <c r="O43" s="2142"/>
      <c r="P43" s="3249"/>
      <c r="Q43" s="1572" t="str">
        <f t="shared" si="8"/>
        <v>内部装修维护情况</v>
      </c>
      <c r="R43" s="1573" t="s">
        <v>8</v>
      </c>
      <c r="S43" s="1574">
        <f t="shared" si="9"/>
        <v>100</v>
      </c>
      <c r="T43" s="1573" t="s">
        <v>8</v>
      </c>
      <c r="U43" s="1574">
        <f t="shared" si="10"/>
        <v>100</v>
      </c>
      <c r="V43" s="1573" t="s">
        <v>8</v>
      </c>
      <c r="W43" s="1574">
        <f t="shared" si="11"/>
        <v>100</v>
      </c>
      <c r="X43" s="1567"/>
      <c r="Y43" s="3249"/>
      <c r="Z43" s="1575" t="str">
        <f t="shared" si="12"/>
        <v>内部装修维护情况</v>
      </c>
      <c r="AA43" s="1576">
        <f t="shared" si="3"/>
        <v>1</v>
      </c>
      <c r="AB43" s="1576">
        <f t="shared" si="4"/>
        <v>1</v>
      </c>
      <c r="AC43" s="1576">
        <f t="shared" si="5"/>
        <v>1</v>
      </c>
    </row>
    <row r="44" spans="1:29" s="1219" customFormat="1" ht="15">
      <c r="A44" s="601"/>
      <c r="B44" s="877">
        <v>111</v>
      </c>
      <c r="C44" s="879"/>
      <c r="D44" s="254">
        <v>100</v>
      </c>
      <c r="E44" s="540"/>
      <c r="F44" s="864">
        <f>SUMIF(126:126,E44,127:127)-SUMIF(126:126,C44,127:127)+100</f>
        <v>100</v>
      </c>
      <c r="G44" s="540"/>
      <c r="H44" s="254">
        <f>SUMIF(126:126,G44,127:127)-SUMIF(126:126,C44,127:127)+100</f>
        <v>100</v>
      </c>
      <c r="I44" s="540"/>
      <c r="J44" s="254">
        <f>SUMIF(126:126,I44,127:127)-SUMIF(126:126,C44,127:127)+100</f>
        <v>100</v>
      </c>
      <c r="K44" s="582"/>
      <c r="L44" s="2136"/>
      <c r="M44" s="2137"/>
      <c r="N44" s="2137"/>
      <c r="O44" s="2138"/>
      <c r="P44" s="3249"/>
      <c r="Q44" s="1150">
        <f t="shared" si="8"/>
        <v>111</v>
      </c>
      <c r="R44" s="1568" t="s">
        <v>8</v>
      </c>
      <c r="S44" s="1569">
        <f t="shared" si="9"/>
        <v>100</v>
      </c>
      <c r="T44" s="1568" t="s">
        <v>8</v>
      </c>
      <c r="U44" s="1569">
        <f t="shared" si="10"/>
        <v>100</v>
      </c>
      <c r="V44" s="1568" t="s">
        <v>8</v>
      </c>
      <c r="W44" s="1569">
        <f t="shared" si="11"/>
        <v>100</v>
      </c>
      <c r="X44" s="1570"/>
      <c r="Y44" s="3249"/>
      <c r="Z44" s="1149">
        <f t="shared" si="12"/>
        <v>111</v>
      </c>
      <c r="AA44" s="1571">
        <f t="shared" si="3"/>
        <v>1</v>
      </c>
      <c r="AB44" s="1571">
        <f t="shared" si="4"/>
        <v>1</v>
      </c>
      <c r="AC44" s="1571">
        <f t="shared" si="5"/>
        <v>1</v>
      </c>
    </row>
    <row r="45" spans="1:29" ht="15">
      <c r="A45" s="595"/>
      <c r="B45" s="877">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3"/>
      <c r="M45" s="2135"/>
      <c r="N45" s="2135"/>
      <c r="O45" s="2142"/>
      <c r="P45" s="3249"/>
      <c r="Q45" s="1572">
        <f t="shared" si="8"/>
        <v>111</v>
      </c>
      <c r="R45" s="1573" t="s">
        <v>8</v>
      </c>
      <c r="S45" s="1574">
        <f t="shared" si="9"/>
        <v>100</v>
      </c>
      <c r="T45" s="1573" t="s">
        <v>8</v>
      </c>
      <c r="U45" s="1574">
        <f t="shared" si="10"/>
        <v>100</v>
      </c>
      <c r="V45" s="1573" t="s">
        <v>8</v>
      </c>
      <c r="W45" s="1574">
        <f t="shared" si="11"/>
        <v>100</v>
      </c>
      <c r="X45" s="1567"/>
      <c r="Y45" s="3249"/>
      <c r="Z45" s="1575">
        <f t="shared" si="12"/>
        <v>111</v>
      </c>
      <c r="AA45" s="1576">
        <f t="shared" si="3"/>
        <v>1</v>
      </c>
      <c r="AB45" s="1576">
        <f t="shared" si="4"/>
        <v>1</v>
      </c>
      <c r="AC45" s="1576">
        <f t="shared" si="5"/>
        <v>1</v>
      </c>
    </row>
    <row r="46" spans="1:29" ht="15.75" thickBot="1">
      <c r="A46" s="885"/>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3"/>
      <c r="M46" s="2135"/>
      <c r="N46" s="2135"/>
      <c r="O46" s="2142"/>
      <c r="P46" s="3250"/>
      <c r="Q46" s="1572">
        <f t="shared" si="8"/>
        <v>111</v>
      </c>
      <c r="R46" s="1573" t="s">
        <v>8</v>
      </c>
      <c r="S46" s="1574">
        <f t="shared" si="9"/>
        <v>100</v>
      </c>
      <c r="T46" s="1573" t="s">
        <v>8</v>
      </c>
      <c r="U46" s="1574">
        <f t="shared" si="10"/>
        <v>100</v>
      </c>
      <c r="V46" s="1573" t="s">
        <v>8</v>
      </c>
      <c r="W46" s="1574">
        <f t="shared" si="11"/>
        <v>100</v>
      </c>
      <c r="X46" s="1567"/>
      <c r="Y46" s="3250"/>
      <c r="Z46" s="1575">
        <f t="shared" si="12"/>
        <v>111</v>
      </c>
      <c r="AA46" s="1576">
        <f t="shared" si="3"/>
        <v>1</v>
      </c>
      <c r="AB46" s="1576">
        <f t="shared" si="4"/>
        <v>1</v>
      </c>
      <c r="AC46" s="1576">
        <f t="shared" si="5"/>
        <v>1</v>
      </c>
    </row>
    <row r="47" spans="1:29" ht="15">
      <c r="A47" s="608" t="s">
        <v>737</v>
      </c>
      <c r="B47" s="886"/>
      <c r="C47" s="2649" t="s">
        <v>1</v>
      </c>
      <c r="D47" s="2650"/>
      <c r="E47" s="2651"/>
      <c r="F47" s="2652"/>
      <c r="G47" s="2653"/>
      <c r="H47" s="2654"/>
      <c r="I47" s="2651"/>
      <c r="J47" s="2654"/>
      <c r="K47" s="1611"/>
      <c r="L47" s="2145"/>
      <c r="M47" s="2146"/>
      <c r="N47" s="2135"/>
      <c r="O47" s="2146"/>
      <c r="P47" s="3241" t="str">
        <f>A47</f>
        <v>成交单价（元/平方米）</v>
      </c>
      <c r="Q47" s="3241"/>
      <c r="R47" s="3242">
        <f>E47</f>
        <v>0</v>
      </c>
      <c r="S47" s="3242"/>
      <c r="T47" s="3242">
        <f>G47</f>
        <v>0</v>
      </c>
      <c r="U47" s="3242"/>
      <c r="V47" s="3242">
        <f>I47</f>
        <v>0</v>
      </c>
      <c r="W47" s="3242"/>
      <c r="X47" s="1559"/>
      <c r="Y47" s="1581"/>
      <c r="Z47" s="1559"/>
      <c r="AA47" s="1559"/>
      <c r="AB47" s="1559"/>
      <c r="AC47" s="1559"/>
    </row>
    <row r="48" spans="1:29" ht="15.75" thickBot="1">
      <c r="A48" s="616" t="s">
        <v>2768</v>
      </c>
      <c r="B48" s="887"/>
      <c r="C48" s="2655" t="e">
        <f>R49</f>
        <v>#DIV/0!</v>
      </c>
      <c r="D48" s="2656"/>
      <c r="E48" s="2657" t="e">
        <f>R48</f>
        <v>#DIV/0!</v>
      </c>
      <c r="F48" s="2657"/>
      <c r="G48" s="2655" t="e">
        <f>T48</f>
        <v>#DIV/0!</v>
      </c>
      <c r="H48" s="2656"/>
      <c r="I48" s="2657" t="e">
        <f>V48</f>
        <v>#DIV/0!</v>
      </c>
      <c r="J48" s="2656"/>
      <c r="K48" s="1612"/>
      <c r="L48" s="2145"/>
      <c r="M48" s="2146"/>
      <c r="N48" s="2135"/>
      <c r="O48" s="2146"/>
      <c r="P48" s="3241" t="str">
        <f>A48</f>
        <v>比较价格（元/平方米）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1559"/>
      <c r="Y48" s="1559"/>
      <c r="Z48" s="1559"/>
      <c r="AA48" s="1559"/>
      <c r="AB48" s="1559"/>
      <c r="AC48" s="1559"/>
    </row>
    <row r="49" spans="1:29" ht="15.75" thickBot="1">
      <c r="A49" s="622" t="s">
        <v>2943</v>
      </c>
      <c r="B49" s="623"/>
      <c r="C49" s="2658" t="e">
        <f>R49</f>
        <v>#DIV/0!</v>
      </c>
      <c r="D49" s="2658"/>
      <c r="E49" s="2658"/>
      <c r="F49" s="2658"/>
      <c r="G49" s="2658"/>
      <c r="H49" s="2658"/>
      <c r="I49" s="2658"/>
      <c r="J49" s="2658"/>
      <c r="K49" s="1613"/>
      <c r="L49" s="2145"/>
      <c r="M49" s="2146"/>
      <c r="N49" s="2135"/>
      <c r="O49" s="2146"/>
      <c r="P49" s="3243" t="str">
        <f>A49</f>
        <v>估价对象XX用房的比较价格（楼面单价，元/平方米）</v>
      </c>
      <c r="Q49" s="3244"/>
      <c r="R49" s="3245" t="e">
        <f>IF(F1="售价",ROUND(AVERAGE(R48:V48),0),ROUND(AVERAGE(R48:V48),1))</f>
        <v>#DIV/0!</v>
      </c>
      <c r="S49" s="3245"/>
      <c r="T49" s="3245"/>
      <c r="U49" s="3245"/>
      <c r="V49" s="3245"/>
      <c r="W49" s="324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6" t="s">
        <v>530</v>
      </c>
      <c r="B58" s="647"/>
      <c r="C58" s="2826"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1"/>
      <c r="Q58" s="2162"/>
      <c r="R58" s="2162"/>
      <c r="S58" s="2162"/>
      <c r="T58" s="2162"/>
      <c r="U58" s="2162"/>
      <c r="V58" s="2162"/>
      <c r="W58" s="2162"/>
      <c r="X58" s="2162"/>
      <c r="Y58" s="2162"/>
      <c r="Z58" s="2162"/>
      <c r="AA58" s="2162"/>
      <c r="AB58" s="2162"/>
      <c r="AC58" s="2162"/>
    </row>
    <row r="59" spans="1:29" s="1219" customFormat="1" ht="15">
      <c r="A59" s="648"/>
      <c r="B59" s="649"/>
      <c r="C59" s="650">
        <v>100</v>
      </c>
      <c r="D59" s="651"/>
      <c r="E59" s="651"/>
      <c r="F59" s="651"/>
      <c r="G59" s="651"/>
      <c r="H59" s="651"/>
      <c r="I59" s="651"/>
      <c r="J59" s="651"/>
      <c r="K59" s="651"/>
      <c r="L59" s="651"/>
      <c r="M59" s="652"/>
      <c r="N59" s="651"/>
      <c r="O59" s="653"/>
      <c r="P59" s="2159"/>
      <c r="Q59" s="1994"/>
      <c r="R59" s="1994"/>
      <c r="S59" s="1994"/>
      <c r="T59" s="1994"/>
      <c r="U59" s="1994"/>
      <c r="V59" s="1994"/>
      <c r="W59" s="1994"/>
      <c r="X59" s="1994"/>
      <c r="Y59" s="1994"/>
      <c r="Z59" s="1994"/>
      <c r="AA59" s="1994"/>
      <c r="AB59" s="1994"/>
      <c r="AC59" s="1994"/>
    </row>
    <row r="60" spans="1:29" s="1219"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19"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19" customFormat="1" ht="15.75" thickBot="1">
      <c r="A62" s="660"/>
      <c r="B62" s="649"/>
      <c r="C62" s="888">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204"/>
    </row>
    <row r="63" spans="1:29">
      <c r="A63" s="665" t="s">
        <v>578</v>
      </c>
      <c r="B63" s="666" t="s">
        <v>535</v>
      </c>
      <c r="C63" s="705">
        <f>C9</f>
        <v>0</v>
      </c>
      <c r="D63" s="599"/>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c r="E64" s="672"/>
      <c r="F64" s="672"/>
      <c r="G64" s="672"/>
      <c r="H64" s="672"/>
      <c r="I64" s="672"/>
      <c r="J64" s="672"/>
      <c r="K64" s="672"/>
      <c r="L64" s="672"/>
      <c r="M64" s="673"/>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（含）-</v>
      </c>
      <c r="D67" s="683" t="str">
        <f t="shared" ref="D67:L67" si="14">D68&amp;"（含）"&amp;"-"&amp;E68</f>
        <v>（含）-</v>
      </c>
      <c r="E67" s="683" t="str">
        <f t="shared" si="14"/>
        <v>（含）-</v>
      </c>
      <c r="F67" s="683" t="str">
        <f t="shared" si="14"/>
        <v>（含）-</v>
      </c>
      <c r="G67" s="683" t="str">
        <f t="shared" si="14"/>
        <v>（含）-</v>
      </c>
      <c r="H67" s="683" t="str">
        <f t="shared" si="14"/>
        <v>（含）-</v>
      </c>
      <c r="I67" s="683" t="str">
        <f t="shared" si="14"/>
        <v>（含）-</v>
      </c>
      <c r="J67" s="683" t="str">
        <f t="shared" si="14"/>
        <v>（含）-</v>
      </c>
      <c r="K67" s="683" t="str">
        <f t="shared" si="14"/>
        <v>（含）-</v>
      </c>
      <c r="L67" s="683" t="str">
        <f t="shared" si="14"/>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c r="D68" s="542"/>
      <c r="E68" s="542"/>
      <c r="F68" s="542"/>
      <c r="G68" s="542"/>
      <c r="H68" s="542"/>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5">C69-$K11</f>
        <v>100</v>
      </c>
      <c r="E69" s="680">
        <f t="shared" si="15"/>
        <v>100</v>
      </c>
      <c r="F69" s="680">
        <f t="shared" si="15"/>
        <v>100</v>
      </c>
      <c r="G69" s="680">
        <f t="shared" si="15"/>
        <v>100</v>
      </c>
      <c r="H69" s="680">
        <f t="shared" si="15"/>
        <v>100</v>
      </c>
      <c r="I69" s="680">
        <f t="shared" si="15"/>
        <v>100</v>
      </c>
      <c r="J69" s="680">
        <f t="shared" si="15"/>
        <v>100</v>
      </c>
      <c r="K69" s="680">
        <f t="shared" si="15"/>
        <v>100</v>
      </c>
      <c r="L69" s="680">
        <f t="shared" si="15"/>
        <v>100</v>
      </c>
      <c r="M69" s="681">
        <f t="shared" si="15"/>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8"/>
      <c r="B70" s="674">
        <f>B12</f>
        <v>111</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8"/>
      <c r="B72" s="674">
        <f>B13</f>
        <v>111</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8"/>
      <c r="B73" s="679"/>
      <c r="C73" s="693"/>
      <c r="D73" s="672"/>
      <c r="E73" s="672"/>
      <c r="F73" s="672"/>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8"/>
      <c r="B74" s="682">
        <f>B14</f>
        <v>111</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2563</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19" t="s">
        <v>2564</v>
      </c>
      <c r="C82" s="2620" t="s">
        <v>2565</v>
      </c>
      <c r="D82" s="2620" t="s">
        <v>2566</v>
      </c>
      <c r="E82" s="2620" t="s">
        <v>2567</v>
      </c>
      <c r="F82" s="2620" t="s">
        <v>2568</v>
      </c>
      <c r="G82" s="2620" t="s">
        <v>2569</v>
      </c>
      <c r="H82" s="675"/>
      <c r="I82" s="675"/>
      <c r="J82" s="675"/>
      <c r="K82" s="675"/>
      <c r="L82" s="675"/>
      <c r="M82" s="2623"/>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100</v>
      </c>
      <c r="E83" s="680">
        <f>D83-$K21</f>
        <v>100</v>
      </c>
      <c r="F83" s="680">
        <f>E83-$K21</f>
        <v>100</v>
      </c>
      <c r="G83" s="680">
        <f>F83-$K21</f>
        <v>100</v>
      </c>
      <c r="H83" s="934"/>
      <c r="I83" s="934"/>
      <c r="J83" s="934"/>
      <c r="K83" s="934"/>
      <c r="L83" s="934"/>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19" customFormat="1" ht="15.75" thickTop="1">
      <c r="A86" s="710"/>
      <c r="B86" s="674" t="s">
        <v>772</v>
      </c>
      <c r="C86" s="689"/>
      <c r="D86" s="689"/>
      <c r="E86" s="689"/>
      <c r="F86" s="689"/>
      <c r="G86" s="689"/>
      <c r="H86" s="689"/>
      <c r="I86" s="689"/>
      <c r="J86" s="689"/>
      <c r="K86" s="689"/>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10"/>
      <c r="B87" s="679"/>
      <c r="C87" s="713">
        <v>100</v>
      </c>
      <c r="D87" s="680">
        <f t="shared" ref="D87:M87" si="16">C87-$K25</f>
        <v>100</v>
      </c>
      <c r="E87" s="680">
        <f t="shared" si="16"/>
        <v>100</v>
      </c>
      <c r="F87" s="680">
        <f t="shared" si="16"/>
        <v>100</v>
      </c>
      <c r="G87" s="680">
        <f t="shared" si="16"/>
        <v>100</v>
      </c>
      <c r="H87" s="680">
        <f t="shared" si="16"/>
        <v>100</v>
      </c>
      <c r="I87" s="680">
        <f t="shared" si="16"/>
        <v>100</v>
      </c>
      <c r="J87" s="680">
        <f t="shared" si="16"/>
        <v>100</v>
      </c>
      <c r="K87" s="680">
        <f t="shared" si="16"/>
        <v>100</v>
      </c>
      <c r="L87" s="680">
        <f t="shared" si="16"/>
        <v>100</v>
      </c>
      <c r="M87" s="680">
        <f t="shared" si="16"/>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10"/>
      <c r="B88" s="674" t="str">
        <f>B26</f>
        <v>平面位置/可视性</v>
      </c>
      <c r="C88" s="689"/>
      <c r="D88" s="689"/>
      <c r="E88" s="689"/>
      <c r="F88" s="891"/>
      <c r="G88" s="689"/>
      <c r="H88" s="689"/>
      <c r="I88" s="689"/>
      <c r="J88" s="689"/>
      <c r="K88" s="689"/>
      <c r="L88" s="689"/>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10"/>
      <c r="B89" s="679"/>
      <c r="C89" s="693"/>
      <c r="D89" s="672"/>
      <c r="E89" s="672"/>
      <c r="F89" s="672"/>
      <c r="G89" s="672"/>
      <c r="H89" s="672"/>
      <c r="I89" s="672"/>
      <c r="J89" s="672"/>
      <c r="K89" s="672"/>
      <c r="L89" s="672"/>
      <c r="M89" s="672"/>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8"/>
      <c r="B90" s="674" t="str">
        <f>B27</f>
        <v>人流量</v>
      </c>
      <c r="C90" s="689"/>
      <c r="D90" s="689"/>
      <c r="E90" s="689"/>
      <c r="F90" s="689"/>
      <c r="G90" s="689"/>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8"/>
      <c r="B91" s="679"/>
      <c r="C91" s="713">
        <v>100</v>
      </c>
      <c r="D91" s="680">
        <f>C91-$K27</f>
        <v>100</v>
      </c>
      <c r="E91" s="680">
        <f t="shared" ref="E91:M91" si="17">D91-$K27</f>
        <v>100</v>
      </c>
      <c r="F91" s="680">
        <f t="shared" si="17"/>
        <v>100</v>
      </c>
      <c r="G91" s="680">
        <f t="shared" si="17"/>
        <v>100</v>
      </c>
      <c r="H91" s="680">
        <f t="shared" si="17"/>
        <v>100</v>
      </c>
      <c r="I91" s="680">
        <f t="shared" si="17"/>
        <v>100</v>
      </c>
      <c r="J91" s="680">
        <f t="shared" si="17"/>
        <v>100</v>
      </c>
      <c r="K91" s="680">
        <f t="shared" si="17"/>
        <v>100</v>
      </c>
      <c r="L91" s="680">
        <f t="shared" si="17"/>
        <v>100</v>
      </c>
      <c r="M91" s="680">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70"/>
      <c r="B92" s="674" t="str">
        <f>B28</f>
        <v>楼层</v>
      </c>
      <c r="C92" s="689"/>
      <c r="D92" s="689"/>
      <c r="E92" s="689"/>
      <c r="F92" s="689"/>
      <c r="G92" s="689"/>
      <c r="H92" s="689"/>
      <c r="I92" s="689"/>
      <c r="J92" s="689"/>
      <c r="K92" s="689"/>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72"/>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111</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72"/>
      <c r="E95" s="672"/>
      <c r="F95" s="672"/>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111</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93"/>
      <c r="D97" s="672"/>
      <c r="E97" s="672"/>
      <c r="F97" s="672"/>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111</v>
      </c>
      <c r="C98" s="689"/>
      <c r="D98" s="689"/>
      <c r="E98" s="689"/>
      <c r="F98" s="689"/>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2"/>
      <c r="B99" s="700"/>
      <c r="C99" s="701"/>
      <c r="D99" s="701"/>
      <c r="E99" s="701"/>
      <c r="F99" s="701"/>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773</v>
      </c>
      <c r="C100" s="599"/>
      <c r="D100" s="599"/>
      <c r="E100" s="599"/>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18">C101-$K32</f>
        <v>100</v>
      </c>
      <c r="E101" s="680">
        <f t="shared" si="18"/>
        <v>100</v>
      </c>
      <c r="F101" s="680">
        <f t="shared" si="18"/>
        <v>100</v>
      </c>
      <c r="G101" s="680">
        <f t="shared" si="18"/>
        <v>100</v>
      </c>
      <c r="H101" s="680">
        <f t="shared" si="18"/>
        <v>100</v>
      </c>
      <c r="I101" s="680">
        <f t="shared" si="18"/>
        <v>100</v>
      </c>
      <c r="J101" s="680">
        <f t="shared" si="18"/>
        <v>100</v>
      </c>
      <c r="K101" s="680">
        <f t="shared" si="18"/>
        <v>100</v>
      </c>
      <c r="L101" s="680">
        <f t="shared" si="18"/>
        <v>100</v>
      </c>
      <c r="M101" s="681">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0"/>
      <c r="B102" s="674" t="s">
        <v>749</v>
      </c>
      <c r="C102" s="709" t="str">
        <f>C103&amp;"(含)"&amp;"-"&amp;D103</f>
        <v>(含)-</v>
      </c>
      <c r="D102" s="709" t="str">
        <f t="shared" ref="D102:L102" si="19">D103&amp;"(含)"&amp;"-"&amp;E103</f>
        <v>(含)-</v>
      </c>
      <c r="E102" s="709" t="str">
        <f t="shared" si="19"/>
        <v>(含)-</v>
      </c>
      <c r="F102" s="709" t="str">
        <f t="shared" si="19"/>
        <v>(含)-</v>
      </c>
      <c r="G102" s="709" t="str">
        <f t="shared" si="19"/>
        <v>(含)-</v>
      </c>
      <c r="H102" s="709" t="str">
        <f t="shared" si="19"/>
        <v>(含)-</v>
      </c>
      <c r="I102" s="709" t="str">
        <f t="shared" si="19"/>
        <v>(含)-</v>
      </c>
      <c r="J102" s="709" t="str">
        <f t="shared" si="19"/>
        <v>(含)-</v>
      </c>
      <c r="K102" s="709" t="str">
        <f t="shared" si="19"/>
        <v>(含)-</v>
      </c>
      <c r="L102" s="709" t="str">
        <f t="shared" si="19"/>
        <v>(含)-</v>
      </c>
      <c r="M102" s="712"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9"/>
      <c r="B103" s="730"/>
      <c r="C103" s="731"/>
      <c r="D103" s="731"/>
      <c r="E103" s="731"/>
      <c r="F103" s="731"/>
      <c r="G103" s="731"/>
      <c r="H103" s="731"/>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8"/>
      <c r="B104" s="679"/>
      <c r="C104" s="693"/>
      <c r="D104" s="672"/>
      <c r="E104" s="672"/>
      <c r="F104" s="672"/>
      <c r="G104" s="672"/>
      <c r="H104" s="672"/>
      <c r="I104" s="672"/>
      <c r="J104" s="672"/>
      <c r="K104" s="672"/>
      <c r="L104" s="672"/>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c r="D105" s="689"/>
      <c r="E105" s="719"/>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0">C106-$K34</f>
        <v>100</v>
      </c>
      <c r="E106" s="680">
        <f t="shared" si="20"/>
        <v>100</v>
      </c>
      <c r="F106" s="680">
        <f t="shared" si="20"/>
        <v>100</v>
      </c>
      <c r="G106" s="680">
        <f t="shared" si="20"/>
        <v>100</v>
      </c>
      <c r="H106" s="680">
        <f t="shared" si="20"/>
        <v>100</v>
      </c>
      <c r="I106" s="680">
        <f t="shared" si="20"/>
        <v>100</v>
      </c>
      <c r="J106" s="680">
        <f t="shared" si="20"/>
        <v>100</v>
      </c>
      <c r="K106" s="680">
        <f t="shared" si="20"/>
        <v>100</v>
      </c>
      <c r="L106" s="680">
        <f t="shared" si="20"/>
        <v>100</v>
      </c>
      <c r="M106" s="681">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752</v>
      </c>
      <c r="C107" s="689"/>
      <c r="D107" s="689"/>
      <c r="E107" s="68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1">C108-$K35</f>
        <v>100</v>
      </c>
      <c r="E108" s="680">
        <f t="shared" si="21"/>
        <v>100</v>
      </c>
      <c r="F108" s="680">
        <f t="shared" si="21"/>
        <v>100</v>
      </c>
      <c r="G108" s="680">
        <f t="shared" si="21"/>
        <v>100</v>
      </c>
      <c r="H108" s="680">
        <f t="shared" si="21"/>
        <v>100</v>
      </c>
      <c r="I108" s="680">
        <f t="shared" si="21"/>
        <v>100</v>
      </c>
      <c r="J108" s="680">
        <f t="shared" si="21"/>
        <v>100</v>
      </c>
      <c r="K108" s="680">
        <f t="shared" si="21"/>
        <v>100</v>
      </c>
      <c r="L108" s="680">
        <f t="shared" si="21"/>
        <v>100</v>
      </c>
      <c r="M108" s="681">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c r="A110" s="736"/>
      <c r="B110" s="682"/>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13">
        <v>100</v>
      </c>
      <c r="D111" s="680">
        <f>C111+$K36</f>
        <v>100</v>
      </c>
      <c r="E111" s="680">
        <f t="shared" ref="E111:M111" si="22">D111+$K36</f>
        <v>100</v>
      </c>
      <c r="F111" s="680">
        <f t="shared" si="22"/>
        <v>100</v>
      </c>
      <c r="G111" s="680">
        <f t="shared" si="22"/>
        <v>100</v>
      </c>
      <c r="H111" s="680">
        <f t="shared" si="22"/>
        <v>100</v>
      </c>
      <c r="I111" s="680">
        <f t="shared" si="22"/>
        <v>100</v>
      </c>
      <c r="J111" s="680">
        <f t="shared" si="22"/>
        <v>100</v>
      </c>
      <c r="K111" s="680">
        <f t="shared" si="22"/>
        <v>100</v>
      </c>
      <c r="L111" s="680">
        <f t="shared" si="22"/>
        <v>100</v>
      </c>
      <c r="M111" s="680">
        <f t="shared" si="22"/>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9"/>
      <c r="B112" s="1897" t="s">
        <v>2562</v>
      </c>
      <c r="C112" s="689"/>
      <c r="D112" s="689"/>
      <c r="E112" s="689"/>
      <c r="F112" s="689"/>
      <c r="G112" s="689"/>
      <c r="H112" s="719"/>
      <c r="I112" s="719"/>
      <c r="J112" s="719"/>
      <c r="K112" s="720"/>
      <c r="L112" s="721"/>
      <c r="M112" s="722"/>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8"/>
      <c r="B113" s="679"/>
      <c r="C113" s="680">
        <v>100</v>
      </c>
      <c r="D113" s="680">
        <f>C113-$K37</f>
        <v>100</v>
      </c>
      <c r="E113" s="680">
        <f t="shared" ref="E113:M113" si="23">D113-$K37</f>
        <v>100</v>
      </c>
      <c r="F113" s="680">
        <f t="shared" si="23"/>
        <v>100</v>
      </c>
      <c r="G113" s="680">
        <f t="shared" si="23"/>
        <v>100</v>
      </c>
      <c r="H113" s="680">
        <f t="shared" si="23"/>
        <v>100</v>
      </c>
      <c r="I113" s="680">
        <f t="shared" si="23"/>
        <v>100</v>
      </c>
      <c r="J113" s="680">
        <f t="shared" si="23"/>
        <v>100</v>
      </c>
      <c r="K113" s="680">
        <f t="shared" si="23"/>
        <v>100</v>
      </c>
      <c r="L113" s="680">
        <f t="shared" si="23"/>
        <v>100</v>
      </c>
      <c r="M113" s="680">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774</v>
      </c>
      <c r="C114" s="689"/>
      <c r="D114" s="689"/>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4">C115-$K38</f>
        <v>100</v>
      </c>
      <c r="E115" s="680">
        <f t="shared" si="24"/>
        <v>100</v>
      </c>
      <c r="F115" s="680">
        <f t="shared" si="24"/>
        <v>100</v>
      </c>
      <c r="G115" s="680">
        <f t="shared" si="24"/>
        <v>100</v>
      </c>
      <c r="H115" s="680">
        <f t="shared" si="24"/>
        <v>100</v>
      </c>
      <c r="I115" s="680">
        <f t="shared" si="24"/>
        <v>100</v>
      </c>
      <c r="J115" s="680">
        <f t="shared" si="24"/>
        <v>100</v>
      </c>
      <c r="K115" s="680">
        <f t="shared" si="24"/>
        <v>100</v>
      </c>
      <c r="L115" s="680">
        <f t="shared" si="24"/>
        <v>100</v>
      </c>
      <c r="M115" s="681">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674" t="s">
        <v>775</v>
      </c>
      <c r="C116" s="689"/>
      <c r="D116" s="689"/>
      <c r="E116" s="689"/>
      <c r="F116" s="689"/>
      <c r="G116" s="68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776</v>
      </c>
      <c r="C118" s="908"/>
      <c r="D118" s="908"/>
      <c r="E118" s="908"/>
      <c r="F118" s="908"/>
      <c r="G118" s="908"/>
      <c r="H118" s="690"/>
      <c r="I118" s="690"/>
      <c r="J118" s="690"/>
      <c r="K118" s="690"/>
      <c r="L118" s="691"/>
      <c r="M118" s="69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9"/>
      <c r="B120" s="674" t="s">
        <v>777</v>
      </c>
      <c r="C120" s="719"/>
      <c r="D120" s="719"/>
      <c r="E120" s="719"/>
      <c r="F120" s="719"/>
      <c r="G120" s="690"/>
      <c r="H120" s="690"/>
      <c r="I120" s="690"/>
      <c r="J120" s="690"/>
      <c r="K120" s="690"/>
      <c r="L120" s="691"/>
      <c r="M120" s="692"/>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8"/>
      <c r="B121" s="671"/>
      <c r="C121" s="713">
        <v>100</v>
      </c>
      <c r="D121" s="680">
        <f>C121-$K41</f>
        <v>100</v>
      </c>
      <c r="E121" s="680">
        <f t="shared" ref="E121:M121" si="25">D121-$K41</f>
        <v>100</v>
      </c>
      <c r="F121" s="680">
        <f t="shared" si="25"/>
        <v>100</v>
      </c>
      <c r="G121" s="680">
        <f t="shared" si="25"/>
        <v>100</v>
      </c>
      <c r="H121" s="680">
        <f t="shared" si="25"/>
        <v>100</v>
      </c>
      <c r="I121" s="680">
        <f t="shared" si="25"/>
        <v>100</v>
      </c>
      <c r="J121" s="680">
        <f t="shared" si="25"/>
        <v>100</v>
      </c>
      <c r="K121" s="680">
        <f t="shared" si="25"/>
        <v>100</v>
      </c>
      <c r="L121" s="680">
        <f t="shared" si="25"/>
        <v>100</v>
      </c>
      <c r="M121" s="681">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c r="D122" s="689"/>
      <c r="E122" s="689"/>
      <c r="F122" s="719"/>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6">C123-$K42</f>
        <v>100</v>
      </c>
      <c r="E123" s="680">
        <f t="shared" si="26"/>
        <v>100</v>
      </c>
      <c r="F123" s="680">
        <f t="shared" si="26"/>
        <v>100</v>
      </c>
      <c r="G123" s="680">
        <f t="shared" si="26"/>
        <v>100</v>
      </c>
      <c r="H123" s="680">
        <f t="shared" si="26"/>
        <v>100</v>
      </c>
      <c r="I123" s="680">
        <f t="shared" si="26"/>
        <v>100</v>
      </c>
      <c r="J123" s="680">
        <f t="shared" si="26"/>
        <v>100</v>
      </c>
      <c r="K123" s="680">
        <f t="shared" si="26"/>
        <v>100</v>
      </c>
      <c r="L123" s="680">
        <f t="shared" si="26"/>
        <v>100</v>
      </c>
      <c r="M123" s="681">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9"/>
      <c r="B126" s="674">
        <f>B44</f>
        <v>111</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111</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72"/>
      <c r="E129" s="672"/>
      <c r="F129" s="672"/>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111</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505" t="s">
        <v>778</v>
      </c>
      <c r="C1" s="506" t="s">
        <v>721</v>
      </c>
      <c r="D1" s="850"/>
      <c r="E1" s="508"/>
      <c r="F1" s="2831"/>
      <c r="G1" s="1601" t="s">
        <v>722</v>
      </c>
      <c r="H1" s="508"/>
      <c r="I1" s="508"/>
      <c r="J1" s="508"/>
      <c r="K1" s="509"/>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5" t="s">
        <v>467</v>
      </c>
      <c r="B2" s="851"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11" t="s">
        <v>520</v>
      </c>
      <c r="B3" s="512" t="e">
        <f>C50</f>
        <v>#DIV/0!</v>
      </c>
      <c r="C3" s="853" t="s">
        <v>723</v>
      </c>
      <c r="D3" s="852">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4" t="s">
        <v>522</v>
      </c>
      <c r="B4" s="515"/>
      <c r="C4" s="3265" t="s">
        <v>523</v>
      </c>
      <c r="D4" s="3266"/>
      <c r="E4" s="3267" t="s">
        <v>524</v>
      </c>
      <c r="F4" s="3268"/>
      <c r="G4" s="3265" t="s">
        <v>525</v>
      </c>
      <c r="H4" s="3266"/>
      <c r="I4" s="3265" t="s">
        <v>526</v>
      </c>
      <c r="J4" s="3266"/>
      <c r="K4" s="516" t="s">
        <v>527</v>
      </c>
      <c r="L4" s="2134"/>
      <c r="M4" s="2135"/>
      <c r="N4" s="2135"/>
      <c r="O4" s="2135"/>
      <c r="P4" s="3507" t="s">
        <v>528</v>
      </c>
      <c r="Q4" s="3270"/>
      <c r="R4" s="3255" t="s">
        <v>524</v>
      </c>
      <c r="S4" s="3256"/>
      <c r="T4" s="3255" t="s">
        <v>525</v>
      </c>
      <c r="U4" s="3256"/>
      <c r="V4" s="3254" t="s">
        <v>526</v>
      </c>
      <c r="W4" s="3254"/>
      <c r="X4" s="1567"/>
      <c r="Y4" s="3255" t="s">
        <v>528</v>
      </c>
      <c r="Z4" s="3256"/>
      <c r="AA4" s="3261" t="s">
        <v>524</v>
      </c>
      <c r="AB4" s="3261" t="s">
        <v>525</v>
      </c>
      <c r="AC4" s="3261" t="s">
        <v>526</v>
      </c>
    </row>
    <row r="5" spans="1:29" ht="15">
      <c r="A5" s="517"/>
      <c r="B5" s="518"/>
      <c r="C5" s="3275" t="s">
        <v>2937</v>
      </c>
      <c r="D5" s="3276"/>
      <c r="E5" s="3436" t="s">
        <v>2938</v>
      </c>
      <c r="F5" s="3437"/>
      <c r="G5" s="3275" t="s">
        <v>2939</v>
      </c>
      <c r="H5" s="3276"/>
      <c r="I5" s="3275" t="s">
        <v>2940</v>
      </c>
      <c r="J5" s="3276"/>
      <c r="K5" s="516"/>
      <c r="L5" s="2134"/>
      <c r="M5" s="2135"/>
      <c r="N5" s="2135"/>
      <c r="O5" s="2135"/>
      <c r="P5" s="3508"/>
      <c r="Q5" s="3272"/>
      <c r="R5" s="3257"/>
      <c r="S5" s="3258"/>
      <c r="T5" s="3257"/>
      <c r="U5" s="3258"/>
      <c r="V5" s="3254"/>
      <c r="W5" s="3254"/>
      <c r="X5" s="1567"/>
      <c r="Y5" s="3257"/>
      <c r="Z5" s="3258"/>
      <c r="AA5" s="3262"/>
      <c r="AB5" s="3262"/>
      <c r="AC5" s="3262"/>
    </row>
    <row r="6" spans="1:29" ht="15.75" thickBot="1">
      <c r="A6" s="519"/>
      <c r="B6" s="520"/>
      <c r="C6" s="3281" t="s">
        <v>2941</v>
      </c>
      <c r="D6" s="3282"/>
      <c r="E6" s="3434" t="s">
        <v>2941</v>
      </c>
      <c r="F6" s="3435"/>
      <c r="G6" s="3281" t="s">
        <v>2941</v>
      </c>
      <c r="H6" s="3282"/>
      <c r="I6" s="3281" t="s">
        <v>2941</v>
      </c>
      <c r="J6" s="3282"/>
      <c r="K6" s="516" t="s">
        <v>529</v>
      </c>
      <c r="L6" s="2134"/>
      <c r="M6" s="2135"/>
      <c r="N6" s="2135"/>
      <c r="O6" s="2135"/>
      <c r="P6" s="3509"/>
      <c r="Q6" s="3274"/>
      <c r="R6" s="3257"/>
      <c r="S6" s="3258"/>
      <c r="T6" s="3259"/>
      <c r="U6" s="3260"/>
      <c r="V6" s="3254"/>
      <c r="W6" s="3254"/>
      <c r="X6" s="1567"/>
      <c r="Y6" s="3259"/>
      <c r="Z6" s="3260"/>
      <c r="AA6" s="3263"/>
      <c r="AB6" s="3263"/>
      <c r="AC6" s="3263"/>
    </row>
    <row r="7" spans="1:29" s="1219" customFormat="1" ht="15.75" thickBot="1">
      <c r="A7" s="2936"/>
      <c r="B7" s="2943" t="s">
        <v>530</v>
      </c>
      <c r="C7" s="521">
        <f>'数据-取费表'!B2</f>
        <v>43187</v>
      </c>
      <c r="D7" s="522">
        <v>100</v>
      </c>
      <c r="E7" s="523"/>
      <c r="F7" s="524">
        <f>SUMIF(59:59,YEAR(E7)&amp;"-"&amp;MONTH(E7),60:60)</f>
        <v>0</v>
      </c>
      <c r="G7" s="523"/>
      <c r="H7" s="522">
        <f>SUMIF(59:59,YEAR(G7)&amp;"-"&amp;MONTH(G7),60:60)</f>
        <v>0</v>
      </c>
      <c r="I7" s="523"/>
      <c r="J7" s="522">
        <f>SUMIF(59:59,YEAR(I7)&amp;"-"&amp;MONTH(I7),60:60)</f>
        <v>0</v>
      </c>
      <c r="K7" s="526"/>
      <c r="L7" s="2136"/>
      <c r="M7" s="2137"/>
      <c r="N7" s="2137"/>
      <c r="O7" s="2137"/>
      <c r="P7" s="3264" t="s">
        <v>531</v>
      </c>
      <c r="Q7" s="3264"/>
      <c r="R7" s="1568" t="s">
        <v>8</v>
      </c>
      <c r="S7" s="1569">
        <f t="shared" ref="S7:S15" si="0">F7</f>
        <v>0</v>
      </c>
      <c r="T7" s="1568" t="s">
        <v>8</v>
      </c>
      <c r="U7" s="1569">
        <f t="shared" ref="U7:U15" si="1">H7</f>
        <v>0</v>
      </c>
      <c r="V7" s="1568" t="s">
        <v>8</v>
      </c>
      <c r="W7" s="1569">
        <f t="shared" ref="W7:W15" si="2">J7</f>
        <v>0</v>
      </c>
      <c r="X7" s="1570"/>
      <c r="Y7" s="3251" t="s">
        <v>531</v>
      </c>
      <c r="Z7" s="3252"/>
      <c r="AA7" s="1571" t="e">
        <f>D7/F7</f>
        <v>#DIV/0!</v>
      </c>
      <c r="AB7" s="1571" t="e">
        <f>D7/H7</f>
        <v>#DIV/0!</v>
      </c>
      <c r="AC7" s="1571" t="e">
        <f>D7/J7</f>
        <v>#DIV/0!</v>
      </c>
    </row>
    <row r="8" spans="1:29" s="1219" customFormat="1" ht="15.75" thickBot="1">
      <c r="A8" s="2937"/>
      <c r="B8" s="2944" t="s">
        <v>532</v>
      </c>
      <c r="C8" s="527" t="s">
        <v>577</v>
      </c>
      <c r="D8" s="522">
        <v>100</v>
      </c>
      <c r="E8" s="527"/>
      <c r="F8" s="524">
        <f>SUMIF(62:62,E8,63:63)-SUMIF(62:62,C8,63:63)+100</f>
        <v>0</v>
      </c>
      <c r="G8" s="527"/>
      <c r="H8" s="522">
        <f>SUMIF(62:62,G8,63:63)-SUMIF(62:62,C8,63:63)+100</f>
        <v>0</v>
      </c>
      <c r="I8" s="527"/>
      <c r="J8" s="522">
        <f>SUMIF(62:62,I8,63:63)-SUMIF(62:62,C8,63:63)+100</f>
        <v>0</v>
      </c>
      <c r="K8" s="526"/>
      <c r="L8" s="2136"/>
      <c r="M8" s="2137"/>
      <c r="N8" s="2137"/>
      <c r="O8" s="2137"/>
      <c r="P8" s="3264" t="s">
        <v>534</v>
      </c>
      <c r="Q8" s="3252"/>
      <c r="R8" s="1568" t="s">
        <v>8</v>
      </c>
      <c r="S8" s="1569">
        <f t="shared" si="0"/>
        <v>0</v>
      </c>
      <c r="T8" s="1568" t="s">
        <v>8</v>
      </c>
      <c r="U8" s="1569">
        <f t="shared" si="1"/>
        <v>0</v>
      </c>
      <c r="V8" s="1568" t="s">
        <v>8</v>
      </c>
      <c r="W8" s="1569">
        <f t="shared" si="2"/>
        <v>0</v>
      </c>
      <c r="X8" s="1570"/>
      <c r="Y8" s="3251" t="s">
        <v>534</v>
      </c>
      <c r="Z8" s="3252"/>
      <c r="AA8" s="1571" t="e">
        <f t="shared" ref="AA8:AA47" si="3">D8/F8</f>
        <v>#DIV/0!</v>
      </c>
      <c r="AB8" s="1571" t="e">
        <f t="shared" ref="AB8:AB47" si="4">D8/H8</f>
        <v>#DIV/0!</v>
      </c>
      <c r="AC8" s="1571" t="e">
        <f t="shared" ref="AC8:AC47" si="5">D8/J8</f>
        <v>#DIV/0!</v>
      </c>
    </row>
    <row r="9" spans="1:29" s="1219" customFormat="1" ht="15">
      <c r="A9" s="2938"/>
      <c r="B9" s="2945" t="s">
        <v>2764</v>
      </c>
      <c r="C9" s="858"/>
      <c r="D9" s="253">
        <v>100</v>
      </c>
      <c r="E9" s="861"/>
      <c r="F9" s="253">
        <f>SUMIF(64:64,E9,65:65)-SUMIF(64:64,C9,65:65)+100</f>
        <v>100</v>
      </c>
      <c r="G9" s="859"/>
      <c r="H9" s="253">
        <f>SUMIF(64:64,G9,65:65)-SUMIF(64:64,C9,65:65)+100</f>
        <v>100</v>
      </c>
      <c r="I9" s="859"/>
      <c r="J9" s="253">
        <f>SUMIF(64:64,I9,65:65)-SUMIF(64:64,C9,65:65)+100</f>
        <v>100</v>
      </c>
      <c r="K9" s="526"/>
      <c r="L9" s="2136"/>
      <c r="M9" s="2137"/>
      <c r="N9" s="2137"/>
      <c r="O9" s="2137"/>
      <c r="P9" s="3241" t="s">
        <v>536</v>
      </c>
      <c r="Q9" s="1150" t="str">
        <f t="shared" ref="Q9:Q15" si="6">B9</f>
        <v>用途</v>
      </c>
      <c r="R9" s="1568" t="s">
        <v>8</v>
      </c>
      <c r="S9" s="1569">
        <f t="shared" si="0"/>
        <v>100</v>
      </c>
      <c r="T9" s="1568" t="s">
        <v>8</v>
      </c>
      <c r="U9" s="1569">
        <f t="shared" si="1"/>
        <v>100</v>
      </c>
      <c r="V9" s="1568" t="s">
        <v>8</v>
      </c>
      <c r="W9" s="1569">
        <f t="shared" si="2"/>
        <v>100</v>
      </c>
      <c r="X9" s="1570"/>
      <c r="Y9" s="3253" t="s">
        <v>537</v>
      </c>
      <c r="Z9" s="1149" t="str">
        <f t="shared" ref="Z9:Z15" si="7">Q9</f>
        <v>用途</v>
      </c>
      <c r="AA9" s="1571">
        <f t="shared" si="3"/>
        <v>1</v>
      </c>
      <c r="AB9" s="1571">
        <f t="shared" si="4"/>
        <v>1</v>
      </c>
      <c r="AC9" s="1571">
        <f t="shared" si="5"/>
        <v>1</v>
      </c>
    </row>
    <row r="10" spans="1:29" s="1337" customFormat="1" ht="27">
      <c r="A10" s="2939"/>
      <c r="B10" s="2944" t="s">
        <v>2765</v>
      </c>
      <c r="C10" s="862"/>
      <c r="D10" s="254">
        <v>100</v>
      </c>
      <c r="E10" s="862"/>
      <c r="F10" s="254">
        <f>SUMIF(66:66,E10,67:67)-SUMIF(66:66,C10,67:67)+100</f>
        <v>100</v>
      </c>
      <c r="G10" s="863"/>
      <c r="H10" s="254">
        <f>SUMIF(66:66,G10,67:67)-SUMIF(66:66,C10,67:67)+100</f>
        <v>100</v>
      </c>
      <c r="I10" s="862"/>
      <c r="J10" s="254">
        <f>SUMIF(66:66,I10,67:67)-SUMIF(66:66,C10,67:67)+100</f>
        <v>100</v>
      </c>
      <c r="K10" s="585"/>
      <c r="L10" s="2139"/>
      <c r="M10" s="2179"/>
      <c r="N10" s="2179"/>
      <c r="O10" s="2179"/>
      <c r="P10" s="3241"/>
      <c r="Q10" s="1150" t="str">
        <f t="shared" si="6"/>
        <v>土地使用年限（年）</v>
      </c>
      <c r="R10" s="1568" t="s">
        <v>8</v>
      </c>
      <c r="S10" s="1569">
        <f t="shared" si="0"/>
        <v>100</v>
      </c>
      <c r="T10" s="1568" t="s">
        <v>8</v>
      </c>
      <c r="U10" s="1569">
        <f t="shared" si="1"/>
        <v>100</v>
      </c>
      <c r="V10" s="1568" t="s">
        <v>8</v>
      </c>
      <c r="W10" s="1569">
        <f t="shared" si="2"/>
        <v>100</v>
      </c>
      <c r="X10" s="1570"/>
      <c r="Y10" s="3253"/>
      <c r="Z10" s="1149" t="str">
        <f t="shared" si="7"/>
        <v>土地使用年限（年）</v>
      </c>
      <c r="AA10" s="1571">
        <f t="shared" si="3"/>
        <v>1</v>
      </c>
      <c r="AB10" s="1571">
        <f t="shared" si="4"/>
        <v>1</v>
      </c>
      <c r="AC10" s="1571">
        <f t="shared" si="5"/>
        <v>1</v>
      </c>
    </row>
    <row r="11" spans="1:29" ht="15">
      <c r="A11" s="2940"/>
      <c r="B11" s="2944" t="s">
        <v>2766</v>
      </c>
      <c r="C11" s="534"/>
      <c r="D11" s="254">
        <v>100</v>
      </c>
      <c r="E11" s="534"/>
      <c r="F11" s="254" t="e">
        <f>LOOKUP(E11,69:69,70:70)-LOOKUP(C11,69:69,70:70)+100</f>
        <v>#N/A</v>
      </c>
      <c r="G11" s="535"/>
      <c r="H11" s="254" t="e">
        <f>LOOKUP(G11,69:69,70:70)-LOOKUP(C11,69:69,70:70)+100</f>
        <v>#N/A</v>
      </c>
      <c r="I11" s="534"/>
      <c r="J11" s="254" t="e">
        <f>LOOKUP(I11,69:69,70:70)-LOOKUP(C11,69:69,70:70)+100</f>
        <v>#N/A</v>
      </c>
      <c r="K11" s="585"/>
      <c r="L11" s="2141"/>
      <c r="M11" s="2135"/>
      <c r="N11" s="2135"/>
      <c r="O11" s="2135"/>
      <c r="P11" s="3241"/>
      <c r="Q11" s="1150" t="str">
        <f t="shared" si="6"/>
        <v>容积率</v>
      </c>
      <c r="R11" s="1568" t="s">
        <v>8</v>
      </c>
      <c r="S11" s="1569" t="e">
        <f t="shared" si="0"/>
        <v>#N/A</v>
      </c>
      <c r="T11" s="1568" t="s">
        <v>8</v>
      </c>
      <c r="U11" s="1569" t="e">
        <f t="shared" si="1"/>
        <v>#N/A</v>
      </c>
      <c r="V11" s="1568" t="s">
        <v>8</v>
      </c>
      <c r="W11" s="1569" t="e">
        <f t="shared" si="2"/>
        <v>#N/A</v>
      </c>
      <c r="X11" s="1570"/>
      <c r="Y11" s="3253"/>
      <c r="Z11" s="1149" t="str">
        <f t="shared" si="7"/>
        <v>容积率</v>
      </c>
      <c r="AA11" s="1571" t="e">
        <f t="shared" si="3"/>
        <v>#N/A</v>
      </c>
      <c r="AB11" s="1571" t="e">
        <f t="shared" si="4"/>
        <v>#N/A</v>
      </c>
      <c r="AC11" s="1571" t="e">
        <f t="shared" si="5"/>
        <v>#N/A</v>
      </c>
    </row>
    <row r="12" spans="1:29" s="1219" customFormat="1" ht="15">
      <c r="A12" s="2941"/>
      <c r="B12" s="2947">
        <v>111</v>
      </c>
      <c r="C12" s="530"/>
      <c r="D12" s="539">
        <v>100</v>
      </c>
      <c r="E12" s="530"/>
      <c r="F12" s="254">
        <f>SUMIF(71:71,E12,72:72)-SUMIF(71:71,C12,72:72)+100</f>
        <v>100</v>
      </c>
      <c r="G12" s="909"/>
      <c r="H12" s="254">
        <f>SUMIF(71:71,G12,72:72)-SUMIF(71:71,C12,72:72)+100</f>
        <v>100</v>
      </c>
      <c r="I12" s="530"/>
      <c r="J12" s="254">
        <f>SUMIF(71:71,I12,72:72)-SUMIF(71:71,C12,72:72)+100</f>
        <v>100</v>
      </c>
      <c r="K12" s="582"/>
      <c r="L12" s="2136"/>
      <c r="M12" s="2137"/>
      <c r="N12" s="2137"/>
      <c r="O12" s="2137"/>
      <c r="P12" s="3241"/>
      <c r="Q12" s="1150">
        <f t="shared" si="6"/>
        <v>111</v>
      </c>
      <c r="R12" s="1568" t="s">
        <v>8</v>
      </c>
      <c r="S12" s="1569">
        <f t="shared" si="0"/>
        <v>100</v>
      </c>
      <c r="T12" s="1568" t="s">
        <v>8</v>
      </c>
      <c r="U12" s="1569">
        <f t="shared" si="1"/>
        <v>100</v>
      </c>
      <c r="V12" s="1568" t="s">
        <v>8</v>
      </c>
      <c r="W12" s="1569">
        <f t="shared" si="2"/>
        <v>100</v>
      </c>
      <c r="X12" s="1570"/>
      <c r="Y12" s="3253"/>
      <c r="Z12" s="1149">
        <f t="shared" si="7"/>
        <v>111</v>
      </c>
      <c r="AA12" s="1571">
        <f>D12/F12</f>
        <v>1</v>
      </c>
      <c r="AB12" s="1571">
        <f>D12/H12</f>
        <v>1</v>
      </c>
      <c r="AC12" s="1571">
        <f>D12/J12</f>
        <v>1</v>
      </c>
    </row>
    <row r="13" spans="1:29" ht="15">
      <c r="A13" s="2941"/>
      <c r="B13" s="2947">
        <v>111</v>
      </c>
      <c r="C13" s="540"/>
      <c r="D13" s="541">
        <v>100</v>
      </c>
      <c r="E13" s="530"/>
      <c r="F13" s="254">
        <f>SUMIF(73:73,E13,74:74)-SUMIF(73:73,C13,74:74)+100</f>
        <v>100</v>
      </c>
      <c r="G13" s="909"/>
      <c r="H13" s="541">
        <f>SUMIF(73:73,G13,74:74)-SUMIF(73:73,C13,74:74)+100</f>
        <v>100</v>
      </c>
      <c r="I13" s="530"/>
      <c r="J13" s="541">
        <f>SUMIF(73:73,I13,74:74)-SUMIF(73:73,C13,74:74)+100</f>
        <v>100</v>
      </c>
      <c r="K13" s="582"/>
      <c r="L13" s="2143"/>
      <c r="M13" s="2135"/>
      <c r="N13" s="2135"/>
      <c r="O13" s="2135"/>
      <c r="P13" s="3241"/>
      <c r="Q13" s="1150">
        <f t="shared" si="6"/>
        <v>111</v>
      </c>
      <c r="R13" s="1568" t="s">
        <v>8</v>
      </c>
      <c r="S13" s="1569">
        <f t="shared" si="0"/>
        <v>100</v>
      </c>
      <c r="T13" s="1568" t="s">
        <v>8</v>
      </c>
      <c r="U13" s="1569">
        <f t="shared" si="1"/>
        <v>100</v>
      </c>
      <c r="V13" s="1568" t="s">
        <v>8</v>
      </c>
      <c r="W13" s="1569">
        <f t="shared" si="2"/>
        <v>100</v>
      </c>
      <c r="X13" s="1570"/>
      <c r="Y13" s="3253"/>
      <c r="Z13" s="1149">
        <f t="shared" si="7"/>
        <v>111</v>
      </c>
      <c r="AA13" s="1571">
        <f t="shared" si="3"/>
        <v>1</v>
      </c>
      <c r="AB13" s="1571">
        <f t="shared" si="4"/>
        <v>1</v>
      </c>
      <c r="AC13" s="1571">
        <f t="shared" si="5"/>
        <v>1</v>
      </c>
    </row>
    <row r="14" spans="1:29" ht="15.75" thickBot="1">
      <c r="A14" s="2942"/>
      <c r="B14" s="2948">
        <v>111</v>
      </c>
      <c r="C14" s="546"/>
      <c r="D14" s="547">
        <v>100</v>
      </c>
      <c r="E14" s="910"/>
      <c r="F14" s="547">
        <f>SUMIF(75:75,E14,76:76)-SUMIF(75:75,C14,76:76)+100</f>
        <v>100</v>
      </c>
      <c r="G14" s="909"/>
      <c r="H14" s="547">
        <f>SUMIF(75:75,G14,76:76)-SUMIF(75:75,C14,76:76)+100</f>
        <v>100</v>
      </c>
      <c r="I14" s="530"/>
      <c r="J14" s="547">
        <f>SUMIF(75:75,I14,76:76)-SUMIF(75:75,C14,76:76)+100</f>
        <v>100</v>
      </c>
      <c r="K14" s="582"/>
      <c r="L14" s="2143"/>
      <c r="M14" s="2135"/>
      <c r="N14" s="2135"/>
      <c r="O14" s="2135"/>
      <c r="P14" s="3241"/>
      <c r="Q14" s="1150">
        <f t="shared" si="6"/>
        <v>111</v>
      </c>
      <c r="R14" s="1568" t="s">
        <v>8</v>
      </c>
      <c r="S14" s="1569">
        <f t="shared" si="0"/>
        <v>100</v>
      </c>
      <c r="T14" s="1568" t="s">
        <v>8</v>
      </c>
      <c r="U14" s="1569">
        <f t="shared" si="1"/>
        <v>100</v>
      </c>
      <c r="V14" s="1568" t="s">
        <v>8</v>
      </c>
      <c r="W14" s="1569">
        <f t="shared" si="2"/>
        <v>100</v>
      </c>
      <c r="X14" s="1570"/>
      <c r="Y14" s="3253"/>
      <c r="Z14" s="1149">
        <f t="shared" si="7"/>
        <v>111</v>
      </c>
      <c r="AA14" s="1571">
        <f t="shared" si="3"/>
        <v>1</v>
      </c>
      <c r="AB14" s="1571">
        <f t="shared" si="4"/>
        <v>1</v>
      </c>
      <c r="AC14" s="1571">
        <f t="shared" si="5"/>
        <v>1</v>
      </c>
    </row>
    <row r="15" spans="1:29" ht="71.25">
      <c r="A15" s="2934" t="s">
        <v>2762</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7"/>
      <c r="L15" s="2143"/>
      <c r="M15" s="2135"/>
      <c r="N15" s="2135"/>
      <c r="O15" s="2135"/>
      <c r="P15" s="3246" t="s">
        <v>541</v>
      </c>
      <c r="Q15" s="1572" t="str">
        <f t="shared" si="6"/>
        <v>办公集聚程度</v>
      </c>
      <c r="R15" s="1573" t="s">
        <v>8</v>
      </c>
      <c r="S15" s="1574">
        <f t="shared" si="0"/>
        <v>100</v>
      </c>
      <c r="T15" s="1573" t="s">
        <v>8</v>
      </c>
      <c r="U15" s="1574">
        <f t="shared" si="1"/>
        <v>100</v>
      </c>
      <c r="V15" s="1573" t="s">
        <v>8</v>
      </c>
      <c r="W15" s="1574">
        <f t="shared" si="2"/>
        <v>100</v>
      </c>
      <c r="X15" s="1567"/>
      <c r="Y15" s="3246" t="s">
        <v>541</v>
      </c>
      <c r="Z15" s="1575" t="str">
        <f t="shared" si="7"/>
        <v>办公集聚程度</v>
      </c>
      <c r="AA15" s="1576">
        <f t="shared" si="3"/>
        <v>1</v>
      </c>
      <c r="AB15" s="1576">
        <f t="shared" si="4"/>
        <v>1</v>
      </c>
      <c r="AC15" s="1576">
        <f t="shared" si="5"/>
        <v>1</v>
      </c>
    </row>
    <row r="16" spans="1:29" ht="15">
      <c r="A16" s="533"/>
      <c r="B16" s="554"/>
      <c r="C16" s="555"/>
      <c r="D16" s="556"/>
      <c r="E16" s="577"/>
      <c r="F16" s="556"/>
      <c r="G16" s="555"/>
      <c r="H16" s="560"/>
      <c r="I16" s="577"/>
      <c r="J16" s="556"/>
      <c r="K16" s="898"/>
      <c r="L16" s="2143"/>
      <c r="M16" s="2135"/>
      <c r="N16" s="2135"/>
      <c r="O16" s="2135"/>
      <c r="P16" s="3247"/>
      <c r="Q16" s="1572"/>
      <c r="R16" s="1573"/>
      <c r="S16" s="1574"/>
      <c r="T16" s="1573"/>
      <c r="U16" s="1574"/>
      <c r="V16" s="1573"/>
      <c r="W16" s="1574"/>
      <c r="X16" s="1567"/>
      <c r="Y16" s="3247"/>
      <c r="Z16" s="1575"/>
      <c r="AA16" s="1576">
        <v>1</v>
      </c>
      <c r="AB16" s="1576">
        <v>1</v>
      </c>
      <c r="AC16" s="1576">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7"/>
      <c r="L17" s="2143"/>
      <c r="M17" s="2135"/>
      <c r="N17" s="2135"/>
      <c r="O17" s="2135"/>
      <c r="P17" s="3247"/>
      <c r="Q17" s="1572" t="str">
        <f>B17</f>
        <v>交通便捷度</v>
      </c>
      <c r="R17" s="1573" t="s">
        <v>8</v>
      </c>
      <c r="S17" s="1574">
        <f>F17</f>
        <v>100</v>
      </c>
      <c r="T17" s="1573" t="s">
        <v>8</v>
      </c>
      <c r="U17" s="1574">
        <f>H17</f>
        <v>100</v>
      </c>
      <c r="V17" s="1573" t="s">
        <v>8</v>
      </c>
      <c r="W17" s="1574">
        <f>J17</f>
        <v>100</v>
      </c>
      <c r="X17" s="1567"/>
      <c r="Y17" s="3247"/>
      <c r="Z17" s="1575" t="str">
        <f>Q17</f>
        <v>交通便捷度</v>
      </c>
      <c r="AA17" s="1576">
        <f t="shared" si="3"/>
        <v>1</v>
      </c>
      <c r="AB17" s="1576">
        <f t="shared" si="4"/>
        <v>1</v>
      </c>
      <c r="AC17" s="1576">
        <f t="shared" si="5"/>
        <v>1</v>
      </c>
    </row>
    <row r="18" spans="1:29" ht="15">
      <c r="A18" s="533"/>
      <c r="B18" s="567"/>
      <c r="C18" s="568"/>
      <c r="D18" s="560"/>
      <c r="E18" s="570"/>
      <c r="F18" s="560"/>
      <c r="G18" s="569"/>
      <c r="H18" s="556"/>
      <c r="I18" s="569"/>
      <c r="J18" s="556"/>
      <c r="K18" s="898"/>
      <c r="L18" s="2143"/>
      <c r="M18" s="2135"/>
      <c r="N18" s="2135"/>
      <c r="O18" s="2135"/>
      <c r="P18" s="3247"/>
      <c r="Q18" s="1572"/>
      <c r="R18" s="1573"/>
      <c r="S18" s="1574"/>
      <c r="T18" s="1573"/>
      <c r="U18" s="1574"/>
      <c r="V18" s="1573"/>
      <c r="W18" s="1574"/>
      <c r="X18" s="1567"/>
      <c r="Y18" s="3247"/>
      <c r="Z18" s="1575"/>
      <c r="AA18" s="1576">
        <v>1</v>
      </c>
      <c r="AB18" s="1576">
        <v>1</v>
      </c>
      <c r="AC18" s="1576">
        <v>1</v>
      </c>
    </row>
    <row r="19" spans="1:29" ht="42.75">
      <c r="A19" s="533"/>
      <c r="B19" s="2625" t="s">
        <v>2552</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7"/>
      <c r="L19" s="2143"/>
      <c r="M19" s="2135"/>
      <c r="N19" s="2135"/>
      <c r="O19" s="2135"/>
      <c r="P19" s="3247"/>
      <c r="Q19" s="1572" t="str">
        <f>B19</f>
        <v>公共配套设施</v>
      </c>
      <c r="R19" s="1573" t="s">
        <v>8</v>
      </c>
      <c r="S19" s="1574">
        <f>F19</f>
        <v>100</v>
      </c>
      <c r="T19" s="1573" t="s">
        <v>8</v>
      </c>
      <c r="U19" s="1574">
        <f>H19</f>
        <v>100</v>
      </c>
      <c r="V19" s="1573" t="s">
        <v>8</v>
      </c>
      <c r="W19" s="1574">
        <f>J19</f>
        <v>100</v>
      </c>
      <c r="X19" s="1567"/>
      <c r="Y19" s="3247"/>
      <c r="Z19" s="1575" t="str">
        <f>Q19</f>
        <v>公共配套设施</v>
      </c>
      <c r="AA19" s="1576">
        <f t="shared" si="3"/>
        <v>1</v>
      </c>
      <c r="AB19" s="1576">
        <f t="shared" si="4"/>
        <v>1</v>
      </c>
      <c r="AC19" s="1576">
        <f t="shared" si="5"/>
        <v>1</v>
      </c>
    </row>
    <row r="20" spans="1:29" ht="15">
      <c r="A20" s="533"/>
      <c r="B20" s="567"/>
      <c r="C20" s="555"/>
      <c r="D20" s="556"/>
      <c r="E20" s="559"/>
      <c r="F20" s="556"/>
      <c r="G20" s="557"/>
      <c r="H20" s="556"/>
      <c r="I20" s="557"/>
      <c r="J20" s="556"/>
      <c r="K20" s="898"/>
      <c r="L20" s="2143"/>
      <c r="M20" s="2135"/>
      <c r="N20" s="2135"/>
      <c r="O20" s="2135"/>
      <c r="P20" s="3247"/>
      <c r="Q20" s="1572"/>
      <c r="R20" s="1573"/>
      <c r="S20" s="1574"/>
      <c r="T20" s="1573"/>
      <c r="U20" s="1574"/>
      <c r="V20" s="1573"/>
      <c r="W20" s="1574"/>
      <c r="X20" s="1567"/>
      <c r="Y20" s="3247"/>
      <c r="Z20" s="1575"/>
      <c r="AA20" s="1576">
        <v>1</v>
      </c>
      <c r="AB20" s="1576">
        <v>1</v>
      </c>
      <c r="AC20" s="1576">
        <v>1</v>
      </c>
    </row>
    <row r="21" spans="1:29" ht="28.5">
      <c r="A21" s="533"/>
      <c r="B21" s="2613" t="s">
        <v>2564</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7"/>
      <c r="L21" s="2143"/>
      <c r="M21" s="2135"/>
      <c r="N21" s="2135"/>
      <c r="O21" s="2135"/>
      <c r="P21" s="3247"/>
      <c r="Q21" s="2601" t="str">
        <f>B21</f>
        <v>基础设施水平</v>
      </c>
      <c r="R21" s="1573" t="s">
        <v>8</v>
      </c>
      <c r="S21" s="1574">
        <f>F21</f>
        <v>100</v>
      </c>
      <c r="T21" s="1573" t="s">
        <v>8</v>
      </c>
      <c r="U21" s="1574">
        <f>H21</f>
        <v>100</v>
      </c>
      <c r="V21" s="1573" t="s">
        <v>8</v>
      </c>
      <c r="W21" s="1574">
        <f>J21</f>
        <v>100</v>
      </c>
      <c r="X21" s="2603"/>
      <c r="Y21" s="3247"/>
      <c r="Z21" s="2602" t="str">
        <f>Q21</f>
        <v>基础设施水平</v>
      </c>
      <c r="AA21" s="1576">
        <f>D21/F21</f>
        <v>1</v>
      </c>
      <c r="AB21" s="1576">
        <f>D21/H21</f>
        <v>1</v>
      </c>
      <c r="AC21" s="1576">
        <f>D21/J21</f>
        <v>1</v>
      </c>
    </row>
    <row r="22" spans="1:29" ht="15">
      <c r="A22" s="533"/>
      <c r="B22" s="579"/>
      <c r="C22" s="568"/>
      <c r="D22" s="556"/>
      <c r="E22" s="577"/>
      <c r="F22" s="556"/>
      <c r="G22" s="555"/>
      <c r="H22" s="556"/>
      <c r="I22" s="555"/>
      <c r="J22" s="556"/>
      <c r="K22" s="2624"/>
      <c r="L22" s="2143"/>
      <c r="M22" s="2135"/>
      <c r="N22" s="2135"/>
      <c r="O22" s="2135"/>
      <c r="P22" s="3247"/>
      <c r="Q22" s="2601"/>
      <c r="R22" s="1573"/>
      <c r="S22" s="1574"/>
      <c r="T22" s="1573"/>
      <c r="U22" s="1574"/>
      <c r="V22" s="1573"/>
      <c r="W22" s="1574"/>
      <c r="X22" s="2603"/>
      <c r="Y22" s="3247"/>
      <c r="Z22" s="2602"/>
      <c r="AA22" s="1576">
        <v>1</v>
      </c>
      <c r="AB22" s="1576">
        <v>1</v>
      </c>
      <c r="AC22" s="1576">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7"/>
      <c r="L23" s="2143"/>
      <c r="M23" s="2135"/>
      <c r="N23" s="2135"/>
      <c r="O23" s="2135"/>
      <c r="P23" s="3247"/>
      <c r="Q23" s="1572" t="str">
        <f>B23</f>
        <v>环境质量</v>
      </c>
      <c r="R23" s="1573" t="s">
        <v>8</v>
      </c>
      <c r="S23" s="1574">
        <f>F23</f>
        <v>100</v>
      </c>
      <c r="T23" s="1573" t="s">
        <v>8</v>
      </c>
      <c r="U23" s="1574">
        <f>H23</f>
        <v>100</v>
      </c>
      <c r="V23" s="1573" t="s">
        <v>8</v>
      </c>
      <c r="W23" s="1574">
        <f>J23</f>
        <v>100</v>
      </c>
      <c r="X23" s="1567"/>
      <c r="Y23" s="3247"/>
      <c r="Z23" s="1575" t="str">
        <f>Q23</f>
        <v>环境质量</v>
      </c>
      <c r="AA23" s="1576">
        <f t="shared" si="3"/>
        <v>1</v>
      </c>
      <c r="AB23" s="1576">
        <f t="shared" si="4"/>
        <v>1</v>
      </c>
      <c r="AC23" s="1576">
        <f t="shared" si="5"/>
        <v>1</v>
      </c>
    </row>
    <row r="24" spans="1:29" ht="15">
      <c r="A24" s="533"/>
      <c r="B24" s="579"/>
      <c r="C24" s="555"/>
      <c r="D24" s="556"/>
      <c r="E24" s="559"/>
      <c r="F24" s="556"/>
      <c r="G24" s="557"/>
      <c r="H24" s="556"/>
      <c r="I24" s="557"/>
      <c r="J24" s="556"/>
      <c r="K24" s="898"/>
      <c r="L24" s="2143"/>
      <c r="M24" s="2135"/>
      <c r="N24" s="2135"/>
      <c r="O24" s="2135"/>
      <c r="P24" s="3247"/>
      <c r="Q24" s="1572"/>
      <c r="R24" s="1573"/>
      <c r="S24" s="1574"/>
      <c r="T24" s="1573"/>
      <c r="U24" s="1574"/>
      <c r="V24" s="1573"/>
      <c r="W24" s="1574"/>
      <c r="X24" s="1567"/>
      <c r="Y24" s="3247"/>
      <c r="Z24" s="1575"/>
      <c r="AA24" s="1576">
        <v>1</v>
      </c>
      <c r="AB24" s="1576">
        <v>1</v>
      </c>
      <c r="AC24" s="1576">
        <v>1</v>
      </c>
    </row>
    <row r="25" spans="1:29" ht="27">
      <c r="A25" s="517"/>
      <c r="B25" s="561" t="s">
        <v>549</v>
      </c>
      <c r="C25" s="911"/>
      <c r="D25" s="541">
        <v>100</v>
      </c>
      <c r="E25" s="540"/>
      <c r="F25" s="541">
        <f>SUMIF(87:87,E26,88:88)-SUMIF(87:87,C26,88:88)+100</f>
        <v>100</v>
      </c>
      <c r="G25" s="911"/>
      <c r="H25" s="541">
        <f>SUMIF(87:87,G26,88:88)-SUMIF(87:87,C26,88:88)+100</f>
        <v>100</v>
      </c>
      <c r="I25" s="540"/>
      <c r="J25" s="541">
        <f>SUMIF(87:87,I26,88:88)-SUMIF(87:87,C26,88:88)+100</f>
        <v>100</v>
      </c>
      <c r="K25" s="897"/>
      <c r="L25" s="2143"/>
      <c r="M25" s="2135"/>
      <c r="N25" s="2135"/>
      <c r="O25" s="2135"/>
      <c r="P25" s="3247"/>
      <c r="Q25" s="1572" t="str">
        <f>B25</f>
        <v>毗邻道路的类型与等级</v>
      </c>
      <c r="R25" s="1573" t="s">
        <v>8</v>
      </c>
      <c r="S25" s="1574">
        <f>F25</f>
        <v>100</v>
      </c>
      <c r="T25" s="1573" t="s">
        <v>8</v>
      </c>
      <c r="U25" s="1574">
        <f>H25</f>
        <v>100</v>
      </c>
      <c r="V25" s="1573" t="s">
        <v>8</v>
      </c>
      <c r="W25" s="1574">
        <f>J25</f>
        <v>100</v>
      </c>
      <c r="X25" s="1567"/>
      <c r="Y25" s="3247"/>
      <c r="Z25" s="1575" t="str">
        <f>Q25</f>
        <v>毗邻道路的类型与等级</v>
      </c>
      <c r="AA25" s="1576">
        <f t="shared" si="3"/>
        <v>1</v>
      </c>
      <c r="AB25" s="1576">
        <f t="shared" si="4"/>
        <v>1</v>
      </c>
      <c r="AC25" s="1576">
        <f t="shared" si="5"/>
        <v>1</v>
      </c>
    </row>
    <row r="26" spans="1:29" ht="15">
      <c r="A26" s="517"/>
      <c r="B26" s="567"/>
      <c r="C26" s="581"/>
      <c r="D26" s="541"/>
      <c r="E26" s="584"/>
      <c r="F26" s="541"/>
      <c r="G26" s="581"/>
      <c r="H26" s="541"/>
      <c r="I26" s="584"/>
      <c r="J26" s="541"/>
      <c r="K26" s="898"/>
      <c r="L26" s="2143"/>
      <c r="M26" s="2135"/>
      <c r="N26" s="2135"/>
      <c r="O26" s="2135"/>
      <c r="P26" s="3247"/>
      <c r="Q26" s="1572"/>
      <c r="R26" s="1573"/>
      <c r="S26" s="1574"/>
      <c r="T26" s="1573"/>
      <c r="U26" s="1574"/>
      <c r="V26" s="1573"/>
      <c r="W26" s="1574"/>
      <c r="X26" s="1567"/>
      <c r="Y26" s="3247"/>
      <c r="Z26" s="1575"/>
      <c r="AA26" s="1576">
        <v>1</v>
      </c>
      <c r="AB26" s="1576">
        <v>1</v>
      </c>
      <c r="AC26" s="1576">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3"/>
      <c r="M27" s="2135"/>
      <c r="N27" s="2135"/>
      <c r="O27" s="2135"/>
      <c r="P27" s="3247"/>
      <c r="Q27" s="1572" t="str">
        <f t="shared" ref="Q27:Q47" si="8">B27</f>
        <v>楼层</v>
      </c>
      <c r="R27" s="1573" t="s">
        <v>8</v>
      </c>
      <c r="S27" s="1574">
        <f>F27</f>
        <v>100</v>
      </c>
      <c r="T27" s="1573" t="s">
        <v>8</v>
      </c>
      <c r="U27" s="1574">
        <f>H27</f>
        <v>100</v>
      </c>
      <c r="V27" s="1573" t="s">
        <v>8</v>
      </c>
      <c r="W27" s="1574">
        <f>J27</f>
        <v>100</v>
      </c>
      <c r="X27" s="1567"/>
      <c r="Y27" s="3247"/>
      <c r="Z27" s="1575" t="str">
        <f>Q27</f>
        <v>楼层</v>
      </c>
      <c r="AA27" s="1576">
        <f t="shared" si="3"/>
        <v>1</v>
      </c>
      <c r="AB27" s="1576">
        <f t="shared" si="4"/>
        <v>1</v>
      </c>
      <c r="AC27" s="1576">
        <f t="shared" si="5"/>
        <v>1</v>
      </c>
    </row>
    <row r="28" spans="1:29" s="1219" customFormat="1" ht="15">
      <c r="A28" s="537"/>
      <c r="B28" s="561" t="s">
        <v>780</v>
      </c>
      <c r="C28" s="912"/>
      <c r="D28" s="875">
        <v>100</v>
      </c>
      <c r="E28" s="900"/>
      <c r="F28" s="875">
        <f>SUMIF(91:91,E28,92:92)-SUMIF(91:91,C28,92:92)+100</f>
        <v>100</v>
      </c>
      <c r="G28" s="912"/>
      <c r="H28" s="875">
        <f>SUMIF(91:91,G28,92:92)-SUMIF(91:91,C28,92:92)+100</f>
        <v>100</v>
      </c>
      <c r="I28" s="900"/>
      <c r="J28" s="875">
        <f>SUMIF(91:91,I28,92:92)-SUMIF(91:91,C28,92:92)+100</f>
        <v>100</v>
      </c>
      <c r="K28" s="585"/>
      <c r="L28" s="2136"/>
      <c r="M28" s="2137"/>
      <c r="N28" s="2137"/>
      <c r="O28" s="2137"/>
      <c r="P28" s="3247"/>
      <c r="Q28" s="1150" t="str">
        <f t="shared" si="8"/>
        <v>朝向</v>
      </c>
      <c r="R28" s="1568" t="s">
        <v>8</v>
      </c>
      <c r="S28" s="1569">
        <f>F28</f>
        <v>100</v>
      </c>
      <c r="T28" s="1568" t="s">
        <v>8</v>
      </c>
      <c r="U28" s="1569">
        <f>H28</f>
        <v>100</v>
      </c>
      <c r="V28" s="1568" t="s">
        <v>8</v>
      </c>
      <c r="W28" s="1569">
        <f>J28</f>
        <v>100</v>
      </c>
      <c r="X28" s="1570"/>
      <c r="Y28" s="3247"/>
      <c r="Z28" s="1149" t="str">
        <f>Q28</f>
        <v>朝向</v>
      </c>
      <c r="AA28" s="1576">
        <f>D28/F28</f>
        <v>1</v>
      </c>
      <c r="AB28" s="1576">
        <f>D28/H28</f>
        <v>1</v>
      </c>
      <c r="AC28" s="1576">
        <f>D28/J28</f>
        <v>1</v>
      </c>
    </row>
    <row r="29" spans="1:29" ht="15">
      <c r="A29" s="533"/>
      <c r="B29" s="586">
        <v>111</v>
      </c>
      <c r="C29" s="911"/>
      <c r="D29" s="541">
        <v>100</v>
      </c>
      <c r="E29" s="530"/>
      <c r="F29" s="541">
        <f>SUMIF(93:93,E29,94:94)-SUMIF(93:93,C29,94:94)+100</f>
        <v>100</v>
      </c>
      <c r="G29" s="909"/>
      <c r="H29" s="541">
        <f>SUMIF(93:93,G29,94:94)-SUMIF(93:93,C29,94:94)+100</f>
        <v>100</v>
      </c>
      <c r="I29" s="530"/>
      <c r="J29" s="541">
        <f>SUMIF(93:93,I29,94:94)-SUMIF(93:93,C29,94:94)+100</f>
        <v>100</v>
      </c>
      <c r="K29" s="582"/>
      <c r="L29" s="2143"/>
      <c r="M29" s="2135"/>
      <c r="N29" s="2135"/>
      <c r="O29" s="2135"/>
      <c r="P29" s="3247"/>
      <c r="Q29" s="1572">
        <f t="shared" si="8"/>
        <v>111</v>
      </c>
      <c r="R29" s="1573" t="s">
        <v>8</v>
      </c>
      <c r="S29" s="1574">
        <f t="shared" ref="S29:S47" si="9">F29</f>
        <v>100</v>
      </c>
      <c r="T29" s="1573" t="s">
        <v>8</v>
      </c>
      <c r="U29" s="1574">
        <f t="shared" ref="U29:U47" si="10">H29</f>
        <v>100</v>
      </c>
      <c r="V29" s="1573" t="s">
        <v>8</v>
      </c>
      <c r="W29" s="1574">
        <f t="shared" ref="W29:W47" si="11">J29</f>
        <v>100</v>
      </c>
      <c r="X29" s="1567"/>
      <c r="Y29" s="3247"/>
      <c r="Z29" s="1575">
        <f t="shared" ref="Z29:Z47" si="12">Q29</f>
        <v>111</v>
      </c>
      <c r="AA29" s="1576">
        <f t="shared" si="3"/>
        <v>1</v>
      </c>
      <c r="AB29" s="1576">
        <f t="shared" si="4"/>
        <v>1</v>
      </c>
      <c r="AC29" s="1576">
        <f t="shared" si="5"/>
        <v>1</v>
      </c>
    </row>
    <row r="30" spans="1:29" ht="15">
      <c r="A30" s="533"/>
      <c r="B30" s="586">
        <v>111</v>
      </c>
      <c r="C30" s="911"/>
      <c r="D30" s="541">
        <v>100</v>
      </c>
      <c r="E30" s="530"/>
      <c r="F30" s="541">
        <f>SUMIF(95:95,E30,96:96)-SUMIF(95:95,C30,96:96)+100</f>
        <v>100</v>
      </c>
      <c r="G30" s="909"/>
      <c r="H30" s="541">
        <f>SUMIF(95:95,G30,96:96)-SUMIF(95:95,C30,96:96)+100</f>
        <v>100</v>
      </c>
      <c r="I30" s="530"/>
      <c r="J30" s="541">
        <f>SUMIF(95:95,I30,96:96)-SUMIF(95:95,C30,96:96)+100</f>
        <v>100</v>
      </c>
      <c r="K30" s="582"/>
      <c r="L30" s="2143"/>
      <c r="M30" s="2135"/>
      <c r="N30" s="2135"/>
      <c r="O30" s="2135"/>
      <c r="P30" s="3247"/>
      <c r="Q30" s="1572">
        <f t="shared" si="8"/>
        <v>111</v>
      </c>
      <c r="R30" s="1573" t="s">
        <v>8</v>
      </c>
      <c r="S30" s="1574">
        <f t="shared" si="9"/>
        <v>100</v>
      </c>
      <c r="T30" s="1573" t="s">
        <v>8</v>
      </c>
      <c r="U30" s="1574">
        <f t="shared" si="10"/>
        <v>100</v>
      </c>
      <c r="V30" s="1573" t="s">
        <v>8</v>
      </c>
      <c r="W30" s="1574">
        <f t="shared" si="11"/>
        <v>100</v>
      </c>
      <c r="X30" s="1567"/>
      <c r="Y30" s="3247"/>
      <c r="Z30" s="1575">
        <f t="shared" si="12"/>
        <v>111</v>
      </c>
      <c r="AA30" s="1576">
        <f t="shared" si="3"/>
        <v>1</v>
      </c>
      <c r="AB30" s="1576">
        <f t="shared" si="4"/>
        <v>1</v>
      </c>
      <c r="AC30" s="1576">
        <f t="shared" si="5"/>
        <v>1</v>
      </c>
    </row>
    <row r="31" spans="1:29" ht="15">
      <c r="A31" s="533"/>
      <c r="B31" s="586">
        <v>111</v>
      </c>
      <c r="C31" s="911"/>
      <c r="D31" s="541">
        <v>100</v>
      </c>
      <c r="E31" s="530"/>
      <c r="F31" s="541">
        <f>SUMIF(97:97,E31,98:98)-SUMIF(97:97,C31,98:98)+100</f>
        <v>100</v>
      </c>
      <c r="G31" s="909"/>
      <c r="H31" s="541">
        <f>SUMIF(97:97,G31,98:98)-SUMIF(97:97,C31,98:98)+100</f>
        <v>100</v>
      </c>
      <c r="I31" s="530"/>
      <c r="J31" s="541">
        <f>SUMIF(97:97,I31,98:98)-SUMIF(97:97,C31,98:98)+100</f>
        <v>100</v>
      </c>
      <c r="K31" s="582"/>
      <c r="L31" s="2143"/>
      <c r="M31" s="2135"/>
      <c r="N31" s="2135"/>
      <c r="O31" s="2135"/>
      <c r="P31" s="3247"/>
      <c r="Q31" s="1572">
        <f t="shared" si="8"/>
        <v>111</v>
      </c>
      <c r="R31" s="1573" t="s">
        <v>8</v>
      </c>
      <c r="S31" s="1574">
        <f t="shared" si="9"/>
        <v>100</v>
      </c>
      <c r="T31" s="1573" t="s">
        <v>8</v>
      </c>
      <c r="U31" s="1574">
        <f t="shared" si="10"/>
        <v>100</v>
      </c>
      <c r="V31" s="1573" t="s">
        <v>8</v>
      </c>
      <c r="W31" s="1574">
        <f t="shared" si="11"/>
        <v>100</v>
      </c>
      <c r="X31" s="1567"/>
      <c r="Y31" s="3247"/>
      <c r="Z31" s="1575">
        <f t="shared" si="12"/>
        <v>111</v>
      </c>
      <c r="AA31" s="1576">
        <f t="shared" si="3"/>
        <v>1</v>
      </c>
      <c r="AB31" s="1576">
        <f t="shared" si="4"/>
        <v>1</v>
      </c>
      <c r="AC31" s="1576">
        <f t="shared" si="5"/>
        <v>1</v>
      </c>
    </row>
    <row r="32" spans="1:29" ht="15.75" thickBot="1">
      <c r="A32" s="544"/>
      <c r="B32" s="913">
        <v>111</v>
      </c>
      <c r="C32" s="914"/>
      <c r="D32" s="547">
        <v>100</v>
      </c>
      <c r="E32" s="910"/>
      <c r="F32" s="547">
        <f>SUMIF(99:99,E32,100:100)-SUMIF(99:99,C32,100:100)+100</f>
        <v>100</v>
      </c>
      <c r="G32" s="909"/>
      <c r="H32" s="547">
        <f>SUMIF(99:99,G32,100:100)-SUMIF(99:99,C32,100:100)+100</f>
        <v>100</v>
      </c>
      <c r="I32" s="530"/>
      <c r="J32" s="547">
        <f>SUMIF(99:99,I32,100:100)-SUMIF(99:99,C32,100:100)+100</f>
        <v>100</v>
      </c>
      <c r="K32" s="582"/>
      <c r="L32" s="2143"/>
      <c r="M32" s="2135"/>
      <c r="N32" s="2135"/>
      <c r="O32" s="2135"/>
      <c r="P32" s="3247"/>
      <c r="Q32" s="1572">
        <f t="shared" si="8"/>
        <v>111</v>
      </c>
      <c r="R32" s="1573" t="s">
        <v>8</v>
      </c>
      <c r="S32" s="1574">
        <f t="shared" si="9"/>
        <v>100</v>
      </c>
      <c r="T32" s="1573" t="s">
        <v>8</v>
      </c>
      <c r="U32" s="1574">
        <f t="shared" si="10"/>
        <v>100</v>
      </c>
      <c r="V32" s="1573" t="s">
        <v>8</v>
      </c>
      <c r="W32" s="1574">
        <f t="shared" si="11"/>
        <v>100</v>
      </c>
      <c r="X32" s="1567"/>
      <c r="Y32" s="3247"/>
      <c r="Z32" s="1575">
        <f t="shared" si="12"/>
        <v>111</v>
      </c>
      <c r="AA32" s="1576">
        <f t="shared" si="3"/>
        <v>1</v>
      </c>
      <c r="AB32" s="1576">
        <f t="shared" si="4"/>
        <v>1</v>
      </c>
      <c r="AC32" s="1576">
        <f t="shared" si="5"/>
        <v>1</v>
      </c>
    </row>
    <row r="33" spans="1:29" ht="15">
      <c r="A33" s="2931" t="s">
        <v>2763</v>
      </c>
      <c r="B33" s="171" t="s">
        <v>781</v>
      </c>
      <c r="C33" s="915"/>
      <c r="D33" s="598">
        <v>100</v>
      </c>
      <c r="E33" s="915"/>
      <c r="F33" s="576">
        <f>SUMIF(101:101,E33,102:102)-SUMIF(101:101,C33,102:102)+100</f>
        <v>100</v>
      </c>
      <c r="G33" s="915"/>
      <c r="H33" s="541">
        <f>SUMIF(101:101,G33,102:102)-SUMIF(101:101,C33,102:102)+100</f>
        <v>100</v>
      </c>
      <c r="I33" s="915"/>
      <c r="J33" s="598">
        <f>SUMIF(101:101,I33,102:102)-SUMIF(101:101,C33,102:102)+100</f>
        <v>100</v>
      </c>
      <c r="K33" s="585"/>
      <c r="L33" s="2143"/>
      <c r="M33" s="2135"/>
      <c r="N33" s="2135"/>
      <c r="O33" s="2135"/>
      <c r="P33" s="3248" t="s">
        <v>551</v>
      </c>
      <c r="Q33" s="1572" t="str">
        <f t="shared" si="8"/>
        <v>建筑类型</v>
      </c>
      <c r="R33" s="1573" t="s">
        <v>8</v>
      </c>
      <c r="S33" s="1574">
        <f t="shared" si="9"/>
        <v>100</v>
      </c>
      <c r="T33" s="1573" t="s">
        <v>8</v>
      </c>
      <c r="U33" s="1574">
        <f t="shared" si="10"/>
        <v>100</v>
      </c>
      <c r="V33" s="1573" t="s">
        <v>8</v>
      </c>
      <c r="W33" s="1574">
        <f t="shared" si="11"/>
        <v>100</v>
      </c>
      <c r="X33" s="1567"/>
      <c r="Y33" s="3249" t="s">
        <v>551</v>
      </c>
      <c r="Z33" s="1575" t="str">
        <f t="shared" si="12"/>
        <v>建筑类型</v>
      </c>
      <c r="AA33" s="1576">
        <f t="shared" si="3"/>
        <v>1</v>
      </c>
      <c r="AB33" s="1576">
        <f t="shared" si="4"/>
        <v>1</v>
      </c>
      <c r="AC33" s="1576">
        <f t="shared" si="5"/>
        <v>1</v>
      </c>
    </row>
    <row r="34" spans="1:29" s="1338" customFormat="1" ht="15">
      <c r="A34" s="604"/>
      <c r="B34" s="529" t="s">
        <v>727</v>
      </c>
      <c r="C34" s="879"/>
      <c r="D34" s="254">
        <v>100</v>
      </c>
      <c r="E34" s="535"/>
      <c r="F34" s="864" t="e">
        <f>LOOKUP(E34,104:104,105:105)-LOOKUP(C34,104:104,105:105)+100</f>
        <v>#N/A</v>
      </c>
      <c r="G34" s="534"/>
      <c r="H34" s="254" t="e">
        <f>LOOKUP(G34,104:104,105:105)-LOOKUP(C34,104:104,105:105)+100</f>
        <v>#N/A</v>
      </c>
      <c r="I34" s="534"/>
      <c r="J34" s="254" t="e">
        <f>LOOKUP(I34,104:104,105:105)-LOOKUP(C34,104:104,105:105)+100</f>
        <v>#N/A</v>
      </c>
      <c r="K34" s="582"/>
      <c r="L34" s="2141"/>
      <c r="M34" s="2172"/>
      <c r="N34" s="2172"/>
      <c r="O34" s="2172"/>
      <c r="P34" s="3249"/>
      <c r="Q34" s="1605" t="str">
        <f t="shared" si="8"/>
        <v>项目建筑规模</v>
      </c>
      <c r="R34" s="1577" t="s">
        <v>8</v>
      </c>
      <c r="S34" s="1578" t="e">
        <f t="shared" si="9"/>
        <v>#N/A</v>
      </c>
      <c r="T34" s="1577" t="s">
        <v>8</v>
      </c>
      <c r="U34" s="1578" t="e">
        <f t="shared" si="10"/>
        <v>#N/A</v>
      </c>
      <c r="V34" s="1577" t="s">
        <v>8</v>
      </c>
      <c r="W34" s="1578" t="e">
        <f t="shared" si="11"/>
        <v>#N/A</v>
      </c>
      <c r="X34" s="1579"/>
      <c r="Y34" s="3249"/>
      <c r="Z34" s="1580" t="str">
        <f t="shared" si="12"/>
        <v>项目建筑规模</v>
      </c>
      <c r="AA34" s="1576" t="e">
        <f t="shared" si="3"/>
        <v>#N/A</v>
      </c>
      <c r="AB34" s="1576" t="e">
        <f t="shared" si="4"/>
        <v>#N/A</v>
      </c>
      <c r="AC34" s="1576" t="e">
        <f t="shared" si="5"/>
        <v>#N/A</v>
      </c>
    </row>
    <row r="35" spans="1:29" ht="15">
      <c r="A35" s="595"/>
      <c r="B35" s="529"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3"/>
      <c r="M35" s="2135"/>
      <c r="N35" s="2135"/>
      <c r="O35" s="2135"/>
      <c r="P35" s="3249"/>
      <c r="Q35" s="1572" t="str">
        <f t="shared" si="8"/>
        <v>建筑结构</v>
      </c>
      <c r="R35" s="1573" t="s">
        <v>8</v>
      </c>
      <c r="S35" s="1574">
        <f t="shared" si="9"/>
        <v>100</v>
      </c>
      <c r="T35" s="1573" t="s">
        <v>8</v>
      </c>
      <c r="U35" s="1574">
        <f t="shared" si="10"/>
        <v>100</v>
      </c>
      <c r="V35" s="1573" t="s">
        <v>8</v>
      </c>
      <c r="W35" s="1574">
        <f t="shared" si="11"/>
        <v>100</v>
      </c>
      <c r="X35" s="1567"/>
      <c r="Y35" s="3249"/>
      <c r="Z35" s="1575" t="str">
        <f t="shared" si="12"/>
        <v>建筑结构</v>
      </c>
      <c r="AA35" s="1576">
        <f t="shared" si="3"/>
        <v>1</v>
      </c>
      <c r="AB35" s="1576">
        <f t="shared" si="4"/>
        <v>1</v>
      </c>
      <c r="AC35" s="1576">
        <f t="shared" si="5"/>
        <v>1</v>
      </c>
    </row>
    <row r="36" spans="1:29" ht="15">
      <c r="A36" s="595"/>
      <c r="B36" s="529"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3"/>
      <c r="M36" s="2135"/>
      <c r="N36" s="2135"/>
      <c r="O36" s="2135"/>
      <c r="P36" s="3249"/>
      <c r="Q36" s="1572" t="str">
        <f t="shared" si="8"/>
        <v>公共部分装修</v>
      </c>
      <c r="R36" s="1573" t="s">
        <v>8</v>
      </c>
      <c r="S36" s="1574">
        <f t="shared" si="9"/>
        <v>100</v>
      </c>
      <c r="T36" s="1573" t="s">
        <v>8</v>
      </c>
      <c r="U36" s="1574">
        <f t="shared" si="10"/>
        <v>100</v>
      </c>
      <c r="V36" s="1573" t="s">
        <v>8</v>
      </c>
      <c r="W36" s="1574">
        <f t="shared" si="11"/>
        <v>100</v>
      </c>
      <c r="X36" s="1567"/>
      <c r="Y36" s="3249"/>
      <c r="Z36" s="1575" t="str">
        <f t="shared" si="12"/>
        <v>公共部分装修</v>
      </c>
      <c r="AA36" s="1576">
        <f t="shared" si="3"/>
        <v>1</v>
      </c>
      <c r="AB36" s="1576">
        <f t="shared" si="4"/>
        <v>1</v>
      </c>
      <c r="AC36" s="1576">
        <f t="shared" si="5"/>
        <v>1</v>
      </c>
    </row>
    <row r="37" spans="1:29" ht="15">
      <c r="A37" s="595"/>
      <c r="B37" s="529" t="s">
        <v>765</v>
      </c>
      <c r="C37" s="882"/>
      <c r="D37" s="541">
        <v>100</v>
      </c>
      <c r="E37" s="882"/>
      <c r="F37" s="576" t="e">
        <f>LOOKUP(E37,111:111,112:112)-LOOKUP(C37,111:111,112:112)+100</f>
        <v>#N/A</v>
      </c>
      <c r="G37" s="882"/>
      <c r="H37" s="576" t="e">
        <f>LOOKUP(G37,111:111,112:112)-LOOKUP(C37,111:111,112:112)+100</f>
        <v>#N/A</v>
      </c>
      <c r="I37" s="882"/>
      <c r="J37" s="541" t="e">
        <f>LOOKUP(I37,111:111,112:112)-LOOKUP(C37,111:111,112:112)+100</f>
        <v>#N/A</v>
      </c>
      <c r="K37" s="585"/>
      <c r="L37" s="2143"/>
      <c r="M37" s="2135"/>
      <c r="N37" s="2135"/>
      <c r="O37" s="2135"/>
      <c r="P37" s="3249"/>
      <c r="Q37" s="1572" t="str">
        <f t="shared" si="8"/>
        <v>成新度</v>
      </c>
      <c r="R37" s="1573" t="s">
        <v>8</v>
      </c>
      <c r="S37" s="1574" t="e">
        <f t="shared" si="9"/>
        <v>#N/A</v>
      </c>
      <c r="T37" s="1573" t="s">
        <v>8</v>
      </c>
      <c r="U37" s="1574" t="e">
        <f t="shared" si="10"/>
        <v>#N/A</v>
      </c>
      <c r="V37" s="1573" t="s">
        <v>8</v>
      </c>
      <c r="W37" s="1574" t="e">
        <f t="shared" si="11"/>
        <v>#N/A</v>
      </c>
      <c r="X37" s="1567"/>
      <c r="Y37" s="3249"/>
      <c r="Z37" s="1575" t="str">
        <f t="shared" si="12"/>
        <v>成新度</v>
      </c>
      <c r="AA37" s="1576" t="e">
        <f t="shared" si="3"/>
        <v>#N/A</v>
      </c>
      <c r="AB37" s="1576" t="e">
        <f t="shared" si="4"/>
        <v>#N/A</v>
      </c>
      <c r="AC37" s="1576" t="e">
        <f t="shared" si="5"/>
        <v>#N/A</v>
      </c>
    </row>
    <row r="38" spans="1:29" s="1219" customFormat="1" ht="15">
      <c r="A38" s="601"/>
      <c r="B38" s="529" t="s">
        <v>782</v>
      </c>
      <c r="C38" s="575"/>
      <c r="D38" s="254">
        <v>100</v>
      </c>
      <c r="E38" s="575"/>
      <c r="F38" s="576">
        <f>SUMIF(113:113,E38,114:114)-SUMIF(113:113,C38,114:114)+100</f>
        <v>100</v>
      </c>
      <c r="G38" s="575"/>
      <c r="H38" s="541">
        <f>SUMIF(113:113,G38,114:114)-SUMIF(113:113,C38,114:114)+100</f>
        <v>100</v>
      </c>
      <c r="I38" s="575"/>
      <c r="J38" s="541">
        <f>SUMIF(113:113,I38,114:114)-SUMIF(113:113,C38,114:114)+100</f>
        <v>100</v>
      </c>
      <c r="K38" s="585"/>
      <c r="L38" s="2136"/>
      <c r="M38" s="2137"/>
      <c r="N38" s="2137"/>
      <c r="O38" s="2137"/>
      <c r="P38" s="3249"/>
      <c r="Q38" s="1150" t="str">
        <f t="shared" si="8"/>
        <v>写字楼等级</v>
      </c>
      <c r="R38" s="1568" t="s">
        <v>8</v>
      </c>
      <c r="S38" s="1569">
        <f t="shared" si="9"/>
        <v>100</v>
      </c>
      <c r="T38" s="1568" t="s">
        <v>8</v>
      </c>
      <c r="U38" s="1569">
        <f t="shared" si="10"/>
        <v>100</v>
      </c>
      <c r="V38" s="1568" t="s">
        <v>8</v>
      </c>
      <c r="W38" s="1569">
        <f t="shared" si="11"/>
        <v>100</v>
      </c>
      <c r="X38" s="1570"/>
      <c r="Y38" s="3249"/>
      <c r="Z38" s="1149" t="str">
        <f t="shared" si="12"/>
        <v>写字楼等级</v>
      </c>
      <c r="AA38" s="1571">
        <f t="shared" si="3"/>
        <v>1</v>
      </c>
      <c r="AB38" s="1571">
        <f t="shared" si="4"/>
        <v>1</v>
      </c>
      <c r="AC38" s="1571">
        <f t="shared" si="5"/>
        <v>1</v>
      </c>
    </row>
    <row r="39" spans="1:29" ht="15">
      <c r="A39" s="595"/>
      <c r="B39" s="529"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3"/>
      <c r="M39" s="2135"/>
      <c r="N39" s="2135"/>
      <c r="O39" s="2135"/>
      <c r="P39" s="3249" t="s">
        <v>551</v>
      </c>
      <c r="Q39" s="1572" t="str">
        <f t="shared" si="8"/>
        <v>物业管理</v>
      </c>
      <c r="R39" s="1573" t="s">
        <v>8</v>
      </c>
      <c r="S39" s="1574">
        <f t="shared" si="9"/>
        <v>100</v>
      </c>
      <c r="T39" s="1573" t="s">
        <v>8</v>
      </c>
      <c r="U39" s="1574">
        <f t="shared" si="10"/>
        <v>100</v>
      </c>
      <c r="V39" s="1573" t="s">
        <v>8</v>
      </c>
      <c r="W39" s="1574">
        <f t="shared" si="11"/>
        <v>100</v>
      </c>
      <c r="X39" s="1567"/>
      <c r="Y39" s="3249" t="s">
        <v>551</v>
      </c>
      <c r="Z39" s="1575" t="str">
        <f t="shared" si="12"/>
        <v>物业管理</v>
      </c>
      <c r="AA39" s="1576">
        <f t="shared" si="3"/>
        <v>1</v>
      </c>
      <c r="AB39" s="1576">
        <f t="shared" si="4"/>
        <v>1</v>
      </c>
      <c r="AC39" s="1576">
        <f t="shared" si="5"/>
        <v>1</v>
      </c>
    </row>
    <row r="40" spans="1:29" ht="15">
      <c r="A40" s="595"/>
      <c r="B40" s="1896" t="s">
        <v>2571</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3"/>
      <c r="M40" s="2135"/>
      <c r="N40" s="2135"/>
      <c r="O40" s="2135"/>
      <c r="P40" s="3249"/>
      <c r="Q40" s="1572" t="str">
        <f t="shared" si="8"/>
        <v>市政基础设施</v>
      </c>
      <c r="R40" s="1573" t="s">
        <v>8</v>
      </c>
      <c r="S40" s="1574">
        <f t="shared" si="9"/>
        <v>100</v>
      </c>
      <c r="T40" s="1573" t="s">
        <v>8</v>
      </c>
      <c r="U40" s="1574">
        <f t="shared" si="10"/>
        <v>100</v>
      </c>
      <c r="V40" s="1573" t="s">
        <v>8</v>
      </c>
      <c r="W40" s="1574">
        <f t="shared" si="11"/>
        <v>100</v>
      </c>
      <c r="X40" s="1567"/>
      <c r="Y40" s="3249"/>
      <c r="Z40" s="1575" t="str">
        <f t="shared" si="12"/>
        <v>市政基础设施</v>
      </c>
      <c r="AA40" s="1576">
        <f t="shared" si="3"/>
        <v>1</v>
      </c>
      <c r="AB40" s="1576">
        <f t="shared" si="4"/>
        <v>1</v>
      </c>
      <c r="AC40" s="1576">
        <f t="shared" si="5"/>
        <v>1</v>
      </c>
    </row>
    <row r="41" spans="1:29" ht="15">
      <c r="A41" s="595"/>
      <c r="B41" s="529"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3"/>
      <c r="M41" s="2135"/>
      <c r="N41" s="2135"/>
      <c r="O41" s="2135"/>
      <c r="P41" s="3249"/>
      <c r="Q41" s="1572" t="str">
        <f t="shared" si="8"/>
        <v>层高</v>
      </c>
      <c r="R41" s="1573" t="s">
        <v>8</v>
      </c>
      <c r="S41" s="1574">
        <f t="shared" si="9"/>
        <v>100</v>
      </c>
      <c r="T41" s="1573" t="s">
        <v>8</v>
      </c>
      <c r="U41" s="1574">
        <f t="shared" si="10"/>
        <v>100</v>
      </c>
      <c r="V41" s="1573" t="s">
        <v>8</v>
      </c>
      <c r="W41" s="1574">
        <f t="shared" si="11"/>
        <v>100</v>
      </c>
      <c r="X41" s="1567"/>
      <c r="Y41" s="3249"/>
      <c r="Z41" s="1575" t="str">
        <f t="shared" si="12"/>
        <v>层高</v>
      </c>
      <c r="AA41" s="1576">
        <f t="shared" si="3"/>
        <v>1</v>
      </c>
      <c r="AB41" s="1576">
        <f t="shared" si="4"/>
        <v>1</v>
      </c>
      <c r="AC41" s="1576">
        <f t="shared" si="5"/>
        <v>1</v>
      </c>
    </row>
    <row r="42" spans="1:29" s="1338" customFormat="1" ht="15">
      <c r="A42" s="604"/>
      <c r="B42" s="903"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1"/>
      <c r="M42" s="2172"/>
      <c r="N42" s="2172"/>
      <c r="O42" s="2172"/>
      <c r="P42" s="3249"/>
      <c r="Q42" s="1605" t="str">
        <f t="shared" si="8"/>
        <v>单套建筑面积</v>
      </c>
      <c r="R42" s="1577" t="s">
        <v>8</v>
      </c>
      <c r="S42" s="1578">
        <f t="shared" si="9"/>
        <v>100</v>
      </c>
      <c r="T42" s="1577" t="s">
        <v>8</v>
      </c>
      <c r="U42" s="1578">
        <f t="shared" si="10"/>
        <v>100</v>
      </c>
      <c r="V42" s="1577" t="s">
        <v>8</v>
      </c>
      <c r="W42" s="1578">
        <f t="shared" si="11"/>
        <v>100</v>
      </c>
      <c r="X42" s="1579"/>
      <c r="Y42" s="3249"/>
      <c r="Z42" s="1580" t="str">
        <f t="shared" si="12"/>
        <v>单套建筑面积</v>
      </c>
      <c r="AA42" s="1576">
        <f t="shared" si="3"/>
        <v>1</v>
      </c>
      <c r="AB42" s="1576">
        <f t="shared" si="4"/>
        <v>1</v>
      </c>
      <c r="AC42" s="1576">
        <f t="shared" si="5"/>
        <v>1</v>
      </c>
    </row>
    <row r="43" spans="1:29" ht="15">
      <c r="A43" s="595"/>
      <c r="B43" s="529"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3"/>
      <c r="M43" s="2135"/>
      <c r="N43" s="2135"/>
      <c r="O43" s="2135"/>
      <c r="P43" s="3249"/>
      <c r="Q43" s="1572" t="str">
        <f t="shared" si="8"/>
        <v>内部装修</v>
      </c>
      <c r="R43" s="1573" t="s">
        <v>8</v>
      </c>
      <c r="S43" s="1574">
        <f t="shared" si="9"/>
        <v>100</v>
      </c>
      <c r="T43" s="1573" t="s">
        <v>8</v>
      </c>
      <c r="U43" s="1574">
        <f t="shared" si="10"/>
        <v>100</v>
      </c>
      <c r="V43" s="1573" t="s">
        <v>8</v>
      </c>
      <c r="W43" s="1574">
        <f t="shared" si="11"/>
        <v>100</v>
      </c>
      <c r="X43" s="1567"/>
      <c r="Y43" s="3249"/>
      <c r="Z43" s="1575" t="str">
        <f t="shared" si="12"/>
        <v>内部装修</v>
      </c>
      <c r="AA43" s="1576">
        <f t="shared" si="3"/>
        <v>1</v>
      </c>
      <c r="AB43" s="1576">
        <f t="shared" si="4"/>
        <v>1</v>
      </c>
      <c r="AC43" s="1576">
        <f t="shared" si="5"/>
        <v>1</v>
      </c>
    </row>
    <row r="44" spans="1:29" ht="27">
      <c r="A44" s="595"/>
      <c r="B44" s="529"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3"/>
      <c r="M44" s="2135"/>
      <c r="N44" s="2135"/>
      <c r="O44" s="2135"/>
      <c r="P44" s="3249"/>
      <c r="Q44" s="1572" t="str">
        <f t="shared" si="8"/>
        <v>内部装修维护情况</v>
      </c>
      <c r="R44" s="1573" t="s">
        <v>8</v>
      </c>
      <c r="S44" s="1574">
        <f t="shared" si="9"/>
        <v>100</v>
      </c>
      <c r="T44" s="1573" t="s">
        <v>8</v>
      </c>
      <c r="U44" s="1574">
        <f t="shared" si="10"/>
        <v>100</v>
      </c>
      <c r="V44" s="1573" t="s">
        <v>8</v>
      </c>
      <c r="W44" s="1574">
        <f t="shared" si="11"/>
        <v>100</v>
      </c>
      <c r="X44" s="1567"/>
      <c r="Y44" s="3249"/>
      <c r="Z44" s="1575" t="str">
        <f t="shared" si="12"/>
        <v>内部装修维护情况</v>
      </c>
      <c r="AA44" s="1576">
        <f t="shared" si="3"/>
        <v>1</v>
      </c>
      <c r="AB44" s="1576">
        <f t="shared" si="4"/>
        <v>1</v>
      </c>
      <c r="AC44" s="1576">
        <f t="shared" si="5"/>
        <v>1</v>
      </c>
    </row>
    <row r="45" spans="1:29" s="1219" customFormat="1" ht="15">
      <c r="A45" s="601"/>
      <c r="B45" s="877">
        <v>111</v>
      </c>
      <c r="C45" s="879"/>
      <c r="D45" s="254">
        <v>100</v>
      </c>
      <c r="E45" s="530"/>
      <c r="F45" s="864">
        <f>SUMIF(127:127,E45,128:128)-SUMIF(127:127,C45,128:128)+100</f>
        <v>100</v>
      </c>
      <c r="G45" s="530"/>
      <c r="H45" s="254">
        <f>SUMIF(127:127,G45,128:128)-SUMIF(127:127,C45,128:128)+100</f>
        <v>100</v>
      </c>
      <c r="I45" s="530"/>
      <c r="J45" s="254">
        <f>SUMIF(127:127,I45,128:128)-SUMIF(127:127,C45,128:128)+100</f>
        <v>100</v>
      </c>
      <c r="K45" s="582"/>
      <c r="L45" s="2136"/>
      <c r="M45" s="2137"/>
      <c r="N45" s="2137"/>
      <c r="O45" s="2137"/>
      <c r="P45" s="3249"/>
      <c r="Q45" s="1150">
        <f t="shared" si="8"/>
        <v>111</v>
      </c>
      <c r="R45" s="1568" t="s">
        <v>8</v>
      </c>
      <c r="S45" s="1569">
        <f t="shared" si="9"/>
        <v>100</v>
      </c>
      <c r="T45" s="1568" t="s">
        <v>8</v>
      </c>
      <c r="U45" s="1569">
        <f t="shared" si="10"/>
        <v>100</v>
      </c>
      <c r="V45" s="1568" t="s">
        <v>8</v>
      </c>
      <c r="W45" s="1569">
        <f t="shared" si="11"/>
        <v>100</v>
      </c>
      <c r="X45" s="1570"/>
      <c r="Y45" s="3249"/>
      <c r="Z45" s="1149">
        <f t="shared" si="12"/>
        <v>111</v>
      </c>
      <c r="AA45" s="1571">
        <f t="shared" si="3"/>
        <v>1</v>
      </c>
      <c r="AB45" s="1571">
        <f t="shared" si="4"/>
        <v>1</v>
      </c>
      <c r="AC45" s="1571">
        <f t="shared" si="5"/>
        <v>1</v>
      </c>
    </row>
    <row r="46" spans="1:29" ht="15">
      <c r="A46" s="595"/>
      <c r="B46" s="877">
        <v>111</v>
      </c>
      <c r="C46" s="540"/>
      <c r="D46" s="541">
        <v>100</v>
      </c>
      <c r="E46" s="530"/>
      <c r="F46" s="576">
        <f>SUMIF(129:129,E46,130:130)-SUMIF(129:129,C46,130:130)+100</f>
        <v>100</v>
      </c>
      <c r="G46" s="530"/>
      <c r="H46" s="541">
        <f>SUMIF(129:129,G46,130:130)-SUMIF(129:129,C46,130:130)+100</f>
        <v>100</v>
      </c>
      <c r="I46" s="530"/>
      <c r="J46" s="541">
        <f>SUMIF(129:129,I46,130:130)-SUMIF(129:129,C46,130:130)+100</f>
        <v>100</v>
      </c>
      <c r="K46" s="582"/>
      <c r="L46" s="2143"/>
      <c r="M46" s="2135"/>
      <c r="N46" s="2135"/>
      <c r="O46" s="2135"/>
      <c r="P46" s="3249"/>
      <c r="Q46" s="1572">
        <f t="shared" si="8"/>
        <v>111</v>
      </c>
      <c r="R46" s="1573" t="s">
        <v>8</v>
      </c>
      <c r="S46" s="1574">
        <f t="shared" si="9"/>
        <v>100</v>
      </c>
      <c r="T46" s="1573" t="s">
        <v>8</v>
      </c>
      <c r="U46" s="1574">
        <f t="shared" si="10"/>
        <v>100</v>
      </c>
      <c r="V46" s="1573" t="s">
        <v>8</v>
      </c>
      <c r="W46" s="1574">
        <f t="shared" si="11"/>
        <v>100</v>
      </c>
      <c r="X46" s="1567"/>
      <c r="Y46" s="3249"/>
      <c r="Z46" s="1575">
        <f t="shared" si="12"/>
        <v>111</v>
      </c>
      <c r="AA46" s="1576">
        <f t="shared" si="3"/>
        <v>1</v>
      </c>
      <c r="AB46" s="1576">
        <f t="shared" si="4"/>
        <v>1</v>
      </c>
      <c r="AC46" s="1576">
        <f t="shared" si="5"/>
        <v>1</v>
      </c>
    </row>
    <row r="47" spans="1:29" ht="15.75" thickBot="1">
      <c r="A47" s="885"/>
      <c r="B47" s="545">
        <v>111</v>
      </c>
      <c r="C47" s="546"/>
      <c r="D47" s="547">
        <v>100</v>
      </c>
      <c r="E47" s="530"/>
      <c r="F47" s="867">
        <f>SUMIF(131:131,E47,132:132)-SUMIF(131:131,C47,132:132)+100</f>
        <v>100</v>
      </c>
      <c r="G47" s="530"/>
      <c r="H47" s="547">
        <f>SUMIF(131:131,G47,132:132)-SUMIF(131:131,C47,132:132)+100</f>
        <v>100</v>
      </c>
      <c r="I47" s="530"/>
      <c r="J47" s="547">
        <f>SUMIF(131:131,I47,132:132)-SUMIF(131:131,C47,132:132)+100</f>
        <v>100</v>
      </c>
      <c r="K47" s="582"/>
      <c r="L47" s="2143"/>
      <c r="M47" s="2135"/>
      <c r="N47" s="2135"/>
      <c r="O47" s="2135"/>
      <c r="P47" s="3250"/>
      <c r="Q47" s="1572">
        <f t="shared" si="8"/>
        <v>111</v>
      </c>
      <c r="R47" s="1573" t="s">
        <v>8</v>
      </c>
      <c r="S47" s="1574">
        <f t="shared" si="9"/>
        <v>100</v>
      </c>
      <c r="T47" s="1573" t="s">
        <v>8</v>
      </c>
      <c r="U47" s="1574">
        <f t="shared" si="10"/>
        <v>100</v>
      </c>
      <c r="V47" s="1573" t="s">
        <v>8</v>
      </c>
      <c r="W47" s="1574">
        <f t="shared" si="11"/>
        <v>100</v>
      </c>
      <c r="X47" s="1567"/>
      <c r="Y47" s="3250"/>
      <c r="Z47" s="1575">
        <f t="shared" si="12"/>
        <v>111</v>
      </c>
      <c r="AA47" s="1576">
        <f t="shared" si="3"/>
        <v>1</v>
      </c>
      <c r="AB47" s="1576">
        <f t="shared" si="4"/>
        <v>1</v>
      </c>
      <c r="AC47" s="1576">
        <f t="shared" si="5"/>
        <v>1</v>
      </c>
    </row>
    <row r="48" spans="1:29" ht="15">
      <c r="A48" s="608" t="s">
        <v>737</v>
      </c>
      <c r="B48" s="886"/>
      <c r="C48" s="2649" t="s">
        <v>1</v>
      </c>
      <c r="D48" s="2650"/>
      <c r="E48" s="2651"/>
      <c r="F48" s="2652"/>
      <c r="G48" s="2653"/>
      <c r="H48" s="2654"/>
      <c r="I48" s="2651"/>
      <c r="J48" s="2654"/>
      <c r="K48" s="1611"/>
      <c r="L48" s="2145"/>
      <c r="M48" s="2135"/>
      <c r="N48" s="2135"/>
      <c r="O48" s="2135"/>
      <c r="P48" s="3244" t="str">
        <f>A48</f>
        <v>成交单价（元/平方米）</v>
      </c>
      <c r="Q48" s="3241"/>
      <c r="R48" s="3242">
        <f>E48</f>
        <v>0</v>
      </c>
      <c r="S48" s="3242"/>
      <c r="T48" s="3242">
        <f>G48</f>
        <v>0</v>
      </c>
      <c r="U48" s="3242"/>
      <c r="V48" s="3242">
        <f>I48</f>
        <v>0</v>
      </c>
      <c r="W48" s="3242"/>
      <c r="X48" s="1559"/>
      <c r="Y48" s="1581"/>
      <c r="Z48" s="1559"/>
      <c r="AA48" s="1559"/>
      <c r="AB48" s="1559"/>
      <c r="AC48" s="1559"/>
    </row>
    <row r="49" spans="1:29" ht="15.75" thickBot="1">
      <c r="A49" s="616" t="s">
        <v>2768</v>
      </c>
      <c r="B49" s="887"/>
      <c r="C49" s="2655" t="e">
        <f>R50</f>
        <v>#DIV/0!</v>
      </c>
      <c r="D49" s="2656"/>
      <c r="E49" s="2657" t="e">
        <f>R49</f>
        <v>#DIV/0!</v>
      </c>
      <c r="F49" s="2657"/>
      <c r="G49" s="2655" t="e">
        <f>T49</f>
        <v>#DIV/0!</v>
      </c>
      <c r="H49" s="2656"/>
      <c r="I49" s="2657" t="e">
        <f>V49</f>
        <v>#DIV/0!</v>
      </c>
      <c r="J49" s="2656"/>
      <c r="K49" s="1612"/>
      <c r="L49" s="2145"/>
      <c r="M49" s="2135"/>
      <c r="N49" s="2135"/>
      <c r="O49" s="2135"/>
      <c r="P49" s="3244" t="str">
        <f>A49</f>
        <v>比较价格（元/平方米）</v>
      </c>
      <c r="Q49" s="3241"/>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1559"/>
      <c r="Y49" s="1559"/>
      <c r="Z49" s="1559"/>
      <c r="AA49" s="1559"/>
      <c r="AB49" s="1559"/>
      <c r="AC49" s="1559"/>
    </row>
    <row r="50" spans="1:29" ht="15.75" thickBot="1">
      <c r="A50" s="622" t="s">
        <v>2943</v>
      </c>
      <c r="B50" s="623"/>
      <c r="C50" s="2658" t="e">
        <f>R50</f>
        <v>#DIV/0!</v>
      </c>
      <c r="D50" s="2658"/>
      <c r="E50" s="2658"/>
      <c r="F50" s="2658"/>
      <c r="G50" s="2658"/>
      <c r="H50" s="2658"/>
      <c r="I50" s="2658"/>
      <c r="J50" s="2658"/>
      <c r="K50" s="1613"/>
      <c r="L50" s="2145"/>
      <c r="M50" s="2135"/>
      <c r="N50" s="2135"/>
      <c r="O50" s="2135"/>
      <c r="P50" s="3506" t="str">
        <f>A50</f>
        <v>估价对象XX用房的比较价格（楼面单价，元/平方米）</v>
      </c>
      <c r="Q50" s="3244"/>
      <c r="R50" s="3245" t="e">
        <f>IF(F1="售价",ROUND(AVERAGE(R49:V49),0),ROUND(AVERAGE(R49:V49),1))</f>
        <v>#DIV/0!</v>
      </c>
      <c r="S50" s="3245"/>
      <c r="T50" s="3245"/>
      <c r="U50" s="3245"/>
      <c r="V50" s="3245"/>
      <c r="W50" s="324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6" t="s">
        <v>530</v>
      </c>
      <c r="B59" s="647"/>
      <c r="C59" s="2826" t="str">
        <f>YEAR(C7)&amp;"-"&amp;MONTH(C7)</f>
        <v>2018-3</v>
      </c>
      <c r="D59" s="2828">
        <f>EDATE(C59,-1)</f>
        <v>43132</v>
      </c>
      <c r="E59" s="2828">
        <f t="shared" ref="E59:O59" si="13">EDATE(D59,-1)</f>
        <v>43101</v>
      </c>
      <c r="F59" s="2828">
        <f t="shared" si="13"/>
        <v>43070</v>
      </c>
      <c r="G59" s="2828">
        <f t="shared" si="13"/>
        <v>43040</v>
      </c>
      <c r="H59" s="2828">
        <f t="shared" si="13"/>
        <v>43009</v>
      </c>
      <c r="I59" s="2828">
        <f t="shared" si="13"/>
        <v>42979</v>
      </c>
      <c r="J59" s="2828">
        <f t="shared" si="13"/>
        <v>42948</v>
      </c>
      <c r="K59" s="2828">
        <f t="shared" si="13"/>
        <v>42917</v>
      </c>
      <c r="L59" s="2828">
        <f t="shared" si="13"/>
        <v>42887</v>
      </c>
      <c r="M59" s="2828">
        <f t="shared" si="13"/>
        <v>42856</v>
      </c>
      <c r="N59" s="2828">
        <f t="shared" si="13"/>
        <v>42826</v>
      </c>
      <c r="O59" s="2828">
        <f t="shared" si="13"/>
        <v>42795</v>
      </c>
      <c r="P59" s="2212"/>
      <c r="Q59" s="2162"/>
      <c r="R59" s="2162"/>
      <c r="S59" s="2162"/>
      <c r="T59" s="2162"/>
      <c r="U59" s="2162"/>
      <c r="V59" s="2162"/>
      <c r="W59" s="2162"/>
      <c r="X59" s="2162"/>
      <c r="Y59" s="2162"/>
      <c r="Z59" s="2162"/>
      <c r="AA59" s="2162"/>
      <c r="AB59" s="2162"/>
      <c r="AC59" s="2162"/>
    </row>
    <row r="60" spans="1:29" s="1219" customFormat="1" ht="15">
      <c r="A60" s="648"/>
      <c r="B60" s="649"/>
      <c r="C60" s="650">
        <v>100</v>
      </c>
      <c r="D60" s="651"/>
      <c r="E60" s="651"/>
      <c r="F60" s="651"/>
      <c r="G60" s="651"/>
      <c r="H60" s="651"/>
      <c r="I60" s="651"/>
      <c r="J60" s="651"/>
      <c r="K60" s="651"/>
      <c r="L60" s="651"/>
      <c r="M60" s="652"/>
      <c r="N60" s="651"/>
      <c r="O60" s="652"/>
      <c r="P60" s="2213"/>
      <c r="Q60" s="1994"/>
      <c r="R60" s="1994"/>
      <c r="S60" s="1994"/>
      <c r="T60" s="1994"/>
      <c r="U60" s="1994"/>
      <c r="V60" s="1994"/>
      <c r="W60" s="1994"/>
      <c r="X60" s="1994"/>
      <c r="Y60" s="1994"/>
      <c r="Z60" s="1994"/>
      <c r="AA60" s="1994"/>
      <c r="AB60" s="1994"/>
      <c r="AC60" s="1994"/>
    </row>
    <row r="61" spans="1:29" s="1219" customFormat="1" ht="15.75" thickBot="1">
      <c r="A61" s="654" t="s">
        <v>576</v>
      </c>
      <c r="B61" s="655"/>
      <c r="C61" s="656"/>
      <c r="D61" s="657"/>
      <c r="E61" s="657"/>
      <c r="F61" s="657"/>
      <c r="G61" s="657"/>
      <c r="H61" s="657"/>
      <c r="I61" s="657"/>
      <c r="J61" s="657"/>
      <c r="K61" s="657"/>
      <c r="L61" s="657"/>
      <c r="M61" s="658"/>
      <c r="N61" s="657"/>
      <c r="O61" s="658"/>
      <c r="P61" s="2213"/>
      <c r="Q61" s="2159"/>
      <c r="R61" s="1994"/>
      <c r="S61" s="1994"/>
      <c r="T61" s="1994"/>
      <c r="U61" s="1994"/>
      <c r="V61" s="1994"/>
      <c r="W61" s="1994"/>
      <c r="X61" s="1994"/>
      <c r="Y61" s="1994"/>
      <c r="Z61" s="1994"/>
      <c r="AA61" s="1994"/>
      <c r="AB61" s="1994"/>
      <c r="AC61" s="1994"/>
    </row>
    <row r="62" spans="1:29" s="1219" customFormat="1" ht="15">
      <c r="A62" s="660" t="s">
        <v>532</v>
      </c>
      <c r="B62" s="649"/>
      <c r="C62" s="661" t="s">
        <v>577</v>
      </c>
      <c r="D62" s="662"/>
      <c r="E62" s="662"/>
      <c r="F62" s="662"/>
      <c r="G62" s="662"/>
      <c r="H62" s="662"/>
      <c r="I62" s="662"/>
      <c r="J62" s="662"/>
      <c r="K62" s="662"/>
      <c r="L62" s="663"/>
      <c r="M62" s="664"/>
      <c r="N62" s="2163"/>
      <c r="O62" s="2163"/>
      <c r="P62" s="2214"/>
      <c r="Q62" s="2159"/>
      <c r="R62" s="1994"/>
      <c r="S62" s="1994"/>
      <c r="T62" s="1994"/>
      <c r="U62" s="1994"/>
      <c r="V62" s="1994"/>
      <c r="W62" s="1994"/>
      <c r="X62" s="1994"/>
      <c r="Y62" s="1994"/>
      <c r="Z62" s="1994"/>
      <c r="AA62" s="1994"/>
      <c r="AB62" s="1994"/>
      <c r="AC62" s="1994"/>
    </row>
    <row r="63" spans="1:29" s="1219" customFormat="1" ht="15.75" thickBot="1">
      <c r="A63" s="660"/>
      <c r="B63" s="649"/>
      <c r="C63" s="888">
        <v>100</v>
      </c>
      <c r="D63" s="651"/>
      <c r="E63" s="651"/>
      <c r="F63" s="651"/>
      <c r="G63" s="651"/>
      <c r="H63" s="651"/>
      <c r="I63" s="651"/>
      <c r="J63" s="651"/>
      <c r="K63" s="651"/>
      <c r="L63" s="651"/>
      <c r="M63" s="653"/>
      <c r="N63" s="2163"/>
      <c r="O63" s="2163"/>
      <c r="P63" s="2213"/>
      <c r="Q63" s="2159"/>
      <c r="R63" s="1994"/>
      <c r="S63" s="1994"/>
      <c r="T63" s="1994"/>
      <c r="U63" s="1994"/>
      <c r="V63" s="1994"/>
      <c r="W63" s="1994"/>
      <c r="X63" s="1994"/>
      <c r="Y63" s="1994"/>
      <c r="Z63" s="1994"/>
      <c r="AA63" s="1994"/>
      <c r="AB63" s="1994"/>
      <c r="AC63" s="1994"/>
    </row>
    <row r="64" spans="1:29">
      <c r="A64" s="665" t="s">
        <v>578</v>
      </c>
      <c r="B64" s="666" t="s">
        <v>535</v>
      </c>
      <c r="C64" s="705">
        <f>C9</f>
        <v>0</v>
      </c>
      <c r="D64" s="599"/>
      <c r="E64" s="599"/>
      <c r="F64" s="599"/>
      <c r="G64" s="599"/>
      <c r="H64" s="599"/>
      <c r="I64" s="599"/>
      <c r="J64" s="599"/>
      <c r="K64" s="667"/>
      <c r="L64" s="668"/>
      <c r="M64" s="669"/>
      <c r="N64" s="2165"/>
      <c r="O64" s="2165"/>
      <c r="P64" s="2215"/>
      <c r="Q64" s="2159"/>
      <c r="R64" s="2146"/>
      <c r="S64" s="2146"/>
      <c r="T64" s="2146"/>
      <c r="U64" s="2146"/>
      <c r="V64" s="2146"/>
      <c r="W64" s="2146"/>
      <c r="X64" s="2146"/>
      <c r="Y64" s="2146"/>
      <c r="Z64" s="2146"/>
      <c r="AA64" s="2146"/>
      <c r="AB64" s="2146"/>
      <c r="AC64" s="2146"/>
    </row>
    <row r="65" spans="1:29" ht="15.75" thickBot="1">
      <c r="A65" s="670"/>
      <c r="B65" s="671"/>
      <c r="C65" s="672"/>
      <c r="D65" s="672"/>
      <c r="E65" s="672"/>
      <c r="F65" s="672"/>
      <c r="G65" s="672"/>
      <c r="H65" s="672"/>
      <c r="I65" s="672"/>
      <c r="J65" s="672"/>
      <c r="K65" s="672"/>
      <c r="L65" s="672"/>
      <c r="M65" s="673"/>
      <c r="N65" s="2167"/>
      <c r="O65" s="2167"/>
      <c r="P65" s="2215"/>
      <c r="Q65" s="2159"/>
      <c r="R65" s="2146"/>
      <c r="S65" s="2146"/>
      <c r="T65" s="2146"/>
      <c r="U65" s="2146"/>
      <c r="V65" s="2146"/>
      <c r="W65" s="2146"/>
      <c r="X65" s="2146"/>
      <c r="Y65" s="2146"/>
      <c r="Z65" s="2146"/>
      <c r="AA65" s="2146"/>
      <c r="AB65" s="2146"/>
      <c r="AC65" s="2146"/>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5"/>
      <c r="O66" s="2165"/>
      <c r="P66" s="2215"/>
      <c r="Q66" s="2159"/>
      <c r="R66" s="2146"/>
      <c r="S66" s="2146"/>
      <c r="T66" s="2146"/>
      <c r="U66" s="2146"/>
      <c r="V66" s="2146"/>
      <c r="W66" s="2146"/>
      <c r="X66" s="2146"/>
      <c r="Y66" s="2146"/>
      <c r="Z66" s="2146"/>
      <c r="AA66" s="2146"/>
      <c r="AB66" s="2146"/>
      <c r="AC66" s="2146"/>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7"/>
      <c r="O67" s="2167"/>
      <c r="P67" s="2215"/>
      <c r="Q67" s="2159"/>
      <c r="R67" s="2146"/>
      <c r="S67" s="2146"/>
      <c r="T67" s="2146"/>
      <c r="U67" s="2146"/>
      <c r="V67" s="2146"/>
      <c r="W67" s="2146"/>
      <c r="X67" s="2146"/>
      <c r="Y67" s="2146"/>
      <c r="Z67" s="2146"/>
      <c r="AA67" s="2146"/>
      <c r="AB67" s="2146"/>
      <c r="AC67" s="2146"/>
    </row>
    <row r="68" spans="1:29" ht="15.75" thickTop="1">
      <c r="A68" s="670"/>
      <c r="B68" s="682" t="s">
        <v>539</v>
      </c>
      <c r="C68" s="683" t="str">
        <f>C69&amp;"（含）"&amp;"-"&amp;D69</f>
        <v>（含）-</v>
      </c>
      <c r="D68" s="683" t="str">
        <f t="shared" ref="D68:L68" si="14">D69&amp;"（含）"&amp;"-"&amp;E69</f>
        <v>（含）-</v>
      </c>
      <c r="E68" s="683" t="str">
        <f t="shared" si="14"/>
        <v>（含）-</v>
      </c>
      <c r="F68" s="683" t="str">
        <f t="shared" si="14"/>
        <v>（含）-</v>
      </c>
      <c r="G68" s="683" t="str">
        <f t="shared" si="14"/>
        <v>（含）-</v>
      </c>
      <c r="H68" s="683" t="str">
        <f t="shared" si="14"/>
        <v>（含）-</v>
      </c>
      <c r="I68" s="683" t="str">
        <f t="shared" si="14"/>
        <v>（含）-</v>
      </c>
      <c r="J68" s="683" t="str">
        <f t="shared" si="14"/>
        <v>（含）-</v>
      </c>
      <c r="K68" s="683" t="str">
        <f t="shared" si="14"/>
        <v>（含）-</v>
      </c>
      <c r="L68" s="683" t="str">
        <f t="shared" si="14"/>
        <v>（含）-</v>
      </c>
      <c r="M68" s="556"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0"/>
      <c r="B69" s="684"/>
      <c r="C69" s="542"/>
      <c r="D69" s="542"/>
      <c r="E69" s="542"/>
      <c r="F69" s="542"/>
      <c r="G69" s="542"/>
      <c r="H69" s="542"/>
      <c r="I69" s="542"/>
      <c r="J69" s="542"/>
      <c r="K69" s="685"/>
      <c r="L69" s="686"/>
      <c r="M69" s="687"/>
      <c r="N69" s="2165"/>
      <c r="O69" s="2165"/>
      <c r="P69" s="2215"/>
      <c r="Q69" s="2159"/>
      <c r="R69" s="2146"/>
      <c r="S69" s="2146"/>
      <c r="T69" s="2146"/>
      <c r="U69" s="2146"/>
      <c r="V69" s="2146"/>
      <c r="W69" s="2146"/>
      <c r="X69" s="2146"/>
      <c r="Y69" s="2146"/>
      <c r="Z69" s="2146"/>
      <c r="AA69" s="2146"/>
      <c r="AB69" s="2146"/>
      <c r="AC69" s="2146"/>
    </row>
    <row r="70" spans="1:29" ht="15.75" thickBot="1">
      <c r="A70" s="670"/>
      <c r="B70" s="671"/>
      <c r="C70" s="680">
        <v>100</v>
      </c>
      <c r="D70" s="680">
        <f t="shared" ref="D70:M70" si="15">C70-$K11</f>
        <v>100</v>
      </c>
      <c r="E70" s="680">
        <f t="shared" si="15"/>
        <v>100</v>
      </c>
      <c r="F70" s="680">
        <f t="shared" si="15"/>
        <v>100</v>
      </c>
      <c r="G70" s="680">
        <f t="shared" si="15"/>
        <v>100</v>
      </c>
      <c r="H70" s="680">
        <f t="shared" si="15"/>
        <v>100</v>
      </c>
      <c r="I70" s="680">
        <f t="shared" si="15"/>
        <v>100</v>
      </c>
      <c r="J70" s="680">
        <f t="shared" si="15"/>
        <v>100</v>
      </c>
      <c r="K70" s="680">
        <f t="shared" si="15"/>
        <v>100</v>
      </c>
      <c r="L70" s="680">
        <f t="shared" si="15"/>
        <v>100</v>
      </c>
      <c r="M70" s="681">
        <f t="shared" si="15"/>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8"/>
      <c r="B71" s="674">
        <f>B12</f>
        <v>111</v>
      </c>
      <c r="C71" s="689"/>
      <c r="D71" s="689"/>
      <c r="E71" s="689"/>
      <c r="F71" s="689"/>
      <c r="G71" s="689"/>
      <c r="H71" s="690"/>
      <c r="I71" s="690"/>
      <c r="J71" s="690"/>
      <c r="K71" s="690"/>
      <c r="L71" s="691"/>
      <c r="M71" s="692"/>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8"/>
      <c r="B72" s="679"/>
      <c r="C72" s="693"/>
      <c r="D72" s="672"/>
      <c r="E72" s="672"/>
      <c r="F72" s="672"/>
      <c r="G72" s="672"/>
      <c r="H72" s="672"/>
      <c r="I72" s="672"/>
      <c r="J72" s="672"/>
      <c r="K72" s="672"/>
      <c r="L72" s="672"/>
      <c r="M72" s="673"/>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8"/>
      <c r="B73" s="674">
        <f>B13</f>
        <v>111</v>
      </c>
      <c r="C73" s="689"/>
      <c r="D73" s="689"/>
      <c r="E73" s="689"/>
      <c r="F73" s="689"/>
      <c r="G73" s="689"/>
      <c r="H73" s="690"/>
      <c r="I73" s="690"/>
      <c r="J73" s="690"/>
      <c r="K73" s="690"/>
      <c r="L73" s="691"/>
      <c r="M73" s="692"/>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8"/>
      <c r="B74" s="679"/>
      <c r="C74" s="693"/>
      <c r="D74" s="693"/>
      <c r="E74" s="693"/>
      <c r="F74" s="693"/>
      <c r="G74" s="693"/>
      <c r="H74" s="694"/>
      <c r="I74" s="694"/>
      <c r="J74" s="694"/>
      <c r="K74" s="694"/>
      <c r="L74" s="694"/>
      <c r="M74" s="695"/>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8"/>
      <c r="B75" s="682">
        <f>B14</f>
        <v>111</v>
      </c>
      <c r="C75" s="662"/>
      <c r="D75" s="662"/>
      <c r="E75" s="662"/>
      <c r="F75" s="662"/>
      <c r="G75" s="662"/>
      <c r="H75" s="696"/>
      <c r="I75" s="696"/>
      <c r="J75" s="696"/>
      <c r="K75" s="696"/>
      <c r="L75" s="697"/>
      <c r="M75" s="698"/>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9"/>
      <c r="B76" s="700"/>
      <c r="C76" s="701"/>
      <c r="D76" s="701"/>
      <c r="E76" s="701"/>
      <c r="F76" s="701"/>
      <c r="G76" s="701"/>
      <c r="H76" s="702"/>
      <c r="I76" s="702"/>
      <c r="J76" s="702"/>
      <c r="K76" s="702"/>
      <c r="L76" s="702"/>
      <c r="M76" s="703"/>
      <c r="N76" s="2168"/>
      <c r="O76" s="2168"/>
      <c r="P76" s="2216"/>
      <c r="Q76" s="2170"/>
      <c r="R76" s="2171"/>
      <c r="S76" s="2171"/>
      <c r="T76" s="2171"/>
      <c r="U76" s="2171"/>
      <c r="V76" s="2171"/>
      <c r="W76" s="2171"/>
      <c r="X76" s="2171"/>
      <c r="Y76" s="2171"/>
      <c r="Z76" s="2171"/>
      <c r="AA76" s="2171"/>
      <c r="AB76" s="2171"/>
      <c r="AC76" s="2171"/>
    </row>
    <row r="77" spans="1:29">
      <c r="A77" s="665" t="s">
        <v>540</v>
      </c>
      <c r="B77" s="666" t="s">
        <v>586</v>
      </c>
      <c r="C77" s="704" t="s">
        <v>580</v>
      </c>
      <c r="D77" s="704" t="s">
        <v>581</v>
      </c>
      <c r="E77" s="704" t="s">
        <v>582</v>
      </c>
      <c r="F77" s="704" t="s">
        <v>583</v>
      </c>
      <c r="G77" s="704" t="s">
        <v>584</v>
      </c>
      <c r="H77" s="705"/>
      <c r="I77" s="705"/>
      <c r="J77" s="705"/>
      <c r="K77" s="706"/>
      <c r="L77" s="707"/>
      <c r="M77" s="708"/>
      <c r="N77" s="2165"/>
      <c r="O77" s="2165"/>
      <c r="P77" s="2219"/>
      <c r="Q77" s="2159"/>
      <c r="R77" s="2146"/>
      <c r="S77" s="2146"/>
      <c r="T77" s="2146"/>
      <c r="U77" s="2146"/>
      <c r="V77" s="2146"/>
      <c r="W77" s="2146"/>
      <c r="X77" s="2146"/>
      <c r="Y77" s="2146"/>
      <c r="Z77" s="2146"/>
      <c r="AA77" s="2146"/>
      <c r="AB77" s="2146"/>
      <c r="AC77" s="2146"/>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7"/>
      <c r="O78" s="2167"/>
      <c r="P78" s="2215"/>
      <c r="Q78" s="2159"/>
      <c r="R78" s="2146"/>
      <c r="S78" s="2146"/>
      <c r="T78" s="2146"/>
      <c r="U78" s="2146"/>
      <c r="V78" s="2146"/>
      <c r="W78" s="2146"/>
      <c r="X78" s="2146"/>
      <c r="Y78" s="2146"/>
      <c r="Z78" s="2146"/>
      <c r="AA78" s="2146"/>
      <c r="AB78" s="2146"/>
      <c r="AC78" s="2146"/>
    </row>
    <row r="79" spans="1:29" ht="15.75" thickTop="1">
      <c r="A79" s="670"/>
      <c r="B79" s="674" t="s">
        <v>587</v>
      </c>
      <c r="C79" s="709" t="s">
        <v>580</v>
      </c>
      <c r="D79" s="709" t="s">
        <v>581</v>
      </c>
      <c r="E79" s="709" t="s">
        <v>582</v>
      </c>
      <c r="F79" s="709" t="s">
        <v>583</v>
      </c>
      <c r="G79" s="709" t="s">
        <v>584</v>
      </c>
      <c r="H79" s="675"/>
      <c r="I79" s="675"/>
      <c r="J79" s="675"/>
      <c r="K79" s="676"/>
      <c r="L79" s="677"/>
      <c r="M79" s="678"/>
      <c r="N79" s="2165"/>
      <c r="O79" s="2165"/>
      <c r="P79" s="2215"/>
      <c r="Q79" s="2159"/>
      <c r="R79" s="2146"/>
      <c r="S79" s="2146"/>
      <c r="T79" s="2146"/>
      <c r="U79" s="2146"/>
      <c r="V79" s="2146"/>
      <c r="W79" s="2146"/>
      <c r="X79" s="2146"/>
      <c r="Y79" s="2146"/>
      <c r="Z79" s="2146"/>
      <c r="AA79" s="2146"/>
      <c r="AB79" s="2146"/>
      <c r="AC79" s="2146"/>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7"/>
      <c r="O80" s="2167"/>
      <c r="P80" s="2215"/>
      <c r="Q80" s="2159"/>
      <c r="R80" s="2146"/>
      <c r="S80" s="2146"/>
      <c r="T80" s="2146"/>
      <c r="U80" s="2146"/>
      <c r="V80" s="2146"/>
      <c r="W80" s="2146"/>
      <c r="X80" s="2146"/>
      <c r="Y80" s="2146"/>
      <c r="Z80" s="2146"/>
      <c r="AA80" s="2146"/>
      <c r="AB80" s="2146"/>
      <c r="AC80" s="2146"/>
    </row>
    <row r="81" spans="1:29" ht="15.75" thickTop="1">
      <c r="A81" s="670"/>
      <c r="B81" s="1897" t="s">
        <v>2563</v>
      </c>
      <c r="C81" s="709" t="s">
        <v>580</v>
      </c>
      <c r="D81" s="709" t="s">
        <v>581</v>
      </c>
      <c r="E81" s="709" t="s">
        <v>582</v>
      </c>
      <c r="F81" s="709" t="s">
        <v>583</v>
      </c>
      <c r="G81" s="709" t="s">
        <v>584</v>
      </c>
      <c r="H81" s="675"/>
      <c r="I81" s="675"/>
      <c r="J81" s="675"/>
      <c r="K81" s="676"/>
      <c r="L81" s="677"/>
      <c r="M81" s="678"/>
      <c r="N81" s="2165"/>
      <c r="O81" s="2165"/>
      <c r="P81" s="2215"/>
      <c r="Q81" s="2159"/>
      <c r="R81" s="2146"/>
      <c r="S81" s="2146"/>
      <c r="T81" s="2146"/>
      <c r="U81" s="2146"/>
      <c r="V81" s="2146"/>
      <c r="W81" s="2146"/>
      <c r="X81" s="2146"/>
      <c r="Y81" s="2146"/>
      <c r="Z81" s="2146"/>
      <c r="AA81" s="2146"/>
      <c r="AB81" s="2146"/>
      <c r="AC81" s="2146"/>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7"/>
      <c r="O82" s="2167"/>
      <c r="P82" s="2215"/>
      <c r="Q82" s="2159"/>
      <c r="R82" s="2146"/>
      <c r="S82" s="2146"/>
      <c r="T82" s="2146"/>
      <c r="U82" s="2146"/>
      <c r="V82" s="2146"/>
      <c r="W82" s="2146"/>
      <c r="X82" s="2146"/>
      <c r="Y82" s="2146"/>
      <c r="Z82" s="2146"/>
      <c r="AA82" s="2146"/>
      <c r="AB82" s="2146"/>
      <c r="AC82" s="2146"/>
    </row>
    <row r="83" spans="1:29" ht="15.75" thickTop="1">
      <c r="A83" s="670"/>
      <c r="B83" s="2619" t="s">
        <v>2564</v>
      </c>
      <c r="C83" s="2620" t="s">
        <v>2565</v>
      </c>
      <c r="D83" s="2620" t="s">
        <v>2566</v>
      </c>
      <c r="E83" s="2620" t="s">
        <v>2567</v>
      </c>
      <c r="F83" s="2620" t="s">
        <v>2568</v>
      </c>
      <c r="G83" s="2620" t="s">
        <v>2569</v>
      </c>
      <c r="H83" s="675"/>
      <c r="I83" s="675"/>
      <c r="J83" s="675"/>
      <c r="K83" s="675"/>
      <c r="L83" s="675"/>
      <c r="M83" s="2623"/>
      <c r="N83" s="2167"/>
      <c r="O83" s="2167"/>
      <c r="P83" s="2215"/>
      <c r="Q83" s="2159"/>
      <c r="R83" s="2146"/>
      <c r="S83" s="2146"/>
      <c r="T83" s="2146"/>
      <c r="U83" s="2146"/>
      <c r="V83" s="2146"/>
      <c r="W83" s="2146"/>
      <c r="X83" s="2146"/>
      <c r="Y83" s="2146"/>
      <c r="Z83" s="2146"/>
      <c r="AA83" s="2146"/>
      <c r="AB83" s="2146"/>
      <c r="AC83" s="2146"/>
    </row>
    <row r="84" spans="1:29" ht="15.75" thickBot="1">
      <c r="A84" s="670"/>
      <c r="B84" s="682"/>
      <c r="C84" s="680">
        <v>100</v>
      </c>
      <c r="D84" s="680">
        <f>C84-$K21</f>
        <v>100</v>
      </c>
      <c r="E84" s="680">
        <f>D84-$K21</f>
        <v>100</v>
      </c>
      <c r="F84" s="680">
        <f>E84-$K21</f>
        <v>100</v>
      </c>
      <c r="G84" s="680">
        <f>F84-$K21</f>
        <v>100</v>
      </c>
      <c r="H84" s="934"/>
      <c r="I84" s="934"/>
      <c r="J84" s="934"/>
      <c r="K84" s="934"/>
      <c r="L84" s="934"/>
      <c r="M84" s="560"/>
      <c r="N84" s="2167"/>
      <c r="O84" s="2167"/>
      <c r="P84" s="2215"/>
      <c r="Q84" s="2159"/>
      <c r="R84" s="2146"/>
      <c r="S84" s="2146"/>
      <c r="T84" s="2146"/>
      <c r="U84" s="2146"/>
      <c r="V84" s="2146"/>
      <c r="W84" s="2146"/>
      <c r="X84" s="2146"/>
      <c r="Y84" s="2146"/>
      <c r="Z84" s="2146"/>
      <c r="AA84" s="2146"/>
      <c r="AB84" s="2146"/>
      <c r="AC84" s="2146"/>
    </row>
    <row r="85" spans="1:29" ht="15.75" thickTop="1">
      <c r="A85" s="670"/>
      <c r="B85" s="674" t="s">
        <v>785</v>
      </c>
      <c r="C85" s="709" t="s">
        <v>580</v>
      </c>
      <c r="D85" s="709" t="s">
        <v>581</v>
      </c>
      <c r="E85" s="709" t="s">
        <v>582</v>
      </c>
      <c r="F85" s="709" t="s">
        <v>583</v>
      </c>
      <c r="G85" s="709" t="s">
        <v>584</v>
      </c>
      <c r="H85" s="675"/>
      <c r="I85" s="675"/>
      <c r="J85" s="675"/>
      <c r="K85" s="676"/>
      <c r="L85" s="677"/>
      <c r="M85" s="678"/>
      <c r="N85" s="2165"/>
      <c r="O85" s="2165"/>
      <c r="P85" s="2215"/>
      <c r="Q85" s="2159"/>
      <c r="R85" s="2146"/>
      <c r="S85" s="2146"/>
      <c r="T85" s="2146"/>
      <c r="U85" s="2146"/>
      <c r="V85" s="2146"/>
      <c r="W85" s="2146"/>
      <c r="X85" s="2146"/>
      <c r="Y85" s="2146"/>
      <c r="Z85" s="2146"/>
      <c r="AA85" s="2146"/>
      <c r="AB85" s="2146"/>
      <c r="AC85" s="2146"/>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7"/>
      <c r="O86" s="2167"/>
      <c r="P86" s="2215"/>
      <c r="Q86" s="2159"/>
      <c r="R86" s="2146"/>
      <c r="S86" s="2146"/>
      <c r="T86" s="2146"/>
      <c r="U86" s="2146"/>
      <c r="V86" s="2146"/>
      <c r="W86" s="2146"/>
      <c r="X86" s="2146"/>
      <c r="Y86" s="2146"/>
      <c r="Z86" s="2146"/>
      <c r="AA86" s="2146"/>
      <c r="AB86" s="2146"/>
      <c r="AC86" s="2146"/>
    </row>
    <row r="87" spans="1:29" s="1219" customFormat="1" ht="27.75" thickTop="1">
      <c r="A87" s="710"/>
      <c r="B87" s="674" t="s">
        <v>786</v>
      </c>
      <c r="C87" s="689"/>
      <c r="D87" s="689"/>
      <c r="E87" s="689"/>
      <c r="F87" s="689"/>
      <c r="G87" s="689"/>
      <c r="H87" s="689"/>
      <c r="I87" s="689"/>
      <c r="J87" s="689"/>
      <c r="K87" s="689"/>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10"/>
      <c r="B88" s="679"/>
      <c r="C88" s="713">
        <v>100</v>
      </c>
      <c r="D88" s="680">
        <f t="shared" ref="D88:M88" si="16">C88-$K25</f>
        <v>100</v>
      </c>
      <c r="E88" s="680">
        <f t="shared" si="16"/>
        <v>100</v>
      </c>
      <c r="F88" s="680">
        <f t="shared" si="16"/>
        <v>100</v>
      </c>
      <c r="G88" s="680">
        <f t="shared" si="16"/>
        <v>100</v>
      </c>
      <c r="H88" s="680">
        <f t="shared" si="16"/>
        <v>100</v>
      </c>
      <c r="I88" s="680">
        <f t="shared" si="16"/>
        <v>100</v>
      </c>
      <c r="J88" s="680">
        <f t="shared" si="16"/>
        <v>100</v>
      </c>
      <c r="K88" s="680">
        <f t="shared" si="16"/>
        <v>100</v>
      </c>
      <c r="L88" s="680">
        <f t="shared" si="16"/>
        <v>100</v>
      </c>
      <c r="M88" s="680">
        <f t="shared" si="16"/>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10"/>
      <c r="B89" s="674" t="str">
        <f>B27</f>
        <v>楼层</v>
      </c>
      <c r="C89" s="689"/>
      <c r="D89" s="689"/>
      <c r="E89" s="689"/>
      <c r="F89" s="891"/>
      <c r="G89" s="689"/>
      <c r="H89" s="689"/>
      <c r="I89" s="689"/>
      <c r="J89" s="689"/>
      <c r="K89" s="689"/>
      <c r="L89" s="689"/>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10"/>
      <c r="B90" s="679"/>
      <c r="C90" s="713">
        <v>100</v>
      </c>
      <c r="D90" s="680">
        <f>C90-$K27</f>
        <v>100</v>
      </c>
      <c r="E90" s="680">
        <f t="shared" ref="E90:M90" si="17">D90-$K27</f>
        <v>100</v>
      </c>
      <c r="F90" s="680">
        <f t="shared" si="17"/>
        <v>100</v>
      </c>
      <c r="G90" s="680">
        <f t="shared" si="17"/>
        <v>100</v>
      </c>
      <c r="H90" s="680">
        <f t="shared" si="17"/>
        <v>100</v>
      </c>
      <c r="I90" s="680">
        <f t="shared" si="17"/>
        <v>100</v>
      </c>
      <c r="J90" s="680">
        <f t="shared" si="17"/>
        <v>100</v>
      </c>
      <c r="K90" s="680">
        <f t="shared" si="17"/>
        <v>100</v>
      </c>
      <c r="L90" s="680">
        <f t="shared" si="17"/>
        <v>100</v>
      </c>
      <c r="M90" s="680">
        <f t="shared" si="17"/>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8"/>
      <c r="B91" s="674" t="str">
        <f>B28</f>
        <v>朝向</v>
      </c>
      <c r="C91" s="689"/>
      <c r="D91" s="689"/>
      <c r="E91" s="689"/>
      <c r="F91" s="689"/>
      <c r="G91" s="689"/>
      <c r="H91" s="690"/>
      <c r="I91" s="690"/>
      <c r="J91" s="690"/>
      <c r="K91" s="690"/>
      <c r="L91" s="691"/>
      <c r="M91" s="692"/>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8"/>
      <c r="B92" s="679"/>
      <c r="C92" s="713">
        <v>100</v>
      </c>
      <c r="D92" s="680">
        <f t="shared" ref="D92:M92" si="18">C92-$K28</f>
        <v>100</v>
      </c>
      <c r="E92" s="680">
        <f t="shared" si="18"/>
        <v>100</v>
      </c>
      <c r="F92" s="680">
        <f t="shared" si="18"/>
        <v>100</v>
      </c>
      <c r="G92" s="680">
        <f t="shared" si="18"/>
        <v>100</v>
      </c>
      <c r="H92" s="680">
        <f t="shared" si="18"/>
        <v>100</v>
      </c>
      <c r="I92" s="680">
        <f t="shared" si="18"/>
        <v>100</v>
      </c>
      <c r="J92" s="680">
        <f t="shared" si="18"/>
        <v>100</v>
      </c>
      <c r="K92" s="680">
        <f t="shared" si="18"/>
        <v>100</v>
      </c>
      <c r="L92" s="680">
        <f t="shared" si="18"/>
        <v>100</v>
      </c>
      <c r="M92" s="680">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70"/>
      <c r="B93" s="674">
        <f>B29</f>
        <v>111</v>
      </c>
      <c r="C93" s="689"/>
      <c r="D93" s="689"/>
      <c r="E93" s="689"/>
      <c r="F93" s="689"/>
      <c r="G93" s="689"/>
      <c r="H93" s="689"/>
      <c r="I93" s="689"/>
      <c r="J93" s="689"/>
      <c r="K93" s="689"/>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72"/>
      <c r="H94" s="672"/>
      <c r="I94" s="672"/>
      <c r="J94" s="672"/>
      <c r="K94" s="672"/>
      <c r="L94" s="672"/>
      <c r="M94" s="673"/>
      <c r="N94" s="2167"/>
      <c r="O94" s="2167"/>
      <c r="P94" s="2215"/>
      <c r="Q94" s="2159"/>
      <c r="R94" s="2146"/>
      <c r="S94" s="2146"/>
      <c r="T94" s="2146"/>
      <c r="U94" s="2146"/>
      <c r="V94" s="2146"/>
      <c r="W94" s="2146"/>
      <c r="X94" s="2146"/>
      <c r="Y94" s="2146"/>
      <c r="Z94" s="2146"/>
      <c r="AA94" s="2146"/>
      <c r="AB94" s="2146"/>
      <c r="AC94" s="2146"/>
    </row>
    <row r="95" spans="1:29" ht="15.75" thickTop="1">
      <c r="A95" s="670"/>
      <c r="B95" s="674">
        <f>B30</f>
        <v>111</v>
      </c>
      <c r="C95" s="689"/>
      <c r="D95" s="689"/>
      <c r="E95" s="689"/>
      <c r="F95" s="689"/>
      <c r="G95" s="719"/>
      <c r="H95" s="719"/>
      <c r="I95" s="719"/>
      <c r="J95" s="719"/>
      <c r="K95" s="720"/>
      <c r="L95" s="721"/>
      <c r="M95" s="722"/>
      <c r="N95" s="2165"/>
      <c r="O95" s="2165"/>
      <c r="P95" s="2215"/>
      <c r="Q95" s="2159"/>
      <c r="R95" s="2146"/>
      <c r="S95" s="2146"/>
      <c r="T95" s="2146"/>
      <c r="U95" s="2146"/>
      <c r="V95" s="2146"/>
      <c r="W95" s="2146"/>
      <c r="X95" s="2146"/>
      <c r="Y95" s="2146"/>
      <c r="Z95" s="2146"/>
      <c r="AA95" s="2146"/>
      <c r="AB95" s="2146"/>
      <c r="AC95" s="2146"/>
    </row>
    <row r="96" spans="1:29" ht="15.75" thickBot="1">
      <c r="A96" s="670"/>
      <c r="B96" s="679"/>
      <c r="C96" s="693"/>
      <c r="D96" s="693"/>
      <c r="E96" s="693"/>
      <c r="F96" s="693"/>
      <c r="G96" s="672"/>
      <c r="H96" s="672"/>
      <c r="I96" s="672"/>
      <c r="J96" s="672"/>
      <c r="K96" s="672"/>
      <c r="L96" s="672"/>
      <c r="M96" s="673"/>
      <c r="N96" s="2167"/>
      <c r="O96" s="2167"/>
      <c r="P96" s="2215"/>
      <c r="Q96" s="2159"/>
      <c r="R96" s="2146"/>
      <c r="S96" s="2146"/>
      <c r="T96" s="2146"/>
      <c r="U96" s="2146"/>
      <c r="V96" s="2146"/>
      <c r="W96" s="2146"/>
      <c r="X96" s="2146"/>
      <c r="Y96" s="2146"/>
      <c r="Z96" s="2146"/>
      <c r="AA96" s="2146"/>
      <c r="AB96" s="2146"/>
      <c r="AC96" s="2146"/>
    </row>
    <row r="97" spans="1:29" ht="15.75" thickTop="1">
      <c r="A97" s="670"/>
      <c r="B97" s="674">
        <f>B31</f>
        <v>111</v>
      </c>
      <c r="C97" s="689"/>
      <c r="D97" s="689"/>
      <c r="E97" s="689"/>
      <c r="F97" s="689"/>
      <c r="G97" s="719"/>
      <c r="H97" s="719"/>
      <c r="I97" s="719"/>
      <c r="J97" s="719"/>
      <c r="K97" s="720"/>
      <c r="L97" s="721"/>
      <c r="M97" s="722"/>
      <c r="N97" s="2165"/>
      <c r="O97" s="2165"/>
      <c r="P97" s="2215"/>
      <c r="Q97" s="2159"/>
      <c r="R97" s="2146"/>
      <c r="S97" s="2146"/>
      <c r="T97" s="2146"/>
      <c r="U97" s="2146"/>
      <c r="V97" s="2146"/>
      <c r="W97" s="2146"/>
      <c r="X97" s="2146"/>
      <c r="Y97" s="2146"/>
      <c r="Z97" s="2146"/>
      <c r="AA97" s="2146"/>
      <c r="AB97" s="2146"/>
      <c r="AC97" s="2146"/>
    </row>
    <row r="98" spans="1:29" ht="15.75" thickBot="1">
      <c r="A98" s="670"/>
      <c r="B98" s="679"/>
      <c r="C98" s="693"/>
      <c r="D98" s="672"/>
      <c r="E98" s="672"/>
      <c r="F98" s="672"/>
      <c r="G98" s="672"/>
      <c r="H98" s="672"/>
      <c r="I98" s="672"/>
      <c r="J98" s="672"/>
      <c r="K98" s="672"/>
      <c r="L98" s="672"/>
      <c r="M98" s="673"/>
      <c r="N98" s="2167"/>
      <c r="O98" s="2167"/>
      <c r="P98" s="2215"/>
      <c r="Q98" s="2159"/>
      <c r="R98" s="2146"/>
      <c r="S98" s="2146"/>
      <c r="T98" s="2146"/>
      <c r="U98" s="2146"/>
      <c r="V98" s="2146"/>
      <c r="W98" s="2146"/>
      <c r="X98" s="2146"/>
      <c r="Y98" s="2146"/>
      <c r="Z98" s="2146"/>
      <c r="AA98" s="2146"/>
      <c r="AB98" s="2146"/>
      <c r="AC98" s="2146"/>
    </row>
    <row r="99" spans="1:29" ht="15.75" thickTop="1">
      <c r="A99" s="670"/>
      <c r="B99" s="682">
        <f>B32</f>
        <v>111</v>
      </c>
      <c r="C99" s="662"/>
      <c r="D99" s="662"/>
      <c r="E99" s="662"/>
      <c r="F99" s="662"/>
      <c r="G99" s="723"/>
      <c r="H99" s="723"/>
      <c r="I99" s="723"/>
      <c r="J99" s="723"/>
      <c r="K99" s="724"/>
      <c r="L99" s="725"/>
      <c r="M99" s="726"/>
      <c r="N99" s="2165"/>
      <c r="O99" s="2165"/>
      <c r="P99" s="2215"/>
      <c r="Q99" s="2159"/>
      <c r="R99" s="2146"/>
      <c r="S99" s="2146"/>
      <c r="T99" s="2146"/>
      <c r="U99" s="2146"/>
      <c r="V99" s="2146"/>
      <c r="W99" s="2146"/>
      <c r="X99" s="2146"/>
      <c r="Y99" s="2146"/>
      <c r="Z99" s="2146"/>
      <c r="AA99" s="2146"/>
      <c r="AB99" s="2146"/>
      <c r="AC99" s="2146"/>
    </row>
    <row r="100" spans="1:29" ht="15.75" thickBot="1">
      <c r="A100" s="892"/>
      <c r="B100" s="700"/>
      <c r="C100" s="701"/>
      <c r="D100" s="701"/>
      <c r="E100" s="701"/>
      <c r="F100" s="701"/>
      <c r="G100" s="727"/>
      <c r="H100" s="727"/>
      <c r="I100" s="727"/>
      <c r="J100" s="727"/>
      <c r="K100" s="727"/>
      <c r="L100" s="727"/>
      <c r="M100" s="728"/>
      <c r="N100" s="2167"/>
      <c r="O100" s="2167"/>
      <c r="P100" s="2215"/>
      <c r="Q100" s="2159"/>
      <c r="R100" s="2146"/>
      <c r="S100" s="2146"/>
      <c r="T100" s="2146"/>
      <c r="U100" s="2146"/>
      <c r="V100" s="2146"/>
      <c r="W100" s="2146"/>
      <c r="X100" s="2146"/>
      <c r="Y100" s="2146"/>
      <c r="Z100" s="2146"/>
      <c r="AA100" s="2146"/>
      <c r="AB100" s="2146"/>
      <c r="AC100" s="2146"/>
    </row>
    <row r="101" spans="1:29">
      <c r="A101" s="665" t="s">
        <v>552</v>
      </c>
      <c r="B101" s="666" t="s">
        <v>748</v>
      </c>
      <c r="C101" s="599"/>
      <c r="D101" s="599"/>
      <c r="E101" s="599"/>
      <c r="F101" s="599"/>
      <c r="G101" s="599"/>
      <c r="H101" s="599"/>
      <c r="I101" s="599"/>
      <c r="J101" s="599"/>
      <c r="K101" s="667"/>
      <c r="L101" s="668"/>
      <c r="M101" s="669"/>
      <c r="N101" s="2165"/>
      <c r="O101" s="2165"/>
      <c r="P101" s="2215"/>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19">C102-$K33</f>
        <v>100</v>
      </c>
      <c r="E102" s="680">
        <f t="shared" si="19"/>
        <v>100</v>
      </c>
      <c r="F102" s="680">
        <f t="shared" si="19"/>
        <v>100</v>
      </c>
      <c r="G102" s="680">
        <f t="shared" si="19"/>
        <v>100</v>
      </c>
      <c r="H102" s="680">
        <f t="shared" si="19"/>
        <v>100</v>
      </c>
      <c r="I102" s="680">
        <f t="shared" si="19"/>
        <v>100</v>
      </c>
      <c r="J102" s="680">
        <f t="shared" si="19"/>
        <v>100</v>
      </c>
      <c r="K102" s="680">
        <f t="shared" si="19"/>
        <v>100</v>
      </c>
      <c r="L102" s="680">
        <f t="shared" si="19"/>
        <v>100</v>
      </c>
      <c r="M102" s="681">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0"/>
      <c r="B103" s="674" t="s">
        <v>749</v>
      </c>
      <c r="C103" s="709" t="str">
        <f>C104&amp;"(含)"&amp;"-"&amp;D104</f>
        <v>(含)-</v>
      </c>
      <c r="D103" s="709" t="str">
        <f t="shared" ref="D103:L103" si="20">D104&amp;"(含)"&amp;"-"&amp;E104</f>
        <v>(含)-</v>
      </c>
      <c r="E103" s="709" t="str">
        <f t="shared" si="20"/>
        <v>(含)-</v>
      </c>
      <c r="F103" s="709" t="str">
        <f t="shared" si="20"/>
        <v>(含)-</v>
      </c>
      <c r="G103" s="709" t="str">
        <f t="shared" si="20"/>
        <v>(含)-</v>
      </c>
      <c r="H103" s="709" t="str">
        <f t="shared" si="20"/>
        <v>(含)-</v>
      </c>
      <c r="I103" s="709" t="str">
        <f t="shared" si="20"/>
        <v>(含)-</v>
      </c>
      <c r="J103" s="709" t="str">
        <f t="shared" si="20"/>
        <v>(含)-</v>
      </c>
      <c r="K103" s="709" t="str">
        <f t="shared" si="20"/>
        <v>(含)-</v>
      </c>
      <c r="L103" s="709" t="str">
        <f t="shared" si="20"/>
        <v>(含)-</v>
      </c>
      <c r="M103" s="712"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9"/>
      <c r="B104" s="730"/>
      <c r="C104" s="731"/>
      <c r="D104" s="731"/>
      <c r="E104" s="731"/>
      <c r="F104" s="731"/>
      <c r="G104" s="731"/>
      <c r="H104" s="731"/>
      <c r="I104" s="731"/>
      <c r="J104" s="732"/>
      <c r="K104" s="732"/>
      <c r="L104" s="733"/>
      <c r="M104" s="734"/>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8"/>
      <c r="B105" s="679"/>
      <c r="C105" s="693"/>
      <c r="D105" s="672"/>
      <c r="E105" s="672"/>
      <c r="F105" s="672"/>
      <c r="G105" s="672"/>
      <c r="H105" s="672"/>
      <c r="I105" s="672"/>
      <c r="J105" s="672"/>
      <c r="K105" s="672"/>
      <c r="L105" s="672"/>
      <c r="M105" s="673"/>
      <c r="N105" s="2167"/>
      <c r="O105" s="2167"/>
      <c r="P105" s="2216"/>
      <c r="Q105" s="2170"/>
      <c r="R105" s="2171"/>
      <c r="S105" s="2171"/>
      <c r="T105" s="2171"/>
      <c r="U105" s="2171"/>
      <c r="V105" s="2171"/>
      <c r="W105" s="2171"/>
      <c r="X105" s="2171"/>
      <c r="Y105" s="2171"/>
      <c r="Z105" s="2171"/>
      <c r="AA105" s="2171"/>
      <c r="AB105" s="2171"/>
      <c r="AC105" s="2171"/>
    </row>
    <row r="106" spans="1:29" ht="15" thickTop="1">
      <c r="A106" s="736"/>
      <c r="B106" s="674" t="s">
        <v>750</v>
      </c>
      <c r="C106" s="689"/>
      <c r="D106" s="689"/>
      <c r="E106" s="719"/>
      <c r="F106" s="719"/>
      <c r="G106" s="719"/>
      <c r="H106" s="719"/>
      <c r="I106" s="719"/>
      <c r="J106" s="719"/>
      <c r="K106" s="720"/>
      <c r="L106" s="721"/>
      <c r="M106" s="722"/>
      <c r="N106" s="2165"/>
      <c r="O106" s="2165"/>
      <c r="P106" s="2215"/>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 t="shared" ref="D107:M107" si="21">C107-$K35</f>
        <v>100</v>
      </c>
      <c r="E107" s="680">
        <f t="shared" si="21"/>
        <v>100</v>
      </c>
      <c r="F107" s="680">
        <f t="shared" si="21"/>
        <v>100</v>
      </c>
      <c r="G107" s="680">
        <f t="shared" si="21"/>
        <v>100</v>
      </c>
      <c r="H107" s="680">
        <f t="shared" si="21"/>
        <v>100</v>
      </c>
      <c r="I107" s="680">
        <f t="shared" si="21"/>
        <v>100</v>
      </c>
      <c r="J107" s="680">
        <f t="shared" si="21"/>
        <v>100</v>
      </c>
      <c r="K107" s="680">
        <f t="shared" si="21"/>
        <v>100</v>
      </c>
      <c r="L107" s="680">
        <f t="shared" si="21"/>
        <v>100</v>
      </c>
      <c r="M107" s="681">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6"/>
      <c r="B108" s="674" t="s">
        <v>752</v>
      </c>
      <c r="C108" s="689"/>
      <c r="D108" s="689"/>
      <c r="E108" s="689"/>
      <c r="F108" s="719"/>
      <c r="G108" s="719"/>
      <c r="H108" s="719"/>
      <c r="I108" s="719"/>
      <c r="J108" s="719"/>
      <c r="K108" s="720"/>
      <c r="L108" s="721"/>
      <c r="M108" s="722"/>
      <c r="N108" s="2165"/>
      <c r="O108" s="2165"/>
      <c r="P108" s="2215"/>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 t="shared" ref="D109:M109" si="22">C109-$K36</f>
        <v>100</v>
      </c>
      <c r="E109" s="680">
        <f t="shared" si="22"/>
        <v>100</v>
      </c>
      <c r="F109" s="680">
        <f t="shared" si="22"/>
        <v>100</v>
      </c>
      <c r="G109" s="680">
        <f t="shared" si="22"/>
        <v>100</v>
      </c>
      <c r="H109" s="680">
        <f t="shared" si="22"/>
        <v>100</v>
      </c>
      <c r="I109" s="680">
        <f t="shared" si="22"/>
        <v>100</v>
      </c>
      <c r="J109" s="680">
        <f t="shared" si="22"/>
        <v>100</v>
      </c>
      <c r="K109" s="680">
        <f t="shared" si="22"/>
        <v>100</v>
      </c>
      <c r="L109" s="680">
        <f t="shared" si="22"/>
        <v>100</v>
      </c>
      <c r="M109" s="681">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5"/>
      <c r="O110" s="2165"/>
      <c r="P110" s="2215"/>
      <c r="Q110" s="2159"/>
      <c r="R110" s="2146"/>
      <c r="S110" s="2146"/>
      <c r="T110" s="2146"/>
      <c r="U110" s="2146"/>
      <c r="V110" s="2146"/>
      <c r="W110" s="2146"/>
      <c r="X110" s="2146"/>
      <c r="Y110" s="2146"/>
      <c r="Z110" s="2146"/>
      <c r="AA110" s="2146"/>
      <c r="AB110" s="2146"/>
      <c r="AC110" s="2146"/>
    </row>
    <row r="111" spans="1:29">
      <c r="A111" s="736"/>
      <c r="B111" s="682"/>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70"/>
      <c r="B112" s="679"/>
      <c r="C112" s="713">
        <v>100</v>
      </c>
      <c r="D112" s="680">
        <f>C112+$K37</f>
        <v>100</v>
      </c>
      <c r="E112" s="680">
        <f t="shared" ref="E112:M112" si="23">D112+$K37</f>
        <v>100</v>
      </c>
      <c r="F112" s="680">
        <f t="shared" si="23"/>
        <v>100</v>
      </c>
      <c r="G112" s="680">
        <f t="shared" si="23"/>
        <v>100</v>
      </c>
      <c r="H112" s="680">
        <f t="shared" si="23"/>
        <v>100</v>
      </c>
      <c r="I112" s="680">
        <f t="shared" si="23"/>
        <v>100</v>
      </c>
      <c r="J112" s="680">
        <f t="shared" si="23"/>
        <v>100</v>
      </c>
      <c r="K112" s="680">
        <f t="shared" si="23"/>
        <v>100</v>
      </c>
      <c r="L112" s="680">
        <f t="shared" si="23"/>
        <v>100</v>
      </c>
      <c r="M112" s="680">
        <f t="shared" si="23"/>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9"/>
      <c r="B113" s="674" t="s">
        <v>787</v>
      </c>
      <c r="C113" s="689"/>
      <c r="D113" s="689"/>
      <c r="E113" s="689"/>
      <c r="F113" s="689"/>
      <c r="G113" s="689"/>
      <c r="H113" s="719"/>
      <c r="I113" s="719"/>
      <c r="J113" s="719"/>
      <c r="K113" s="720"/>
      <c r="L113" s="721"/>
      <c r="M113" s="722"/>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8"/>
      <c r="B114" s="679"/>
      <c r="C114" s="680">
        <v>100</v>
      </c>
      <c r="D114" s="680">
        <f>C114-$K38</f>
        <v>100</v>
      </c>
      <c r="E114" s="680">
        <f t="shared" ref="E114:M114" si="24">D114-$K38</f>
        <v>100</v>
      </c>
      <c r="F114" s="680">
        <f t="shared" si="24"/>
        <v>100</v>
      </c>
      <c r="G114" s="680">
        <f t="shared" si="24"/>
        <v>100</v>
      </c>
      <c r="H114" s="680">
        <f t="shared" si="24"/>
        <v>100</v>
      </c>
      <c r="I114" s="680">
        <f t="shared" si="24"/>
        <v>100</v>
      </c>
      <c r="J114" s="680">
        <f t="shared" si="24"/>
        <v>100</v>
      </c>
      <c r="K114" s="680">
        <f t="shared" si="24"/>
        <v>100</v>
      </c>
      <c r="L114" s="680">
        <f t="shared" si="24"/>
        <v>100</v>
      </c>
      <c r="M114" s="680">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6"/>
      <c r="B115" s="674" t="s">
        <v>754</v>
      </c>
      <c r="C115" s="689"/>
      <c r="D115" s="689"/>
      <c r="E115" s="719"/>
      <c r="F115" s="719"/>
      <c r="G115" s="719"/>
      <c r="H115" s="719"/>
      <c r="I115" s="719"/>
      <c r="J115" s="719"/>
      <c r="K115" s="720"/>
      <c r="L115" s="721"/>
      <c r="M115" s="722"/>
      <c r="N115" s="2165"/>
      <c r="O115" s="2165"/>
      <c r="P115" s="2215"/>
      <c r="Q115" s="2159"/>
      <c r="R115" s="2146"/>
      <c r="S115" s="2146"/>
      <c r="T115" s="2146"/>
      <c r="U115" s="2146"/>
      <c r="V115" s="2146"/>
      <c r="W115" s="2146"/>
      <c r="X115" s="2146"/>
      <c r="Y115" s="2146"/>
      <c r="Z115" s="2146"/>
      <c r="AA115" s="2146"/>
      <c r="AB115" s="2146"/>
      <c r="AC115" s="2146"/>
    </row>
    <row r="116" spans="1:29" ht="15.75" thickBot="1">
      <c r="A116" s="670"/>
      <c r="B116" s="679"/>
      <c r="C116" s="680">
        <v>100</v>
      </c>
      <c r="D116" s="680">
        <f t="shared" ref="D116:M116" si="25">C116-$K39</f>
        <v>100</v>
      </c>
      <c r="E116" s="680">
        <f t="shared" si="25"/>
        <v>100</v>
      </c>
      <c r="F116" s="680">
        <f t="shared" si="25"/>
        <v>100</v>
      </c>
      <c r="G116" s="680">
        <f t="shared" si="25"/>
        <v>100</v>
      </c>
      <c r="H116" s="680">
        <f t="shared" si="25"/>
        <v>100</v>
      </c>
      <c r="I116" s="680">
        <f t="shared" si="25"/>
        <v>100</v>
      </c>
      <c r="J116" s="680">
        <f t="shared" si="25"/>
        <v>100</v>
      </c>
      <c r="K116" s="680">
        <f t="shared" si="25"/>
        <v>100</v>
      </c>
      <c r="L116" s="680">
        <f t="shared" si="25"/>
        <v>100</v>
      </c>
      <c r="M116" s="681">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6"/>
      <c r="B117" s="1897" t="s">
        <v>2562</v>
      </c>
      <c r="C117" s="689"/>
      <c r="D117" s="689"/>
      <c r="E117" s="689"/>
      <c r="F117" s="689"/>
      <c r="G117" s="689"/>
      <c r="H117" s="719"/>
      <c r="I117" s="719"/>
      <c r="J117" s="719"/>
      <c r="K117" s="720"/>
      <c r="L117" s="721"/>
      <c r="M117" s="722"/>
      <c r="N117" s="2165"/>
      <c r="O117" s="2165"/>
      <c r="P117" s="2215"/>
      <c r="Q117" s="2159"/>
      <c r="R117" s="2146"/>
      <c r="S117" s="2146"/>
      <c r="T117" s="2146"/>
      <c r="U117" s="2146"/>
      <c r="V117" s="2146"/>
      <c r="W117" s="2146"/>
      <c r="X117" s="2146"/>
      <c r="Y117" s="2146"/>
      <c r="Z117" s="2146"/>
      <c r="AA117" s="2146"/>
      <c r="AB117" s="2146"/>
      <c r="AC117" s="2146"/>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7"/>
      <c r="O118" s="2167"/>
      <c r="P118" s="2215"/>
      <c r="Q118" s="2159"/>
      <c r="R118" s="2146"/>
      <c r="S118" s="2146"/>
      <c r="T118" s="2146"/>
      <c r="U118" s="2146"/>
      <c r="V118" s="2146"/>
      <c r="W118" s="2146"/>
      <c r="X118" s="2146"/>
      <c r="Y118" s="2146"/>
      <c r="Z118" s="2146"/>
      <c r="AA118" s="2146"/>
      <c r="AB118" s="2146"/>
      <c r="AC118" s="2146"/>
    </row>
    <row r="119" spans="1:29" ht="15" thickTop="1">
      <c r="A119" s="736"/>
      <c r="B119" s="916" t="s">
        <v>788</v>
      </c>
      <c r="C119" s="719"/>
      <c r="D119" s="719"/>
      <c r="E119" s="719"/>
      <c r="F119" s="719"/>
      <c r="G119" s="719"/>
      <c r="H119" s="719"/>
      <c r="I119" s="719"/>
      <c r="J119" s="719"/>
      <c r="K119" s="719"/>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70"/>
      <c r="B120" s="679"/>
      <c r="C120" s="713">
        <v>100</v>
      </c>
      <c r="D120" s="680">
        <f>C120-$K41</f>
        <v>100</v>
      </c>
      <c r="E120" s="680">
        <f t="shared" ref="E120:M120" si="26">D120-$K41</f>
        <v>100</v>
      </c>
      <c r="F120" s="680">
        <f t="shared" si="26"/>
        <v>100</v>
      </c>
      <c r="G120" s="680">
        <f t="shared" si="26"/>
        <v>100</v>
      </c>
      <c r="H120" s="680">
        <f t="shared" si="26"/>
        <v>100</v>
      </c>
      <c r="I120" s="680">
        <f t="shared" si="26"/>
        <v>100</v>
      </c>
      <c r="J120" s="680">
        <f t="shared" si="26"/>
        <v>100</v>
      </c>
      <c r="K120" s="680">
        <f t="shared" si="26"/>
        <v>100</v>
      </c>
      <c r="L120" s="680">
        <f t="shared" si="26"/>
        <v>100</v>
      </c>
      <c r="M120" s="680">
        <f t="shared" si="26"/>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9"/>
      <c r="B121" s="674" t="s">
        <v>776</v>
      </c>
      <c r="C121" s="689"/>
      <c r="D121" s="689"/>
      <c r="E121" s="689"/>
      <c r="F121" s="719"/>
      <c r="G121" s="690"/>
      <c r="H121" s="690"/>
      <c r="I121" s="690"/>
      <c r="J121" s="690"/>
      <c r="K121" s="690"/>
      <c r="L121" s="691"/>
      <c r="M121" s="692"/>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8"/>
      <c r="B122" s="671"/>
      <c r="C122" s="693"/>
      <c r="D122" s="693"/>
      <c r="E122" s="693"/>
      <c r="F122" s="693"/>
      <c r="G122" s="693"/>
      <c r="H122" s="693"/>
      <c r="I122" s="693"/>
      <c r="J122" s="693"/>
      <c r="K122" s="693"/>
      <c r="L122" s="693"/>
      <c r="M122" s="693"/>
      <c r="N122" s="2168"/>
      <c r="O122" s="2168"/>
      <c r="P122" s="2216"/>
      <c r="Q122" s="2170"/>
      <c r="R122" s="2171"/>
      <c r="S122" s="2171"/>
      <c r="T122" s="2171"/>
      <c r="U122" s="2171"/>
      <c r="V122" s="2171"/>
      <c r="W122" s="2171"/>
      <c r="X122" s="2171"/>
      <c r="Y122" s="2171"/>
      <c r="Z122" s="2171"/>
      <c r="AA122" s="2171"/>
      <c r="AB122" s="2171"/>
      <c r="AC122" s="2171"/>
    </row>
    <row r="123" spans="1:29" ht="15" thickTop="1">
      <c r="A123" s="736"/>
      <c r="B123" s="674" t="s">
        <v>756</v>
      </c>
      <c r="C123" s="689"/>
      <c r="D123" s="689"/>
      <c r="E123" s="689"/>
      <c r="F123" s="719"/>
      <c r="G123" s="719"/>
      <c r="H123" s="719"/>
      <c r="I123" s="719"/>
      <c r="J123" s="719"/>
      <c r="K123" s="720"/>
      <c r="L123" s="721"/>
      <c r="M123" s="722"/>
      <c r="N123" s="2165"/>
      <c r="O123" s="2165"/>
      <c r="P123" s="2215"/>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27">C124-$K43</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5"/>
      <c r="O125" s="2165"/>
      <c r="P125" s="2216"/>
      <c r="Q125" s="2159"/>
      <c r="R125" s="2146"/>
      <c r="S125" s="2146"/>
      <c r="T125" s="2146"/>
      <c r="U125" s="2146"/>
      <c r="V125" s="2146"/>
      <c r="W125" s="2146"/>
      <c r="X125" s="2146"/>
      <c r="Y125" s="2146"/>
      <c r="Z125" s="2146"/>
      <c r="AA125" s="2146"/>
      <c r="AB125" s="2146"/>
      <c r="AC125" s="2146"/>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9"/>
      <c r="B127" s="674">
        <f>B45</f>
        <v>111</v>
      </c>
      <c r="C127" s="689"/>
      <c r="D127" s="689"/>
      <c r="E127" s="689"/>
      <c r="F127" s="689"/>
      <c r="G127" s="689"/>
      <c r="H127" s="690"/>
      <c r="I127" s="690"/>
      <c r="J127" s="690"/>
      <c r="K127" s="690"/>
      <c r="L127" s="691"/>
      <c r="M127" s="692"/>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8"/>
      <c r="B128" s="679"/>
      <c r="C128" s="693"/>
      <c r="D128" s="672"/>
      <c r="E128" s="672"/>
      <c r="F128" s="672"/>
      <c r="G128" s="693"/>
      <c r="H128" s="694"/>
      <c r="I128" s="694"/>
      <c r="J128" s="694"/>
      <c r="K128" s="694"/>
      <c r="L128" s="694"/>
      <c r="M128" s="695"/>
      <c r="N128" s="2168"/>
      <c r="O128" s="2168"/>
      <c r="P128" s="2216"/>
      <c r="Q128" s="2170"/>
      <c r="R128" s="2171"/>
      <c r="S128" s="2171"/>
      <c r="T128" s="2171"/>
      <c r="U128" s="2171"/>
      <c r="V128" s="2171"/>
      <c r="W128" s="2171"/>
      <c r="X128" s="2171"/>
      <c r="Y128" s="2171"/>
      <c r="Z128" s="2171"/>
      <c r="AA128" s="2171"/>
      <c r="AB128" s="2171"/>
      <c r="AC128" s="2171"/>
    </row>
    <row r="129" spans="1:29" ht="15" thickTop="1">
      <c r="A129" s="736"/>
      <c r="B129" s="674">
        <f>B46</f>
        <v>111</v>
      </c>
      <c r="C129" s="689"/>
      <c r="D129" s="689"/>
      <c r="E129" s="689"/>
      <c r="F129" s="689"/>
      <c r="G129" s="719"/>
      <c r="H129" s="719"/>
      <c r="I129" s="719"/>
      <c r="J129" s="719"/>
      <c r="K129" s="720"/>
      <c r="L129" s="721"/>
      <c r="M129" s="722"/>
      <c r="N129" s="2165"/>
      <c r="O129" s="2165"/>
      <c r="P129" s="2215"/>
      <c r="Q129" s="2159"/>
      <c r="R129" s="2146"/>
      <c r="S129" s="2146"/>
      <c r="T129" s="2146"/>
      <c r="U129" s="2146"/>
      <c r="V129" s="2146"/>
      <c r="W129" s="2146"/>
      <c r="X129" s="2146"/>
      <c r="Y129" s="2146"/>
      <c r="Z129" s="2146"/>
      <c r="AA129" s="2146"/>
      <c r="AB129" s="2146"/>
      <c r="AC129" s="2146"/>
    </row>
    <row r="130" spans="1:29" ht="15.75" thickBot="1">
      <c r="A130" s="670"/>
      <c r="B130" s="679"/>
      <c r="C130" s="693"/>
      <c r="D130" s="693"/>
      <c r="E130" s="693"/>
      <c r="F130" s="693"/>
      <c r="G130" s="672"/>
      <c r="H130" s="672"/>
      <c r="I130" s="672"/>
      <c r="J130" s="672"/>
      <c r="K130" s="672"/>
      <c r="L130" s="672"/>
      <c r="M130" s="673"/>
      <c r="N130" s="2167"/>
      <c r="O130" s="2167"/>
      <c r="P130" s="2215"/>
      <c r="Q130" s="2159"/>
      <c r="R130" s="2146"/>
      <c r="S130" s="2146"/>
      <c r="T130" s="2146"/>
      <c r="U130" s="2146"/>
      <c r="V130" s="2146"/>
      <c r="W130" s="2146"/>
      <c r="X130" s="2146"/>
      <c r="Y130" s="2146"/>
      <c r="Z130" s="2146"/>
      <c r="AA130" s="2146"/>
      <c r="AB130" s="2146"/>
      <c r="AC130" s="2146"/>
    </row>
    <row r="131" spans="1:29" ht="15" thickTop="1">
      <c r="A131" s="736"/>
      <c r="B131" s="682">
        <f>B47</f>
        <v>111</v>
      </c>
      <c r="C131" s="662"/>
      <c r="D131" s="662"/>
      <c r="E131" s="662"/>
      <c r="F131" s="662"/>
      <c r="G131" s="723"/>
      <c r="H131" s="723"/>
      <c r="I131" s="723"/>
      <c r="J131" s="723"/>
      <c r="K131" s="662"/>
      <c r="L131" s="663"/>
      <c r="M131" s="726"/>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700"/>
      <c r="C132" s="701"/>
      <c r="D132" s="701"/>
      <c r="E132" s="701"/>
      <c r="F132" s="701"/>
      <c r="G132" s="727"/>
      <c r="H132" s="727"/>
      <c r="I132" s="727"/>
      <c r="J132" s="727"/>
      <c r="K132" s="727"/>
      <c r="L132" s="727"/>
      <c r="M132" s="728"/>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受贵公司委托，我公司对云南省昆明市官渡区官渡街道办事处出让国有建设用地使用权市场价格进行了预评估。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官渡区官渡街道办事处出让国有建设用地使用权。根据《国有土地使用证》[]，估价对象（分摊）出让国有建设用地使用权面积为42563.17平方米。根据《建设工程规划许可证》[]、《出让合同》[]，估价对象规划建筑面积为217232平方米。</v>
      </c>
    </row>
    <row r="7" spans="1:4" ht="93.75">
      <c r="A7" s="2897" t="s">
        <v>2756</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2018年3月28日（评估专业人员勘察现场之日）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根据《国有土地使用证》[]，估价对象（分摊）出让国有建设用地使用权面积为42563.17平方米。根据《建设工程规划许可证》[]、《出让合同》[]，估价对象规划建筑面积为217232平方米。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99" t="s">
        <v>2757</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3月28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505" t="s">
        <v>789</v>
      </c>
      <c r="C1" s="506" t="s">
        <v>721</v>
      </c>
      <c r="D1" s="850"/>
      <c r="E1" s="508"/>
      <c r="F1" s="2831"/>
      <c r="G1" s="1601" t="s">
        <v>722</v>
      </c>
      <c r="H1" s="508"/>
      <c r="I1" s="508"/>
      <c r="J1" s="508"/>
      <c r="K1" s="509"/>
      <c r="L1" s="1562"/>
      <c r="M1" s="1563"/>
      <c r="N1" s="1563"/>
      <c r="O1" s="1563"/>
      <c r="P1" s="1564"/>
      <c r="Q1" s="1564"/>
      <c r="R1" s="1564"/>
      <c r="S1" s="1564"/>
      <c r="T1" s="1564"/>
      <c r="U1" s="1564"/>
      <c r="V1" s="1564"/>
      <c r="W1" s="1564"/>
      <c r="X1" s="1564"/>
      <c r="Y1" s="1564"/>
      <c r="Z1" s="1564"/>
      <c r="AA1" s="1564"/>
      <c r="AB1" s="1564"/>
      <c r="AC1" s="430"/>
    </row>
    <row r="2" spans="1:29" s="1335" customFormat="1" ht="28.5" customHeight="1">
      <c r="A2" s="425" t="s">
        <v>467</v>
      </c>
      <c r="B2" s="851"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30"/>
    </row>
    <row r="3" spans="1:29" s="1335" customFormat="1" ht="28.5" customHeight="1" thickBot="1">
      <c r="A3" s="511" t="s">
        <v>520</v>
      </c>
      <c r="B3" s="512" t="e">
        <f>C43</f>
        <v>#DIV/0!</v>
      </c>
      <c r="C3" s="853" t="s">
        <v>723</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0"/>
    </row>
    <row r="4" spans="1:29" ht="15">
      <c r="A4" s="514" t="s">
        <v>522</v>
      </c>
      <c r="B4" s="515"/>
      <c r="C4" s="3265" t="s">
        <v>523</v>
      </c>
      <c r="D4" s="3266"/>
      <c r="E4" s="3267" t="s">
        <v>524</v>
      </c>
      <c r="F4" s="3268"/>
      <c r="G4" s="3265" t="s">
        <v>525</v>
      </c>
      <c r="H4" s="3266"/>
      <c r="I4" s="3265" t="s">
        <v>526</v>
      </c>
      <c r="J4" s="3266"/>
      <c r="K4" s="516" t="s">
        <v>527</v>
      </c>
      <c r="L4" s="2134"/>
      <c r="M4" s="2135"/>
      <c r="N4" s="2135"/>
      <c r="O4" s="2135"/>
      <c r="P4" s="3269" t="s">
        <v>528</v>
      </c>
      <c r="Q4" s="3270"/>
      <c r="R4" s="3255" t="s">
        <v>524</v>
      </c>
      <c r="S4" s="3256"/>
      <c r="T4" s="3255" t="s">
        <v>525</v>
      </c>
      <c r="U4" s="3256"/>
      <c r="V4" s="3254" t="s">
        <v>526</v>
      </c>
      <c r="W4" s="3254"/>
      <c r="X4" s="1567"/>
      <c r="Y4" s="3255" t="s">
        <v>528</v>
      </c>
      <c r="Z4" s="3256"/>
      <c r="AA4" s="3261" t="s">
        <v>524</v>
      </c>
      <c r="AB4" s="3262" t="s">
        <v>525</v>
      </c>
      <c r="AC4" s="3261" t="s">
        <v>526</v>
      </c>
    </row>
    <row r="5" spans="1:29" ht="15">
      <c r="A5" s="517"/>
      <c r="B5" s="518"/>
      <c r="C5" s="3275" t="s">
        <v>2937</v>
      </c>
      <c r="D5" s="3276"/>
      <c r="E5" s="3436" t="s">
        <v>2938</v>
      </c>
      <c r="F5" s="3437"/>
      <c r="G5" s="3275" t="s">
        <v>2939</v>
      </c>
      <c r="H5" s="3276"/>
      <c r="I5" s="3275" t="s">
        <v>2940</v>
      </c>
      <c r="J5" s="3276"/>
      <c r="K5" s="516"/>
      <c r="L5" s="2134"/>
      <c r="M5" s="2135"/>
      <c r="N5" s="2135"/>
      <c r="O5" s="2135"/>
      <c r="P5" s="3271"/>
      <c r="Q5" s="3272"/>
      <c r="R5" s="3257"/>
      <c r="S5" s="3258"/>
      <c r="T5" s="3257"/>
      <c r="U5" s="3258"/>
      <c r="V5" s="3254"/>
      <c r="W5" s="3254"/>
      <c r="X5" s="1567"/>
      <c r="Y5" s="3257"/>
      <c r="Z5" s="3258"/>
      <c r="AA5" s="3262"/>
      <c r="AB5" s="3262"/>
      <c r="AC5" s="3262"/>
    </row>
    <row r="6" spans="1:29" ht="15.75" thickBot="1">
      <c r="A6" s="519"/>
      <c r="B6" s="520"/>
      <c r="C6" s="3281" t="s">
        <v>2941</v>
      </c>
      <c r="D6" s="3282"/>
      <c r="E6" s="3434" t="s">
        <v>2941</v>
      </c>
      <c r="F6" s="3435"/>
      <c r="G6" s="3281" t="s">
        <v>2941</v>
      </c>
      <c r="H6" s="3282"/>
      <c r="I6" s="3281" t="s">
        <v>2941</v>
      </c>
      <c r="J6" s="3282"/>
      <c r="K6" s="516" t="s">
        <v>529</v>
      </c>
      <c r="L6" s="2134"/>
      <c r="M6" s="2135"/>
      <c r="N6" s="2135"/>
      <c r="O6" s="2135"/>
      <c r="P6" s="3273"/>
      <c r="Q6" s="3274"/>
      <c r="R6" s="3257"/>
      <c r="S6" s="3258"/>
      <c r="T6" s="3259"/>
      <c r="U6" s="3260"/>
      <c r="V6" s="3254"/>
      <c r="W6" s="3254"/>
      <c r="X6" s="1567"/>
      <c r="Y6" s="3259"/>
      <c r="Z6" s="3260"/>
      <c r="AA6" s="3263"/>
      <c r="AB6" s="3263"/>
      <c r="AC6" s="3263"/>
    </row>
    <row r="7" spans="1:29" s="1219" customFormat="1" ht="15.75" thickBot="1">
      <c r="A7" s="2936"/>
      <c r="B7" s="2943" t="s">
        <v>530</v>
      </c>
      <c r="C7" s="521">
        <f>'数据-取费表'!B2</f>
        <v>43187</v>
      </c>
      <c r="D7" s="522">
        <v>100</v>
      </c>
      <c r="E7" s="523"/>
      <c r="F7" s="524">
        <f>SUMIF(52:52,YEAR(E7)&amp;"-"&amp;MONTH(E7),53:53)</f>
        <v>0</v>
      </c>
      <c r="G7" s="523"/>
      <c r="H7" s="522">
        <f>SUMIF(52:52,YEAR(G7)&amp;"-"&amp;MONTH(G7),53:53)</f>
        <v>0</v>
      </c>
      <c r="I7" s="523"/>
      <c r="J7" s="522">
        <f>SUMIF(52:52,YEAR(I7)&amp;"-"&amp;MONTH(I7),53:53)</f>
        <v>0</v>
      </c>
      <c r="K7" s="526"/>
      <c r="L7" s="2136"/>
      <c r="M7" s="2137"/>
      <c r="N7" s="2137"/>
      <c r="O7" s="2137"/>
      <c r="P7" s="3251" t="s">
        <v>531</v>
      </c>
      <c r="Q7" s="3264"/>
      <c r="R7" s="1568" t="s">
        <v>8</v>
      </c>
      <c r="S7" s="1569">
        <f t="shared" ref="S7:S15" si="0">F7</f>
        <v>0</v>
      </c>
      <c r="T7" s="1568" t="s">
        <v>8</v>
      </c>
      <c r="U7" s="1569">
        <f t="shared" ref="U7:U15" si="1">H7</f>
        <v>0</v>
      </c>
      <c r="V7" s="1568" t="s">
        <v>8</v>
      </c>
      <c r="W7" s="1569">
        <f t="shared" ref="W7:W15" si="2">J7</f>
        <v>0</v>
      </c>
      <c r="X7" s="1570"/>
      <c r="Y7" s="3251" t="s">
        <v>531</v>
      </c>
      <c r="Z7" s="3252"/>
      <c r="AA7" s="1571" t="e">
        <f>D7/F7</f>
        <v>#DIV/0!</v>
      </c>
      <c r="AB7" s="1571" t="e">
        <f>D7/H7</f>
        <v>#DIV/0!</v>
      </c>
      <c r="AC7" s="1571" t="e">
        <f>D7/J7</f>
        <v>#DIV/0!</v>
      </c>
    </row>
    <row r="8" spans="1:29" s="1219" customFormat="1" ht="15.75" thickBot="1">
      <c r="A8" s="2937"/>
      <c r="B8" s="2944" t="s">
        <v>532</v>
      </c>
      <c r="C8" s="527" t="s">
        <v>577</v>
      </c>
      <c r="D8" s="522">
        <v>100</v>
      </c>
      <c r="E8" s="527"/>
      <c r="F8" s="524">
        <f>SUMIF(55:55,E8,56:56)-SUMIF(55:55,C8,56:56)+100</f>
        <v>0</v>
      </c>
      <c r="G8" s="527"/>
      <c r="H8" s="522">
        <f>SUMIF(55:55,G8,56:56)-SUMIF(55:55,C8,56:56)+100</f>
        <v>0</v>
      </c>
      <c r="I8" s="527"/>
      <c r="J8" s="522">
        <f>SUMIF(55:55,I8,56:56)-SUMIF(55:55,C8,56:56)+100</f>
        <v>0</v>
      </c>
      <c r="K8" s="526"/>
      <c r="L8" s="2136"/>
      <c r="M8" s="2137"/>
      <c r="N8" s="2137"/>
      <c r="O8" s="2137"/>
      <c r="P8" s="3251" t="s">
        <v>534</v>
      </c>
      <c r="Q8" s="3252"/>
      <c r="R8" s="1568" t="s">
        <v>8</v>
      </c>
      <c r="S8" s="1569">
        <f t="shared" si="0"/>
        <v>0</v>
      </c>
      <c r="T8" s="1568" t="s">
        <v>8</v>
      </c>
      <c r="U8" s="1569">
        <f t="shared" si="1"/>
        <v>0</v>
      </c>
      <c r="V8" s="1568" t="s">
        <v>8</v>
      </c>
      <c r="W8" s="1569">
        <f t="shared" si="2"/>
        <v>0</v>
      </c>
      <c r="X8" s="1570"/>
      <c r="Y8" s="3251" t="s">
        <v>534</v>
      </c>
      <c r="Z8" s="3252"/>
      <c r="AA8" s="1571" t="e">
        <f t="shared" ref="AA8:AA40" si="3">D8/F8</f>
        <v>#DIV/0!</v>
      </c>
      <c r="AB8" s="1571" t="e">
        <f t="shared" ref="AB8:AB40" si="4">D8/H8</f>
        <v>#DIV/0!</v>
      </c>
      <c r="AC8" s="1571" t="e">
        <f t="shared" ref="AC8:AC40" si="5">D8/J8</f>
        <v>#DIV/0!</v>
      </c>
    </row>
    <row r="9" spans="1:29" s="1219" customFormat="1" ht="15">
      <c r="A9" s="2938"/>
      <c r="B9" s="2945" t="s">
        <v>2764</v>
      </c>
      <c r="C9" s="858"/>
      <c r="D9" s="253">
        <v>100</v>
      </c>
      <c r="E9" s="861"/>
      <c r="F9" s="253">
        <f>SUMIF(57:57,E9,58:58)-SUMIF(57:57,C9,58:58)+100</f>
        <v>100</v>
      </c>
      <c r="G9" s="859"/>
      <c r="H9" s="253">
        <f>SUMIF(57:57,G9,58:58)-SUMIF(57:57,C9,58:58)+100</f>
        <v>100</v>
      </c>
      <c r="I9" s="859"/>
      <c r="J9" s="253">
        <f>SUMIF(57:57,I9,58:58)-SUMIF(57:57,C9,58:58)+100</f>
        <v>100</v>
      </c>
      <c r="K9" s="526"/>
      <c r="L9" s="2136"/>
      <c r="M9" s="2137"/>
      <c r="N9" s="2137"/>
      <c r="O9" s="2138"/>
      <c r="P9" s="3241" t="s">
        <v>536</v>
      </c>
      <c r="Q9" s="1150" t="str">
        <f t="shared" ref="Q9:Q15" si="6">B9</f>
        <v>用途</v>
      </c>
      <c r="R9" s="1568" t="s">
        <v>8</v>
      </c>
      <c r="S9" s="1569">
        <f t="shared" si="0"/>
        <v>100</v>
      </c>
      <c r="T9" s="1568" t="s">
        <v>8</v>
      </c>
      <c r="U9" s="1569">
        <f t="shared" si="1"/>
        <v>100</v>
      </c>
      <c r="V9" s="1568" t="s">
        <v>8</v>
      </c>
      <c r="W9" s="1569">
        <f t="shared" si="2"/>
        <v>100</v>
      </c>
      <c r="X9" s="1570"/>
      <c r="Y9" s="3253" t="s">
        <v>537</v>
      </c>
      <c r="Z9" s="1149" t="str">
        <f t="shared" ref="Z9:Z15" si="7">Q9</f>
        <v>用途</v>
      </c>
      <c r="AA9" s="1571">
        <f t="shared" si="3"/>
        <v>1</v>
      </c>
      <c r="AB9" s="1571">
        <f t="shared" si="4"/>
        <v>1</v>
      </c>
      <c r="AC9" s="1571">
        <f t="shared" si="5"/>
        <v>1</v>
      </c>
    </row>
    <row r="10" spans="1:29" s="1337" customFormat="1" ht="27">
      <c r="A10" s="2939"/>
      <c r="B10" s="2944" t="s">
        <v>2765</v>
      </c>
      <c r="C10" s="862"/>
      <c r="D10" s="254">
        <v>100</v>
      </c>
      <c r="E10" s="862"/>
      <c r="F10" s="254">
        <f>SUMIF(59:59,E10,60:60)-SUMIF(59:59,C10,60:60)+100</f>
        <v>100</v>
      </c>
      <c r="G10" s="863"/>
      <c r="H10" s="254">
        <f>SUMIF(59:59,G10,60:60)-SUMIF(59:59,C10,60:60)+100</f>
        <v>100</v>
      </c>
      <c r="I10" s="862"/>
      <c r="J10" s="254">
        <f>SUMIF(59:59,I10,60:60)-SUMIF(59:59,C10,60:60)+100</f>
        <v>100</v>
      </c>
      <c r="K10" s="585"/>
      <c r="L10" s="2139"/>
      <c r="M10" s="2179"/>
      <c r="N10" s="2179"/>
      <c r="O10" s="2140"/>
      <c r="P10" s="3241"/>
      <c r="Q10" s="1150" t="str">
        <f t="shared" si="6"/>
        <v>土地使用年限（年）</v>
      </c>
      <c r="R10" s="1568" t="s">
        <v>8</v>
      </c>
      <c r="S10" s="1569">
        <f t="shared" si="0"/>
        <v>100</v>
      </c>
      <c r="T10" s="1568" t="s">
        <v>8</v>
      </c>
      <c r="U10" s="1569">
        <f t="shared" si="1"/>
        <v>100</v>
      </c>
      <c r="V10" s="1568" t="s">
        <v>8</v>
      </c>
      <c r="W10" s="1569">
        <f t="shared" si="2"/>
        <v>100</v>
      </c>
      <c r="X10" s="1570"/>
      <c r="Y10" s="3253"/>
      <c r="Z10" s="1149" t="str">
        <f t="shared" si="7"/>
        <v>土地使用年限（年）</v>
      </c>
      <c r="AA10" s="1571">
        <f t="shared" si="3"/>
        <v>1</v>
      </c>
      <c r="AB10" s="1571">
        <f t="shared" si="4"/>
        <v>1</v>
      </c>
      <c r="AC10" s="1571">
        <f t="shared" si="5"/>
        <v>1</v>
      </c>
    </row>
    <row r="11" spans="1:29" ht="15">
      <c r="A11" s="2940"/>
      <c r="B11" s="2944" t="s">
        <v>2766</v>
      </c>
      <c r="C11" s="534"/>
      <c r="D11" s="254">
        <v>100</v>
      </c>
      <c r="E11" s="534"/>
      <c r="F11" s="254" t="e">
        <f>LOOKUP(E11,62:62,63:63)-LOOKUP(C11,62:62,63:63)+100</f>
        <v>#N/A</v>
      </c>
      <c r="G11" s="535"/>
      <c r="H11" s="254" t="e">
        <f>LOOKUP(G11,62:62,63:63)-LOOKUP(C11,62:62,63:63)+100</f>
        <v>#N/A</v>
      </c>
      <c r="I11" s="534"/>
      <c r="J11" s="254" t="e">
        <f>LOOKUP(I11,62:62,63:63)-LOOKUP(C11,62:62,63:63)+100</f>
        <v>#N/A</v>
      </c>
      <c r="K11" s="585"/>
      <c r="L11" s="2141"/>
      <c r="M11" s="2135"/>
      <c r="N11" s="2135"/>
      <c r="O11" s="2142"/>
      <c r="P11" s="3241"/>
      <c r="Q11" s="1150" t="str">
        <f t="shared" si="6"/>
        <v>容积率</v>
      </c>
      <c r="R11" s="1568" t="s">
        <v>8</v>
      </c>
      <c r="S11" s="1569" t="e">
        <f t="shared" si="0"/>
        <v>#N/A</v>
      </c>
      <c r="T11" s="1568" t="s">
        <v>8</v>
      </c>
      <c r="U11" s="1569" t="e">
        <f t="shared" si="1"/>
        <v>#N/A</v>
      </c>
      <c r="V11" s="1568" t="s">
        <v>8</v>
      </c>
      <c r="W11" s="1569" t="e">
        <f t="shared" si="2"/>
        <v>#N/A</v>
      </c>
      <c r="X11" s="1570"/>
      <c r="Y11" s="3253"/>
      <c r="Z11" s="1149" t="str">
        <f t="shared" si="7"/>
        <v>容积率</v>
      </c>
      <c r="AA11" s="1571" t="e">
        <f t="shared" si="3"/>
        <v>#N/A</v>
      </c>
      <c r="AB11" s="1571" t="e">
        <f t="shared" si="4"/>
        <v>#N/A</v>
      </c>
      <c r="AC11" s="1571" t="e">
        <f t="shared" si="5"/>
        <v>#N/A</v>
      </c>
    </row>
    <row r="12" spans="1:29" s="1219" customFormat="1" ht="15">
      <c r="A12" s="2941"/>
      <c r="B12" s="2947">
        <v>111</v>
      </c>
      <c r="C12" s="530"/>
      <c r="D12" s="539">
        <v>100</v>
      </c>
      <c r="E12" s="540"/>
      <c r="F12" s="254">
        <f>SUMIF(64:64,E12,65:65)-SUMIF(64:64,C12,65:65)+100</f>
        <v>100</v>
      </c>
      <c r="G12" s="919"/>
      <c r="H12" s="254">
        <f>SUMIF(64:64,G12,65:65)-SUMIF(64:64,C12,65:65)+100</f>
        <v>100</v>
      </c>
      <c r="I12" s="879"/>
      <c r="J12" s="254">
        <f>SUMIF(64:64,I12,65:65)-SUMIF(64:64,C12,65:65)+100</f>
        <v>100</v>
      </c>
      <c r="K12" s="582"/>
      <c r="L12" s="2136"/>
      <c r="M12" s="2137"/>
      <c r="N12" s="2137"/>
      <c r="O12" s="2138"/>
      <c r="P12" s="3241"/>
      <c r="Q12" s="1150">
        <f t="shared" si="6"/>
        <v>111</v>
      </c>
      <c r="R12" s="1568" t="s">
        <v>8</v>
      </c>
      <c r="S12" s="1569">
        <f t="shared" si="0"/>
        <v>100</v>
      </c>
      <c r="T12" s="1568" t="s">
        <v>8</v>
      </c>
      <c r="U12" s="1569">
        <f t="shared" si="1"/>
        <v>100</v>
      </c>
      <c r="V12" s="1568" t="s">
        <v>8</v>
      </c>
      <c r="W12" s="1569">
        <f t="shared" si="2"/>
        <v>100</v>
      </c>
      <c r="X12" s="1570"/>
      <c r="Y12" s="3253"/>
      <c r="Z12" s="1149">
        <f t="shared" si="7"/>
        <v>111</v>
      </c>
      <c r="AA12" s="1571">
        <f>D12/F12</f>
        <v>1</v>
      </c>
      <c r="AB12" s="1571">
        <f>D12/H12</f>
        <v>1</v>
      </c>
      <c r="AC12" s="1571">
        <f>D12/J12</f>
        <v>1</v>
      </c>
    </row>
    <row r="13" spans="1:29" ht="15">
      <c r="A13" s="2941"/>
      <c r="B13" s="2947">
        <v>111</v>
      </c>
      <c r="C13" s="540"/>
      <c r="D13" s="541">
        <v>100</v>
      </c>
      <c r="E13" s="540"/>
      <c r="F13" s="254">
        <f>SUMIF(66:66,E13,67:67)-SUMIF(66:66,C13,67:67)+100</f>
        <v>100</v>
      </c>
      <c r="G13" s="919"/>
      <c r="H13" s="541">
        <f>SUMIF(66:66,G13,67:67)-SUMIF(66:66,C13,67:67)+100</f>
        <v>100</v>
      </c>
      <c r="I13" s="879"/>
      <c r="J13" s="541">
        <f>SUMIF(66:66,I13,67:67)-SUMIF(66:66,C13,67:67)+100</f>
        <v>100</v>
      </c>
      <c r="K13" s="582"/>
      <c r="L13" s="2143"/>
      <c r="M13" s="2135"/>
      <c r="N13" s="2135"/>
      <c r="O13" s="2142"/>
      <c r="P13" s="3241"/>
      <c r="Q13" s="1150">
        <f t="shared" si="6"/>
        <v>111</v>
      </c>
      <c r="R13" s="1568" t="s">
        <v>8</v>
      </c>
      <c r="S13" s="1569">
        <f t="shared" si="0"/>
        <v>100</v>
      </c>
      <c r="T13" s="1568" t="s">
        <v>8</v>
      </c>
      <c r="U13" s="1569">
        <f t="shared" si="1"/>
        <v>100</v>
      </c>
      <c r="V13" s="1568" t="s">
        <v>8</v>
      </c>
      <c r="W13" s="1569">
        <f t="shared" si="2"/>
        <v>100</v>
      </c>
      <c r="X13" s="1570"/>
      <c r="Y13" s="3253"/>
      <c r="Z13" s="1149">
        <f t="shared" si="7"/>
        <v>111</v>
      </c>
      <c r="AA13" s="1571">
        <f t="shared" si="3"/>
        <v>1</v>
      </c>
      <c r="AB13" s="1571">
        <f t="shared" si="4"/>
        <v>1</v>
      </c>
      <c r="AC13" s="1571">
        <f t="shared" si="5"/>
        <v>1</v>
      </c>
    </row>
    <row r="14" spans="1:29" ht="15.75" thickBot="1">
      <c r="A14" s="2942"/>
      <c r="B14" s="2948">
        <v>111</v>
      </c>
      <c r="C14" s="546"/>
      <c r="D14" s="547">
        <v>100</v>
      </c>
      <c r="E14" s="546"/>
      <c r="F14" s="547">
        <f>SUMIF(68:68,E14,69:69)-SUMIF(68:68,C14,69:69)+100</f>
        <v>100</v>
      </c>
      <c r="G14" s="919"/>
      <c r="H14" s="547">
        <f>SUMIF(68:68,G14,69:69)-SUMIF(68:68,C14,69:69)+100</f>
        <v>100</v>
      </c>
      <c r="I14" s="879"/>
      <c r="J14" s="547">
        <f>SUMIF(68:68,I14,69:69)-SUMIF(68:68,C14,69:69)+100</f>
        <v>100</v>
      </c>
      <c r="K14" s="582"/>
      <c r="L14" s="2143"/>
      <c r="M14" s="2135"/>
      <c r="N14" s="2135"/>
      <c r="O14" s="2142"/>
      <c r="P14" s="3241"/>
      <c r="Q14" s="1150">
        <f t="shared" si="6"/>
        <v>111</v>
      </c>
      <c r="R14" s="1568" t="s">
        <v>8</v>
      </c>
      <c r="S14" s="1569">
        <f t="shared" si="0"/>
        <v>100</v>
      </c>
      <c r="T14" s="1568" t="s">
        <v>8</v>
      </c>
      <c r="U14" s="1569">
        <f t="shared" si="1"/>
        <v>100</v>
      </c>
      <c r="V14" s="1568" t="s">
        <v>8</v>
      </c>
      <c r="W14" s="1569">
        <f t="shared" si="2"/>
        <v>100</v>
      </c>
      <c r="X14" s="1570"/>
      <c r="Y14" s="3253"/>
      <c r="Z14" s="1149">
        <f t="shared" si="7"/>
        <v>111</v>
      </c>
      <c r="AA14" s="1571">
        <f t="shared" si="3"/>
        <v>1</v>
      </c>
      <c r="AB14" s="1571">
        <f t="shared" si="4"/>
        <v>1</v>
      </c>
      <c r="AC14" s="1571">
        <f t="shared" si="5"/>
        <v>1</v>
      </c>
    </row>
    <row r="15" spans="1:29" ht="57">
      <c r="A15" s="2934" t="s">
        <v>2762</v>
      </c>
      <c r="B15" s="165" t="s">
        <v>790</v>
      </c>
      <c r="C15" s="920"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7"/>
      <c r="L15" s="2143"/>
      <c r="M15" s="2135"/>
      <c r="N15" s="2135"/>
      <c r="O15" s="2142"/>
      <c r="P15" s="3246" t="s">
        <v>541</v>
      </c>
      <c r="Q15" s="1572" t="str">
        <f t="shared" si="6"/>
        <v>产业集聚程度</v>
      </c>
      <c r="R15" s="1573" t="s">
        <v>8</v>
      </c>
      <c r="S15" s="1574">
        <f t="shared" si="0"/>
        <v>100</v>
      </c>
      <c r="T15" s="1573" t="s">
        <v>8</v>
      </c>
      <c r="U15" s="1574">
        <f t="shared" si="1"/>
        <v>100</v>
      </c>
      <c r="V15" s="1573" t="s">
        <v>8</v>
      </c>
      <c r="W15" s="1574">
        <f t="shared" si="2"/>
        <v>100</v>
      </c>
      <c r="X15" s="1567"/>
      <c r="Y15" s="3246" t="s">
        <v>541</v>
      </c>
      <c r="Z15" s="1575" t="str">
        <f t="shared" si="7"/>
        <v>产业集聚程度</v>
      </c>
      <c r="AA15" s="1576">
        <f t="shared" si="3"/>
        <v>1</v>
      </c>
      <c r="AB15" s="1576">
        <f t="shared" si="4"/>
        <v>1</v>
      </c>
      <c r="AC15" s="1576">
        <f t="shared" si="5"/>
        <v>1</v>
      </c>
    </row>
    <row r="16" spans="1:29" ht="15">
      <c r="A16" s="533"/>
      <c r="B16" s="870"/>
      <c r="C16" s="577"/>
      <c r="D16" s="556"/>
      <c r="E16" s="577"/>
      <c r="F16" s="558"/>
      <c r="G16" s="577"/>
      <c r="H16" s="560"/>
      <c r="I16" s="577"/>
      <c r="J16" s="556"/>
      <c r="K16" s="898"/>
      <c r="L16" s="2143"/>
      <c r="M16" s="2135"/>
      <c r="N16" s="2135"/>
      <c r="O16" s="2142"/>
      <c r="P16" s="3247"/>
      <c r="Q16" s="1572"/>
      <c r="R16" s="1573"/>
      <c r="S16" s="1574"/>
      <c r="T16" s="1573"/>
      <c r="U16" s="1574"/>
      <c r="V16" s="1573"/>
      <c r="W16" s="1574"/>
      <c r="X16" s="1567"/>
      <c r="Y16" s="3247"/>
      <c r="Z16" s="1575"/>
      <c r="AA16" s="1576">
        <v>1</v>
      </c>
      <c r="AB16" s="1576">
        <v>1</v>
      </c>
      <c r="AC16" s="1576">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7"/>
      <c r="L17" s="2143"/>
      <c r="M17" s="2135"/>
      <c r="N17" s="2135"/>
      <c r="O17" s="2142"/>
      <c r="P17" s="3247"/>
      <c r="Q17" s="1572" t="str">
        <f>B17</f>
        <v>交通便捷度</v>
      </c>
      <c r="R17" s="1573" t="s">
        <v>8</v>
      </c>
      <c r="S17" s="1574">
        <f>F17</f>
        <v>100</v>
      </c>
      <c r="T17" s="1573" t="s">
        <v>8</v>
      </c>
      <c r="U17" s="1574">
        <f>H17</f>
        <v>100</v>
      </c>
      <c r="V17" s="1573" t="s">
        <v>8</v>
      </c>
      <c r="W17" s="1574">
        <f>J17</f>
        <v>100</v>
      </c>
      <c r="X17" s="1567"/>
      <c r="Y17" s="3247"/>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8"/>
      <c r="L18" s="2143"/>
      <c r="M18" s="2135"/>
      <c r="N18" s="2135"/>
      <c r="O18" s="2142"/>
      <c r="P18" s="3247"/>
      <c r="Q18" s="1572"/>
      <c r="R18" s="1573"/>
      <c r="S18" s="1574"/>
      <c r="T18" s="1573"/>
      <c r="U18" s="1574"/>
      <c r="V18" s="1573"/>
      <c r="W18" s="1574"/>
      <c r="X18" s="1567"/>
      <c r="Y18" s="3247"/>
      <c r="Z18" s="1575"/>
      <c r="AA18" s="1576">
        <v>1</v>
      </c>
      <c r="AB18" s="1576">
        <v>1</v>
      </c>
      <c r="AC18" s="1576">
        <v>1</v>
      </c>
    </row>
    <row r="19" spans="1:29" ht="42.75">
      <c r="A19" s="533"/>
      <c r="B19" s="2625" t="s">
        <v>2552</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7"/>
      <c r="L19" s="2143"/>
      <c r="M19" s="2135"/>
      <c r="N19" s="2135"/>
      <c r="O19" s="2142"/>
      <c r="P19" s="3247"/>
      <c r="Q19" s="1572" t="str">
        <f>B19</f>
        <v>公共配套设施</v>
      </c>
      <c r="R19" s="1573" t="s">
        <v>8</v>
      </c>
      <c r="S19" s="1574">
        <f>F19</f>
        <v>100</v>
      </c>
      <c r="T19" s="1573" t="s">
        <v>8</v>
      </c>
      <c r="U19" s="1574">
        <f>H19</f>
        <v>100</v>
      </c>
      <c r="V19" s="1573" t="s">
        <v>8</v>
      </c>
      <c r="W19" s="1574">
        <f>J19</f>
        <v>100</v>
      </c>
      <c r="X19" s="1567"/>
      <c r="Y19" s="3247"/>
      <c r="Z19" s="1575" t="str">
        <f>Q19</f>
        <v>公共配套设施</v>
      </c>
      <c r="AA19" s="1576">
        <f t="shared" si="3"/>
        <v>1</v>
      </c>
      <c r="AB19" s="1576">
        <f t="shared" si="4"/>
        <v>1</v>
      </c>
      <c r="AC19" s="1576">
        <f t="shared" si="5"/>
        <v>1</v>
      </c>
    </row>
    <row r="20" spans="1:29" ht="15">
      <c r="A20" s="533"/>
      <c r="B20" s="567"/>
      <c r="C20" s="577"/>
      <c r="D20" s="556"/>
      <c r="E20" s="557"/>
      <c r="F20" s="558"/>
      <c r="G20" s="559"/>
      <c r="H20" s="556"/>
      <c r="I20" s="557"/>
      <c r="J20" s="556"/>
      <c r="K20" s="898"/>
      <c r="L20" s="2143"/>
      <c r="M20" s="2135"/>
      <c r="N20" s="2135"/>
      <c r="O20" s="2142"/>
      <c r="P20" s="3247"/>
      <c r="Q20" s="1572"/>
      <c r="R20" s="1573"/>
      <c r="S20" s="1574"/>
      <c r="T20" s="1573"/>
      <c r="U20" s="1574"/>
      <c r="V20" s="1573"/>
      <c r="W20" s="1574"/>
      <c r="X20" s="1567"/>
      <c r="Y20" s="3247"/>
      <c r="Z20" s="1575"/>
      <c r="AA20" s="1576">
        <v>1</v>
      </c>
      <c r="AB20" s="1576">
        <v>1</v>
      </c>
      <c r="AC20" s="1576">
        <v>1</v>
      </c>
    </row>
    <row r="21" spans="1:29" ht="28.5">
      <c r="A21" s="533"/>
      <c r="B21" s="2613" t="s">
        <v>2564</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7"/>
      <c r="L21" s="2143"/>
      <c r="M21" s="2135"/>
      <c r="N21" s="2135"/>
      <c r="O21" s="2142"/>
      <c r="P21" s="3247"/>
      <c r="Q21" s="2601" t="str">
        <f>B21</f>
        <v>基础设施水平</v>
      </c>
      <c r="R21" s="1573" t="s">
        <v>8</v>
      </c>
      <c r="S21" s="1574">
        <f>F21</f>
        <v>100</v>
      </c>
      <c r="T21" s="1573" t="s">
        <v>8</v>
      </c>
      <c r="U21" s="1574">
        <f>H21</f>
        <v>100</v>
      </c>
      <c r="V21" s="1573" t="s">
        <v>8</v>
      </c>
      <c r="W21" s="1574">
        <f>J21</f>
        <v>100</v>
      </c>
      <c r="X21" s="2603"/>
      <c r="Y21" s="3247"/>
      <c r="Z21" s="2602" t="str">
        <f>Q21</f>
        <v>基础设施水平</v>
      </c>
      <c r="AA21" s="1576">
        <f>D21/F21</f>
        <v>1</v>
      </c>
      <c r="AB21" s="1576">
        <f>D21/H21</f>
        <v>1</v>
      </c>
      <c r="AC21" s="1576">
        <f>D21/J21</f>
        <v>1</v>
      </c>
    </row>
    <row r="22" spans="1:29" ht="15">
      <c r="A22" s="533"/>
      <c r="B22" s="579"/>
      <c r="C22" s="874"/>
      <c r="D22" s="556"/>
      <c r="E22" s="577"/>
      <c r="F22" s="558"/>
      <c r="G22" s="577"/>
      <c r="H22" s="556"/>
      <c r="I22" s="577"/>
      <c r="J22" s="556"/>
      <c r="K22" s="2624"/>
      <c r="L22" s="2143"/>
      <c r="M22" s="2135"/>
      <c r="N22" s="2135"/>
      <c r="O22" s="2142"/>
      <c r="P22" s="3247"/>
      <c r="Q22" s="2601"/>
      <c r="R22" s="1573"/>
      <c r="S22" s="1574"/>
      <c r="T22" s="1573"/>
      <c r="U22" s="1574"/>
      <c r="V22" s="1573"/>
      <c r="W22" s="1574"/>
      <c r="X22" s="2603"/>
      <c r="Y22" s="3247"/>
      <c r="Z22" s="2602"/>
      <c r="AA22" s="1576">
        <v>1</v>
      </c>
      <c r="AB22" s="1576">
        <v>1</v>
      </c>
      <c r="AC22" s="1576">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7"/>
      <c r="L23" s="2143"/>
      <c r="M23" s="2135"/>
      <c r="N23" s="2135"/>
      <c r="O23" s="2142"/>
      <c r="P23" s="3247"/>
      <c r="Q23" s="1572" t="str">
        <f>B23</f>
        <v>环境质量</v>
      </c>
      <c r="R23" s="1573" t="s">
        <v>8</v>
      </c>
      <c r="S23" s="1574">
        <f>F23</f>
        <v>100</v>
      </c>
      <c r="T23" s="1573" t="s">
        <v>8</v>
      </c>
      <c r="U23" s="1574">
        <f>H23</f>
        <v>100</v>
      </c>
      <c r="V23" s="1573" t="s">
        <v>8</v>
      </c>
      <c r="W23" s="1574">
        <f>J23</f>
        <v>100</v>
      </c>
      <c r="X23" s="1567"/>
      <c r="Y23" s="3247"/>
      <c r="Z23" s="1575" t="str">
        <f>Q23</f>
        <v>环境质量</v>
      </c>
      <c r="AA23" s="1576">
        <f t="shared" si="3"/>
        <v>1</v>
      </c>
      <c r="AB23" s="1576">
        <f t="shared" si="4"/>
        <v>1</v>
      </c>
      <c r="AC23" s="1576">
        <f t="shared" si="5"/>
        <v>1</v>
      </c>
    </row>
    <row r="24" spans="1:29" ht="15">
      <c r="A24" s="533"/>
      <c r="B24" s="921"/>
      <c r="C24" s="577"/>
      <c r="D24" s="556"/>
      <c r="E24" s="557"/>
      <c r="F24" s="558"/>
      <c r="G24" s="559"/>
      <c r="H24" s="556"/>
      <c r="I24" s="557"/>
      <c r="J24" s="556"/>
      <c r="K24" s="898"/>
      <c r="L24" s="2143"/>
      <c r="M24" s="2135"/>
      <c r="N24" s="2135"/>
      <c r="O24" s="2142"/>
      <c r="P24" s="3247"/>
      <c r="Q24" s="1572"/>
      <c r="R24" s="1573"/>
      <c r="S24" s="1574"/>
      <c r="T24" s="1573"/>
      <c r="U24" s="1574"/>
      <c r="V24" s="1573"/>
      <c r="W24" s="1574"/>
      <c r="X24" s="1567"/>
      <c r="Y24" s="3247"/>
      <c r="Z24" s="1575"/>
      <c r="AA24" s="1576">
        <v>1</v>
      </c>
      <c r="AB24" s="1576">
        <v>1</v>
      </c>
      <c r="AC24" s="1576">
        <v>1</v>
      </c>
    </row>
    <row r="25" spans="1:29" ht="15">
      <c r="A25" s="517"/>
      <c r="B25" s="877">
        <v>111</v>
      </c>
      <c r="C25" s="540"/>
      <c r="D25" s="541">
        <v>100</v>
      </c>
      <c r="E25" s="540"/>
      <c r="F25" s="576">
        <f>SUMIF(80:80,E25,81:81)-SUMIF(80:80,C25,81:81)+100</f>
        <v>100</v>
      </c>
      <c r="G25" s="540"/>
      <c r="H25" s="541">
        <f>SUMIF(80:80,G25,81:81)-SUMIF(80:80,C25,81:81)+100</f>
        <v>100</v>
      </c>
      <c r="I25" s="540"/>
      <c r="J25" s="541">
        <f>SUMIF(80:80,I25,81:81)-SUMIF(80:80,C25,81:81)+100</f>
        <v>100</v>
      </c>
      <c r="K25" s="582"/>
      <c r="L25" s="2143"/>
      <c r="M25" s="2135"/>
      <c r="N25" s="2135"/>
      <c r="O25" s="2142"/>
      <c r="P25" s="3247"/>
      <c r="Q25" s="1572">
        <f>B25</f>
        <v>111</v>
      </c>
      <c r="R25" s="1573" t="s">
        <v>8</v>
      </c>
      <c r="S25" s="1574">
        <f>F25</f>
        <v>100</v>
      </c>
      <c r="T25" s="1573" t="s">
        <v>8</v>
      </c>
      <c r="U25" s="1574">
        <f>H25</f>
        <v>100</v>
      </c>
      <c r="V25" s="1573" t="s">
        <v>8</v>
      </c>
      <c r="W25" s="1574">
        <f>J25</f>
        <v>100</v>
      </c>
      <c r="X25" s="1567"/>
      <c r="Y25" s="3247"/>
      <c r="Z25" s="1575">
        <f>Q25</f>
        <v>111</v>
      </c>
      <c r="AA25" s="1576">
        <f t="shared" si="3"/>
        <v>1</v>
      </c>
      <c r="AB25" s="1576">
        <f t="shared" si="4"/>
        <v>1</v>
      </c>
      <c r="AC25" s="1576">
        <f t="shared" si="5"/>
        <v>1</v>
      </c>
    </row>
    <row r="26" spans="1:29" ht="15">
      <c r="A26" s="533"/>
      <c r="B26" s="877">
        <v>111</v>
      </c>
      <c r="C26" s="540"/>
      <c r="D26" s="541">
        <v>100</v>
      </c>
      <c r="E26" s="540"/>
      <c r="F26" s="576">
        <f>SUMIF(82:82,E26,83:83)-SUMIF(82:82,C26,83:83)+100</f>
        <v>100</v>
      </c>
      <c r="G26" s="540"/>
      <c r="H26" s="541">
        <f>SUMIF(82:82,G26,83:83)-SUMIF(82:82,C26,83:83)+100</f>
        <v>100</v>
      </c>
      <c r="I26" s="540"/>
      <c r="J26" s="541">
        <f>SUMIF(82:82,I26,83:83)-SUMIF(82:82,C26,83:83)+100</f>
        <v>100</v>
      </c>
      <c r="K26" s="582"/>
      <c r="L26" s="2143"/>
      <c r="M26" s="2135"/>
      <c r="N26" s="2135"/>
      <c r="O26" s="2142"/>
      <c r="P26" s="3247"/>
      <c r="Q26" s="1572">
        <f t="shared" ref="Q26:Q40" si="8">B26</f>
        <v>111</v>
      </c>
      <c r="R26" s="1573" t="s">
        <v>8</v>
      </c>
      <c r="S26" s="1574">
        <f>F26</f>
        <v>100</v>
      </c>
      <c r="T26" s="1573" t="s">
        <v>8</v>
      </c>
      <c r="U26" s="1574">
        <f>H26</f>
        <v>100</v>
      </c>
      <c r="V26" s="1573" t="s">
        <v>8</v>
      </c>
      <c r="W26" s="1574">
        <f>J26</f>
        <v>100</v>
      </c>
      <c r="X26" s="1567"/>
      <c r="Y26" s="3247"/>
      <c r="Z26" s="1575">
        <f>Q26</f>
        <v>111</v>
      </c>
      <c r="AA26" s="1576">
        <f t="shared" si="3"/>
        <v>1</v>
      </c>
      <c r="AB26" s="1576">
        <f t="shared" si="4"/>
        <v>1</v>
      </c>
      <c r="AC26" s="1576">
        <f t="shared" si="5"/>
        <v>1</v>
      </c>
    </row>
    <row r="27" spans="1:29" s="1219" customFormat="1" ht="15">
      <c r="A27" s="537"/>
      <c r="B27" s="877">
        <v>111</v>
      </c>
      <c r="C27" s="540"/>
      <c r="D27" s="875">
        <v>100</v>
      </c>
      <c r="E27" s="540"/>
      <c r="F27" s="876">
        <f>SUMIF(84:84,E27,85:85)-SUMIF(84:84,C27,85:85)+100</f>
        <v>100</v>
      </c>
      <c r="G27" s="540"/>
      <c r="H27" s="875">
        <f>SUMIF(84:84,G27,85:85)-SUMIF(84:84,C27,85:85)+100</f>
        <v>100</v>
      </c>
      <c r="I27" s="540"/>
      <c r="J27" s="875">
        <f>SUMIF(84:84,I27,85:85)-SUMIF(84:84,C27,85:85)+100</f>
        <v>100</v>
      </c>
      <c r="K27" s="582"/>
      <c r="L27" s="2136"/>
      <c r="M27" s="2137"/>
      <c r="N27" s="2137"/>
      <c r="O27" s="2138"/>
      <c r="P27" s="3247"/>
      <c r="Q27" s="1150">
        <f t="shared" si="8"/>
        <v>111</v>
      </c>
      <c r="R27" s="1568" t="s">
        <v>8</v>
      </c>
      <c r="S27" s="1569">
        <f>F27</f>
        <v>100</v>
      </c>
      <c r="T27" s="1568" t="s">
        <v>8</v>
      </c>
      <c r="U27" s="1569">
        <f>H27</f>
        <v>100</v>
      </c>
      <c r="V27" s="1568" t="s">
        <v>8</v>
      </c>
      <c r="W27" s="1569">
        <f>J27</f>
        <v>100</v>
      </c>
      <c r="X27" s="1570"/>
      <c r="Y27" s="3247"/>
      <c r="Z27" s="1149">
        <f>Q27</f>
        <v>111</v>
      </c>
      <c r="AA27" s="1576">
        <f>D27/F27</f>
        <v>1</v>
      </c>
      <c r="AB27" s="1576">
        <f>D27/H27</f>
        <v>1</v>
      </c>
      <c r="AC27" s="1576">
        <f>D27/J27</f>
        <v>1</v>
      </c>
    </row>
    <row r="28" spans="1:29" ht="15.75" thickBot="1">
      <c r="A28" s="544"/>
      <c r="B28" s="877">
        <v>111</v>
      </c>
      <c r="C28" s="546"/>
      <c r="D28" s="547">
        <v>100</v>
      </c>
      <c r="E28" s="540"/>
      <c r="F28" s="867">
        <f>SUMIF(86:86,E28,87:87)-SUMIF(86:86,C28,87:87)+100</f>
        <v>100</v>
      </c>
      <c r="G28" s="879"/>
      <c r="H28" s="547">
        <f>SUMIF(86:86,G28,87:87)-SUMIF(86:86,C28,87:87)+100</f>
        <v>100</v>
      </c>
      <c r="I28" s="879"/>
      <c r="J28" s="547">
        <f>SUMIF(86:86,I28,87:87)-SUMIF(86:86,C28,87:87)+100</f>
        <v>100</v>
      </c>
      <c r="K28" s="582"/>
      <c r="L28" s="2143"/>
      <c r="M28" s="2135"/>
      <c r="N28" s="2135"/>
      <c r="O28" s="2142"/>
      <c r="P28" s="3247"/>
      <c r="Q28" s="1572">
        <f t="shared" si="8"/>
        <v>111</v>
      </c>
      <c r="R28" s="1573" t="s">
        <v>8</v>
      </c>
      <c r="S28" s="1574">
        <f t="shared" ref="S28:S40" si="9">F28</f>
        <v>100</v>
      </c>
      <c r="T28" s="1573" t="s">
        <v>8</v>
      </c>
      <c r="U28" s="1574">
        <f t="shared" ref="U28:U40" si="10">H28</f>
        <v>100</v>
      </c>
      <c r="V28" s="1573" t="s">
        <v>8</v>
      </c>
      <c r="W28" s="1574">
        <f t="shared" ref="W28:W40" si="11">J28</f>
        <v>100</v>
      </c>
      <c r="X28" s="1567"/>
      <c r="Y28" s="3247"/>
      <c r="Z28" s="1575">
        <f t="shared" ref="Z28:Z40" si="12">Q28</f>
        <v>111</v>
      </c>
      <c r="AA28" s="1576">
        <f t="shared" si="3"/>
        <v>1</v>
      </c>
      <c r="AB28" s="1576">
        <f t="shared" si="4"/>
        <v>1</v>
      </c>
      <c r="AC28" s="1576">
        <f t="shared" si="5"/>
        <v>1</v>
      </c>
    </row>
    <row r="29" spans="1:29" ht="15">
      <c r="A29" s="2931" t="s">
        <v>2763</v>
      </c>
      <c r="B29" s="171" t="s">
        <v>781</v>
      </c>
      <c r="C29" s="915"/>
      <c r="D29" s="598">
        <v>100</v>
      </c>
      <c r="E29" s="915"/>
      <c r="F29" s="576">
        <f>SUMIF(88:88,E29,89:89)-SUMIF(88:88,C29,89:89)+100</f>
        <v>100</v>
      </c>
      <c r="G29" s="915"/>
      <c r="H29" s="541">
        <f>SUMIF(88:88,G29,89:89)-SUMIF(88:88,C29,89:89)+100</f>
        <v>100</v>
      </c>
      <c r="I29" s="915"/>
      <c r="J29" s="598">
        <f>SUMIF(88:88,I29,89:89)-SUMIF(88:88,C29,89:89)+100</f>
        <v>100</v>
      </c>
      <c r="K29" s="585"/>
      <c r="L29" s="2143"/>
      <c r="M29" s="2135"/>
      <c r="N29" s="2135"/>
      <c r="O29" s="2142"/>
      <c r="P29" s="3248" t="s">
        <v>551</v>
      </c>
      <c r="Q29" s="1572" t="str">
        <f t="shared" si="8"/>
        <v>建筑类型</v>
      </c>
      <c r="R29" s="1573" t="s">
        <v>8</v>
      </c>
      <c r="S29" s="1574">
        <f t="shared" si="9"/>
        <v>100</v>
      </c>
      <c r="T29" s="1573" t="s">
        <v>8</v>
      </c>
      <c r="U29" s="1574">
        <f t="shared" si="10"/>
        <v>100</v>
      </c>
      <c r="V29" s="1573" t="s">
        <v>8</v>
      </c>
      <c r="W29" s="1574">
        <f t="shared" si="11"/>
        <v>100</v>
      </c>
      <c r="X29" s="1567"/>
      <c r="Y29" s="3249" t="s">
        <v>551</v>
      </c>
      <c r="Z29" s="1575" t="str">
        <f t="shared" si="12"/>
        <v>建筑类型</v>
      </c>
      <c r="AA29" s="1576">
        <f t="shared" si="3"/>
        <v>1</v>
      </c>
      <c r="AB29" s="1576">
        <f t="shared" si="4"/>
        <v>1</v>
      </c>
      <c r="AC29" s="1576">
        <f t="shared" si="5"/>
        <v>1</v>
      </c>
    </row>
    <row r="30" spans="1:29" s="1338" customFormat="1" ht="15">
      <c r="A30" s="604"/>
      <c r="B30" s="529" t="s">
        <v>727</v>
      </c>
      <c r="C30" s="879"/>
      <c r="D30" s="254">
        <v>100</v>
      </c>
      <c r="E30" s="535"/>
      <c r="F30" s="864" t="e">
        <f>LOOKUP(E30,91:91,92:92)-LOOKUP(C30,91:91,92:92)+100</f>
        <v>#N/A</v>
      </c>
      <c r="G30" s="534"/>
      <c r="H30" s="254" t="e">
        <f>LOOKUP(G30,91:91,92:92)-LOOKUP(C30,91:91,92:92)+100</f>
        <v>#N/A</v>
      </c>
      <c r="I30" s="534"/>
      <c r="J30" s="254" t="e">
        <f>LOOKUP(I30,91:91,92:92)-LOOKUP(C30,91:91,92:92)+100</f>
        <v>#N/A</v>
      </c>
      <c r="K30" s="582"/>
      <c r="L30" s="2141"/>
      <c r="M30" s="2172"/>
      <c r="N30" s="2172"/>
      <c r="O30" s="2144"/>
      <c r="P30" s="3249"/>
      <c r="Q30" s="1605" t="str">
        <f t="shared" si="8"/>
        <v>项目建筑规模</v>
      </c>
      <c r="R30" s="1577" t="s">
        <v>8</v>
      </c>
      <c r="S30" s="1578" t="e">
        <f t="shared" si="9"/>
        <v>#N/A</v>
      </c>
      <c r="T30" s="1577" t="s">
        <v>8</v>
      </c>
      <c r="U30" s="1578" t="e">
        <f t="shared" si="10"/>
        <v>#N/A</v>
      </c>
      <c r="V30" s="1577" t="s">
        <v>8</v>
      </c>
      <c r="W30" s="1578" t="e">
        <f t="shared" si="11"/>
        <v>#N/A</v>
      </c>
      <c r="X30" s="1579"/>
      <c r="Y30" s="3249"/>
      <c r="Z30" s="1580" t="str">
        <f t="shared" si="12"/>
        <v>项目建筑规模</v>
      </c>
      <c r="AA30" s="1576" t="e">
        <f t="shared" si="3"/>
        <v>#N/A</v>
      </c>
      <c r="AB30" s="1576" t="e">
        <f t="shared" si="4"/>
        <v>#N/A</v>
      </c>
      <c r="AC30" s="1576" t="e">
        <f t="shared" si="5"/>
        <v>#N/A</v>
      </c>
    </row>
    <row r="31" spans="1:29" ht="15">
      <c r="A31" s="595"/>
      <c r="B31" s="529" t="s">
        <v>728</v>
      </c>
      <c r="C31" s="575"/>
      <c r="D31" s="541">
        <v>100</v>
      </c>
      <c r="E31" s="575"/>
      <c r="F31" s="576">
        <f>SUMIF(93:93,E31,94:94)-SUMIF(93:93,C31,94:94)+100</f>
        <v>100</v>
      </c>
      <c r="G31" s="575"/>
      <c r="H31" s="541">
        <f>SUMIF(93:93,G31,94:94)-SUMIF(93:93,C31,94:94)+100</f>
        <v>100</v>
      </c>
      <c r="I31" s="575"/>
      <c r="J31" s="541">
        <f>SUMIF(93:93,I31,94:94)-SUMIF(93:93,C31,94:94)+100</f>
        <v>100</v>
      </c>
      <c r="K31" s="585"/>
      <c r="L31" s="2143"/>
      <c r="M31" s="2135"/>
      <c r="N31" s="2135"/>
      <c r="O31" s="2142"/>
      <c r="P31" s="3249"/>
      <c r="Q31" s="1572" t="str">
        <f t="shared" si="8"/>
        <v>建筑结构</v>
      </c>
      <c r="R31" s="1573" t="s">
        <v>8</v>
      </c>
      <c r="S31" s="1574">
        <f t="shared" si="9"/>
        <v>100</v>
      </c>
      <c r="T31" s="1573" t="s">
        <v>8</v>
      </c>
      <c r="U31" s="1574">
        <f t="shared" si="10"/>
        <v>100</v>
      </c>
      <c r="V31" s="1573" t="s">
        <v>8</v>
      </c>
      <c r="W31" s="1574">
        <f t="shared" si="11"/>
        <v>100</v>
      </c>
      <c r="X31" s="1567"/>
      <c r="Y31" s="3249"/>
      <c r="Z31" s="1575" t="str">
        <f t="shared" si="12"/>
        <v>建筑结构</v>
      </c>
      <c r="AA31" s="1576">
        <f t="shared" si="3"/>
        <v>1</v>
      </c>
      <c r="AB31" s="1576">
        <f t="shared" si="4"/>
        <v>1</v>
      </c>
      <c r="AC31" s="1576">
        <f t="shared" si="5"/>
        <v>1</v>
      </c>
    </row>
    <row r="32" spans="1:29" ht="15">
      <c r="A32" s="595"/>
      <c r="B32" s="529" t="s">
        <v>764</v>
      </c>
      <c r="C32" s="575"/>
      <c r="D32" s="541">
        <v>100</v>
      </c>
      <c r="E32" s="575"/>
      <c r="F32" s="576">
        <f>SUMIF(95:95,E32,96:96)-SUMIF(95:95,C32,96:96)+100</f>
        <v>100</v>
      </c>
      <c r="G32" s="575"/>
      <c r="H32" s="541">
        <f>SUMIF(95:95,G32,96:96)-SUMIF(95:95,C32,96:96)+100</f>
        <v>100</v>
      </c>
      <c r="I32" s="575"/>
      <c r="J32" s="541">
        <f>SUMIF(95:95,I32,96:96)-SUMIF(95:95,C32,96:96)+100</f>
        <v>100</v>
      </c>
      <c r="K32" s="585"/>
      <c r="L32" s="2143"/>
      <c r="M32" s="2135"/>
      <c r="N32" s="2135"/>
      <c r="O32" s="2142"/>
      <c r="P32" s="3249"/>
      <c r="Q32" s="1572" t="str">
        <f t="shared" si="8"/>
        <v>公共部分装修</v>
      </c>
      <c r="R32" s="1573" t="s">
        <v>8</v>
      </c>
      <c r="S32" s="1574">
        <f t="shared" si="9"/>
        <v>100</v>
      </c>
      <c r="T32" s="1573" t="s">
        <v>8</v>
      </c>
      <c r="U32" s="1574">
        <f t="shared" si="10"/>
        <v>100</v>
      </c>
      <c r="V32" s="1573" t="s">
        <v>8</v>
      </c>
      <c r="W32" s="1574">
        <f t="shared" si="11"/>
        <v>100</v>
      </c>
      <c r="X32" s="1567"/>
      <c r="Y32" s="3249"/>
      <c r="Z32" s="1575" t="str">
        <f t="shared" si="12"/>
        <v>公共部分装修</v>
      </c>
      <c r="AA32" s="1576">
        <f t="shared" si="3"/>
        <v>1</v>
      </c>
      <c r="AB32" s="1576">
        <f t="shared" si="4"/>
        <v>1</v>
      </c>
      <c r="AC32" s="1576">
        <f t="shared" si="5"/>
        <v>1</v>
      </c>
    </row>
    <row r="33" spans="1:29" ht="15">
      <c r="A33" s="595"/>
      <c r="B33" s="529" t="s">
        <v>765</v>
      </c>
      <c r="C33" s="879"/>
      <c r="D33" s="541">
        <v>100</v>
      </c>
      <c r="E33" s="882"/>
      <c r="F33" s="576" t="e">
        <f>LOOKUP(E33,98:98,99:99)-LOOKUP(C33,98:98,99:99)+100</f>
        <v>#N/A</v>
      </c>
      <c r="G33" s="882"/>
      <c r="H33" s="576" t="e">
        <f>LOOKUP(G33,98:98,99:99)-LOOKUP(C33,98:98,99:99)+100</f>
        <v>#N/A</v>
      </c>
      <c r="I33" s="882"/>
      <c r="J33" s="541" t="e">
        <f>LOOKUP(I33,98:98,99:99)-LOOKUP(C33,98:98,99:99)+100</f>
        <v>#N/A</v>
      </c>
      <c r="K33" s="585"/>
      <c r="L33" s="2143"/>
      <c r="M33" s="2135"/>
      <c r="N33" s="2135"/>
      <c r="O33" s="2142"/>
      <c r="P33" s="3249"/>
      <c r="Q33" s="1572" t="str">
        <f t="shared" si="8"/>
        <v>成新度</v>
      </c>
      <c r="R33" s="1573" t="s">
        <v>8</v>
      </c>
      <c r="S33" s="1574" t="e">
        <f t="shared" si="9"/>
        <v>#N/A</v>
      </c>
      <c r="T33" s="1573" t="s">
        <v>8</v>
      </c>
      <c r="U33" s="1574" t="e">
        <f t="shared" si="10"/>
        <v>#N/A</v>
      </c>
      <c r="V33" s="1573" t="s">
        <v>8</v>
      </c>
      <c r="W33" s="1574" t="e">
        <f t="shared" si="11"/>
        <v>#N/A</v>
      </c>
      <c r="X33" s="1567"/>
      <c r="Y33" s="3249"/>
      <c r="Z33" s="1575" t="str">
        <f t="shared" si="12"/>
        <v>成新度</v>
      </c>
      <c r="AA33" s="1576" t="e">
        <f t="shared" si="3"/>
        <v>#N/A</v>
      </c>
      <c r="AB33" s="1576" t="e">
        <f t="shared" si="4"/>
        <v>#N/A</v>
      </c>
      <c r="AC33" s="1576" t="e">
        <f t="shared" si="5"/>
        <v>#N/A</v>
      </c>
    </row>
    <row r="34" spans="1:29" s="1219" customFormat="1" ht="15">
      <c r="A34" s="601"/>
      <c r="B34" s="529" t="s">
        <v>783</v>
      </c>
      <c r="C34" s="575"/>
      <c r="D34" s="254">
        <v>100</v>
      </c>
      <c r="E34" s="575"/>
      <c r="F34" s="576">
        <f>SUMIF(100:100,E34,101:101)-SUMIF(100:100,C34,101:101)+100</f>
        <v>100</v>
      </c>
      <c r="G34" s="575"/>
      <c r="H34" s="541">
        <f>SUMIF(100:100,G34,101:101)-SUMIF(100:100,C34,101:101)+100</f>
        <v>100</v>
      </c>
      <c r="I34" s="575"/>
      <c r="J34" s="541">
        <f>SUMIF(100:100,I34,101:101)-SUMIF(100:100,C34,101:101)+100</f>
        <v>100</v>
      </c>
      <c r="K34" s="585"/>
      <c r="L34" s="2136"/>
      <c r="M34" s="2137"/>
      <c r="N34" s="2137"/>
      <c r="O34" s="2138"/>
      <c r="P34" s="3249"/>
      <c r="Q34" s="1150" t="str">
        <f t="shared" si="8"/>
        <v>物业管理</v>
      </c>
      <c r="R34" s="1568" t="s">
        <v>8</v>
      </c>
      <c r="S34" s="1569">
        <f t="shared" si="9"/>
        <v>100</v>
      </c>
      <c r="T34" s="1568" t="s">
        <v>8</v>
      </c>
      <c r="U34" s="1569">
        <f t="shared" si="10"/>
        <v>100</v>
      </c>
      <c r="V34" s="1568" t="s">
        <v>8</v>
      </c>
      <c r="W34" s="1569">
        <f t="shared" si="11"/>
        <v>100</v>
      </c>
      <c r="X34" s="1570"/>
      <c r="Y34" s="3249"/>
      <c r="Z34" s="1149" t="str">
        <f t="shared" si="12"/>
        <v>物业管理</v>
      </c>
      <c r="AA34" s="1571">
        <f t="shared" si="3"/>
        <v>1</v>
      </c>
      <c r="AB34" s="1571">
        <f t="shared" si="4"/>
        <v>1</v>
      </c>
      <c r="AC34" s="1571">
        <f t="shared" si="5"/>
        <v>1</v>
      </c>
    </row>
    <row r="35" spans="1:29" ht="15">
      <c r="A35" s="595"/>
      <c r="B35" s="1896" t="s">
        <v>2571</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3"/>
      <c r="M35" s="2135"/>
      <c r="N35" s="2135"/>
      <c r="O35" s="2142"/>
      <c r="P35" s="3249" t="s">
        <v>551</v>
      </c>
      <c r="Q35" s="1572" t="str">
        <f t="shared" si="8"/>
        <v>市政基础设施</v>
      </c>
      <c r="R35" s="1573" t="s">
        <v>8</v>
      </c>
      <c r="S35" s="1574">
        <f t="shared" si="9"/>
        <v>100</v>
      </c>
      <c r="T35" s="1573" t="s">
        <v>8</v>
      </c>
      <c r="U35" s="1574">
        <f t="shared" si="10"/>
        <v>100</v>
      </c>
      <c r="V35" s="1573" t="s">
        <v>8</v>
      </c>
      <c r="W35" s="1574">
        <f t="shared" si="11"/>
        <v>100</v>
      </c>
      <c r="X35" s="1567"/>
      <c r="Y35" s="3249" t="s">
        <v>551</v>
      </c>
      <c r="Z35" s="1575" t="str">
        <f t="shared" si="12"/>
        <v>市政基础设施</v>
      </c>
      <c r="AA35" s="1576">
        <f t="shared" si="3"/>
        <v>1</v>
      </c>
      <c r="AB35" s="1576">
        <f t="shared" si="4"/>
        <v>1</v>
      </c>
      <c r="AC35" s="1576">
        <f t="shared" si="5"/>
        <v>1</v>
      </c>
    </row>
    <row r="36" spans="1:29" ht="15">
      <c r="A36" s="595"/>
      <c r="B36" s="529"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3"/>
      <c r="M36" s="2135"/>
      <c r="N36" s="2135"/>
      <c r="O36" s="2142"/>
      <c r="P36" s="3249"/>
      <c r="Q36" s="1572" t="str">
        <f t="shared" si="8"/>
        <v>内部装修</v>
      </c>
      <c r="R36" s="1573" t="s">
        <v>8</v>
      </c>
      <c r="S36" s="1574">
        <f t="shared" si="9"/>
        <v>100</v>
      </c>
      <c r="T36" s="1573" t="s">
        <v>8</v>
      </c>
      <c r="U36" s="1574">
        <f t="shared" si="10"/>
        <v>100</v>
      </c>
      <c r="V36" s="1573" t="s">
        <v>8</v>
      </c>
      <c r="W36" s="1574">
        <f t="shared" si="11"/>
        <v>100</v>
      </c>
      <c r="X36" s="1567"/>
      <c r="Y36" s="3249"/>
      <c r="Z36" s="1575" t="str">
        <f t="shared" si="12"/>
        <v>内部装修</v>
      </c>
      <c r="AA36" s="1576">
        <f t="shared" si="3"/>
        <v>1</v>
      </c>
      <c r="AB36" s="1576">
        <f t="shared" si="4"/>
        <v>1</v>
      </c>
      <c r="AC36" s="1576">
        <f t="shared" si="5"/>
        <v>1</v>
      </c>
    </row>
    <row r="37" spans="1:29" ht="15">
      <c r="A37" s="595"/>
      <c r="B37" s="529"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3"/>
      <c r="M37" s="2135"/>
      <c r="N37" s="2135"/>
      <c r="O37" s="2142"/>
      <c r="P37" s="3249"/>
      <c r="Q37" s="1572" t="str">
        <f t="shared" si="8"/>
        <v>内部装修状况</v>
      </c>
      <c r="R37" s="1573" t="s">
        <v>8</v>
      </c>
      <c r="S37" s="1574">
        <f t="shared" si="9"/>
        <v>100</v>
      </c>
      <c r="T37" s="1573" t="s">
        <v>8</v>
      </c>
      <c r="U37" s="1574">
        <f t="shared" si="10"/>
        <v>100</v>
      </c>
      <c r="V37" s="1573" t="s">
        <v>8</v>
      </c>
      <c r="W37" s="1574">
        <f t="shared" si="11"/>
        <v>100</v>
      </c>
      <c r="X37" s="1567"/>
      <c r="Y37" s="3249"/>
      <c r="Z37" s="1575" t="str">
        <f t="shared" si="12"/>
        <v>内部装修状况</v>
      </c>
      <c r="AA37" s="1576">
        <f t="shared" si="3"/>
        <v>1</v>
      </c>
      <c r="AB37" s="1576">
        <f t="shared" si="4"/>
        <v>1</v>
      </c>
      <c r="AC37" s="1576">
        <f t="shared" si="5"/>
        <v>1</v>
      </c>
    </row>
    <row r="38" spans="1:29" s="1338" customFormat="1" ht="15">
      <c r="A38" s="604"/>
      <c r="B38" s="877">
        <v>111</v>
      </c>
      <c r="C38" s="879"/>
      <c r="D38" s="541">
        <v>100</v>
      </c>
      <c r="E38" s="540"/>
      <c r="F38" s="576">
        <f>SUMIF(108:108,E38,109:109)-SUMIF(108:108,C38,109:109)+100</f>
        <v>100</v>
      </c>
      <c r="G38" s="879"/>
      <c r="H38" s="541">
        <f>SUMIF(108:108,G38,109:109)-SUMIF(108:108,C38,109:109)+100</f>
        <v>100</v>
      </c>
      <c r="I38" s="879"/>
      <c r="J38" s="541">
        <f>SUMIF(108:108,I38,109:1038)-SUMIF(108:108,C38,109:109)+100</f>
        <v>100</v>
      </c>
      <c r="K38" s="582"/>
      <c r="L38" s="2141"/>
      <c r="M38" s="2172"/>
      <c r="N38" s="2172"/>
      <c r="O38" s="2144"/>
      <c r="P38" s="3249"/>
      <c r="Q38" s="1605">
        <f t="shared" si="8"/>
        <v>111</v>
      </c>
      <c r="R38" s="1577" t="s">
        <v>8</v>
      </c>
      <c r="S38" s="1578">
        <f t="shared" si="9"/>
        <v>100</v>
      </c>
      <c r="T38" s="1577" t="s">
        <v>8</v>
      </c>
      <c r="U38" s="1578">
        <f t="shared" si="10"/>
        <v>100</v>
      </c>
      <c r="V38" s="1577" t="s">
        <v>8</v>
      </c>
      <c r="W38" s="1578">
        <f t="shared" si="11"/>
        <v>100</v>
      </c>
      <c r="X38" s="1579"/>
      <c r="Y38" s="3249"/>
      <c r="Z38" s="1580">
        <f t="shared" si="12"/>
        <v>111</v>
      </c>
      <c r="AA38" s="1576">
        <f t="shared" si="3"/>
        <v>1</v>
      </c>
      <c r="AB38" s="1576">
        <f t="shared" si="4"/>
        <v>1</v>
      </c>
      <c r="AC38" s="1576">
        <f t="shared" si="5"/>
        <v>1</v>
      </c>
    </row>
    <row r="39" spans="1:29" ht="15">
      <c r="A39" s="595"/>
      <c r="B39" s="877">
        <v>111</v>
      </c>
      <c r="C39" s="879"/>
      <c r="D39" s="541">
        <v>100</v>
      </c>
      <c r="E39" s="540"/>
      <c r="F39" s="576">
        <f>SUMIF(110:110,E39,111:111)-SUMIF(110:110,C39,111:111)+100</f>
        <v>100</v>
      </c>
      <c r="G39" s="879"/>
      <c r="H39" s="541">
        <f>SUMIF(110:110,G39,111:111)-SUMIF(110:110,C39,111:111)+100</f>
        <v>100</v>
      </c>
      <c r="I39" s="879"/>
      <c r="J39" s="541">
        <f>SUMIF(110:110,I39,111:111)-SUMIF(110:110,C39,111:111)+100</f>
        <v>100</v>
      </c>
      <c r="K39" s="582"/>
      <c r="L39" s="2143"/>
      <c r="M39" s="2135"/>
      <c r="N39" s="2135"/>
      <c r="O39" s="2142"/>
      <c r="P39" s="3249"/>
      <c r="Q39" s="1572">
        <f t="shared" si="8"/>
        <v>111</v>
      </c>
      <c r="R39" s="1573" t="s">
        <v>8</v>
      </c>
      <c r="S39" s="1574">
        <f t="shared" si="9"/>
        <v>100</v>
      </c>
      <c r="T39" s="1573" t="s">
        <v>8</v>
      </c>
      <c r="U39" s="1574">
        <f t="shared" si="10"/>
        <v>100</v>
      </c>
      <c r="V39" s="1573" t="s">
        <v>8</v>
      </c>
      <c r="W39" s="1574">
        <f t="shared" si="11"/>
        <v>100</v>
      </c>
      <c r="X39" s="1567"/>
      <c r="Y39" s="3249"/>
      <c r="Z39" s="1575">
        <f t="shared" si="12"/>
        <v>111</v>
      </c>
      <c r="AA39" s="1576">
        <f t="shared" si="3"/>
        <v>1</v>
      </c>
      <c r="AB39" s="1576">
        <f t="shared" si="4"/>
        <v>1</v>
      </c>
      <c r="AC39" s="1576">
        <f t="shared" si="5"/>
        <v>1</v>
      </c>
    </row>
    <row r="40" spans="1:29" ht="15.75" thickBot="1">
      <c r="A40" s="885"/>
      <c r="B40" s="545">
        <v>111</v>
      </c>
      <c r="C40" s="546"/>
      <c r="D40" s="547">
        <v>100</v>
      </c>
      <c r="E40" s="540"/>
      <c r="F40" s="867">
        <f>SUMIF(112:112,E40,113:113)-SUMIF(112:112,C40,113:113)+100</f>
        <v>100</v>
      </c>
      <c r="G40" s="879"/>
      <c r="H40" s="547">
        <f>SUMIF(112:112,G40,113:113)-SUMIF(112:112,C40,113:113)+100</f>
        <v>100</v>
      </c>
      <c r="I40" s="879"/>
      <c r="J40" s="547">
        <f>SUMIF(112:112,I40,113:113)-SUMIF(112:112,C40,113:113)+100</f>
        <v>100</v>
      </c>
      <c r="K40" s="582"/>
      <c r="L40" s="2143"/>
      <c r="M40" s="2135"/>
      <c r="N40" s="2135"/>
      <c r="O40" s="2142"/>
      <c r="P40" s="3250"/>
      <c r="Q40" s="1572">
        <f t="shared" si="8"/>
        <v>111</v>
      </c>
      <c r="R40" s="1573" t="s">
        <v>8</v>
      </c>
      <c r="S40" s="1574">
        <f t="shared" si="9"/>
        <v>100</v>
      </c>
      <c r="T40" s="1573" t="s">
        <v>8</v>
      </c>
      <c r="U40" s="1574">
        <f t="shared" si="10"/>
        <v>100</v>
      </c>
      <c r="V40" s="1573" t="s">
        <v>8</v>
      </c>
      <c r="W40" s="1574">
        <f t="shared" si="11"/>
        <v>100</v>
      </c>
      <c r="X40" s="1567"/>
      <c r="Y40" s="3250"/>
      <c r="Z40" s="1575">
        <f t="shared" si="12"/>
        <v>111</v>
      </c>
      <c r="AA40" s="1576">
        <f t="shared" si="3"/>
        <v>1</v>
      </c>
      <c r="AB40" s="1576">
        <f t="shared" si="4"/>
        <v>1</v>
      </c>
      <c r="AC40" s="1576">
        <f t="shared" si="5"/>
        <v>1</v>
      </c>
    </row>
    <row r="41" spans="1:29" ht="15">
      <c r="A41" s="608" t="s">
        <v>737</v>
      </c>
      <c r="B41" s="886"/>
      <c r="C41" s="2649" t="s">
        <v>1</v>
      </c>
      <c r="D41" s="2650"/>
      <c r="E41" s="2651"/>
      <c r="F41" s="2652"/>
      <c r="G41" s="2653"/>
      <c r="H41" s="2654"/>
      <c r="I41" s="2651"/>
      <c r="J41" s="2654"/>
      <c r="K41" s="1611"/>
      <c r="L41" s="2145"/>
      <c r="M41" s="2146"/>
      <c r="N41" s="2135"/>
      <c r="O41" s="2146"/>
      <c r="P41" s="3241" t="str">
        <f>A41</f>
        <v>成交单价（元/平方米）</v>
      </c>
      <c r="Q41" s="3241"/>
      <c r="R41" s="3242">
        <f>E41</f>
        <v>0</v>
      </c>
      <c r="S41" s="3242"/>
      <c r="T41" s="3242">
        <f>G41</f>
        <v>0</v>
      </c>
      <c r="U41" s="3242"/>
      <c r="V41" s="3242">
        <f>I41</f>
        <v>0</v>
      </c>
      <c r="W41" s="3242"/>
      <c r="X41" s="1559"/>
      <c r="Y41" s="1581"/>
      <c r="Z41" s="1559"/>
      <c r="AA41" s="1559"/>
      <c r="AB41" s="1559"/>
      <c r="AC41" s="1559"/>
    </row>
    <row r="42" spans="1:29" ht="15.75" thickBot="1">
      <c r="A42" s="616" t="s">
        <v>2768</v>
      </c>
      <c r="B42" s="887"/>
      <c r="C42" s="2655" t="e">
        <f>R43</f>
        <v>#DIV/0!</v>
      </c>
      <c r="D42" s="2656"/>
      <c r="E42" s="2657" t="e">
        <f>R42</f>
        <v>#DIV/0!</v>
      </c>
      <c r="F42" s="2657"/>
      <c r="G42" s="2655" t="e">
        <f>T42</f>
        <v>#DIV/0!</v>
      </c>
      <c r="H42" s="2656"/>
      <c r="I42" s="2657" t="e">
        <f>V42</f>
        <v>#DIV/0!</v>
      </c>
      <c r="J42" s="2656"/>
      <c r="K42" s="1612"/>
      <c r="L42" s="2145"/>
      <c r="M42" s="2146"/>
      <c r="N42" s="2135"/>
      <c r="O42" s="2146"/>
      <c r="P42" s="3241" t="str">
        <f>A42</f>
        <v>比较价格（元/平方米）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1559"/>
      <c r="Y42" s="1559"/>
      <c r="Z42" s="1559"/>
      <c r="AA42" s="1559"/>
      <c r="AB42" s="1559"/>
      <c r="AC42" s="1559"/>
    </row>
    <row r="43" spans="1:29" ht="15.75" thickBot="1">
      <c r="A43" s="622" t="s">
        <v>2943</v>
      </c>
      <c r="B43" s="623"/>
      <c r="C43" s="2658" t="e">
        <f>R43</f>
        <v>#DIV/0!</v>
      </c>
      <c r="D43" s="2658"/>
      <c r="E43" s="2658"/>
      <c r="F43" s="2658"/>
      <c r="G43" s="2658"/>
      <c r="H43" s="2658"/>
      <c r="I43" s="2658"/>
      <c r="J43" s="2658"/>
      <c r="K43" s="1613"/>
      <c r="L43" s="2145"/>
      <c r="M43" s="2146"/>
      <c r="N43" s="2146"/>
      <c r="O43" s="2146"/>
      <c r="P43" s="3243" t="str">
        <f>A43</f>
        <v>估价对象XX用房的比较价格（楼面单价，元/平方米）</v>
      </c>
      <c r="Q43" s="3244"/>
      <c r="R43" s="3245" t="e">
        <f>IF(F1="售价",ROUND(AVERAGE(R42:V42),0),ROUND(AVERAGE(R42:V42),1))</f>
        <v>#DIV/0!</v>
      </c>
      <c r="S43" s="3245"/>
      <c r="T43" s="3245"/>
      <c r="U43" s="3245"/>
      <c r="V43" s="3245"/>
      <c r="W43" s="324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6" t="s">
        <v>530</v>
      </c>
      <c r="B52" s="647"/>
      <c r="C52" s="2826" t="str">
        <f>YEAR(C7)&amp;"-"&amp;MONTH(C7)</f>
        <v>2018-3</v>
      </c>
      <c r="D52" s="2828">
        <f>EDATE(C52,-1)</f>
        <v>43132</v>
      </c>
      <c r="E52" s="2828">
        <f t="shared" ref="E52:O52" si="13">EDATE(D52,-1)</f>
        <v>43101</v>
      </c>
      <c r="F52" s="2828">
        <f t="shared" si="13"/>
        <v>43070</v>
      </c>
      <c r="G52" s="2828">
        <f t="shared" si="13"/>
        <v>43040</v>
      </c>
      <c r="H52" s="2828">
        <f t="shared" si="13"/>
        <v>43009</v>
      </c>
      <c r="I52" s="2828">
        <f t="shared" si="13"/>
        <v>42979</v>
      </c>
      <c r="J52" s="2828">
        <f t="shared" si="13"/>
        <v>42948</v>
      </c>
      <c r="K52" s="2828">
        <f t="shared" si="13"/>
        <v>42917</v>
      </c>
      <c r="L52" s="2828">
        <f t="shared" si="13"/>
        <v>42887</v>
      </c>
      <c r="M52" s="2828">
        <f t="shared" si="13"/>
        <v>42856</v>
      </c>
      <c r="N52" s="2828">
        <f t="shared" si="13"/>
        <v>42826</v>
      </c>
      <c r="O52" s="2828">
        <f t="shared" si="13"/>
        <v>42795</v>
      </c>
      <c r="P52" s="2161"/>
      <c r="Q52" s="2162"/>
      <c r="R52" s="2162"/>
      <c r="S52" s="2162"/>
      <c r="T52" s="2162"/>
      <c r="U52" s="2162"/>
      <c r="V52" s="2162"/>
      <c r="W52" s="2162"/>
      <c r="X52" s="2162"/>
      <c r="Y52" s="2162"/>
      <c r="Z52" s="2162"/>
      <c r="AA52" s="2162"/>
      <c r="AB52" s="2162"/>
      <c r="AC52" s="2162"/>
    </row>
    <row r="53" spans="1:29" s="1219" customFormat="1" ht="15">
      <c r="A53" s="648"/>
      <c r="B53" s="649"/>
      <c r="C53" s="650">
        <v>100</v>
      </c>
      <c r="D53" s="651"/>
      <c r="E53" s="651"/>
      <c r="F53" s="651"/>
      <c r="G53" s="651"/>
      <c r="H53" s="651"/>
      <c r="I53" s="651"/>
      <c r="J53" s="651"/>
      <c r="K53" s="651"/>
      <c r="L53" s="651"/>
      <c r="M53" s="652"/>
      <c r="N53" s="651"/>
      <c r="O53" s="653"/>
      <c r="P53" s="2159"/>
      <c r="Q53" s="1994"/>
      <c r="R53" s="1994"/>
      <c r="S53" s="1994"/>
      <c r="T53" s="1994"/>
      <c r="U53" s="1994"/>
      <c r="V53" s="1994"/>
      <c r="W53" s="1994"/>
      <c r="X53" s="1994"/>
      <c r="Y53" s="1994"/>
      <c r="Z53" s="1994"/>
      <c r="AA53" s="1994"/>
      <c r="AB53" s="1994"/>
      <c r="AC53" s="1994"/>
    </row>
    <row r="54" spans="1:29" s="1219" customFormat="1" ht="15.75" thickBot="1">
      <c r="A54" s="654" t="s">
        <v>576</v>
      </c>
      <c r="B54" s="655"/>
      <c r="C54" s="656"/>
      <c r="D54" s="657"/>
      <c r="E54" s="657"/>
      <c r="F54" s="657"/>
      <c r="G54" s="657"/>
      <c r="H54" s="657"/>
      <c r="I54" s="657"/>
      <c r="J54" s="657"/>
      <c r="K54" s="657"/>
      <c r="L54" s="657"/>
      <c r="M54" s="658"/>
      <c r="N54" s="657"/>
      <c r="O54" s="659"/>
      <c r="P54" s="2159"/>
      <c r="Q54" s="2159"/>
      <c r="R54" s="1994"/>
      <c r="S54" s="1994"/>
      <c r="T54" s="1994"/>
      <c r="U54" s="1994"/>
      <c r="V54" s="1994"/>
      <c r="W54" s="1994"/>
      <c r="X54" s="1994"/>
      <c r="Y54" s="1994"/>
      <c r="Z54" s="1994"/>
      <c r="AA54" s="1994"/>
      <c r="AB54" s="1994"/>
      <c r="AC54" s="1994"/>
    </row>
    <row r="55" spans="1:29" s="1219" customFormat="1" ht="15">
      <c r="A55" s="660" t="s">
        <v>532</v>
      </c>
      <c r="B55" s="649"/>
      <c r="C55" s="661" t="s">
        <v>577</v>
      </c>
      <c r="D55" s="662"/>
      <c r="E55" s="662"/>
      <c r="F55" s="662"/>
      <c r="G55" s="662"/>
      <c r="H55" s="662"/>
      <c r="I55" s="662"/>
      <c r="J55" s="662"/>
      <c r="K55" s="662"/>
      <c r="L55" s="663"/>
      <c r="M55" s="664"/>
      <c r="N55" s="2163"/>
      <c r="O55" s="2163"/>
      <c r="P55" s="2164"/>
      <c r="Q55" s="2159"/>
      <c r="R55" s="1994"/>
      <c r="S55" s="1994"/>
      <c r="T55" s="1994"/>
      <c r="U55" s="1994"/>
      <c r="V55" s="1994"/>
      <c r="W55" s="1994"/>
      <c r="X55" s="1994"/>
      <c r="Y55" s="1994"/>
      <c r="Z55" s="1994"/>
      <c r="AA55" s="1994"/>
      <c r="AB55" s="1994"/>
      <c r="AC55" s="1994"/>
    </row>
    <row r="56" spans="1:29" s="1219" customFormat="1" ht="15.75" thickBot="1">
      <c r="A56" s="660"/>
      <c r="B56" s="649"/>
      <c r="C56" s="650">
        <v>100</v>
      </c>
      <c r="D56" s="651"/>
      <c r="E56" s="651"/>
      <c r="F56" s="651"/>
      <c r="G56" s="651"/>
      <c r="H56" s="651"/>
      <c r="I56" s="651"/>
      <c r="J56" s="651"/>
      <c r="K56" s="651"/>
      <c r="L56" s="651"/>
      <c r="M56" s="653"/>
      <c r="N56" s="2163"/>
      <c r="O56" s="2163"/>
      <c r="P56" s="2159"/>
      <c r="Q56" s="2159"/>
      <c r="R56" s="1994"/>
      <c r="S56" s="1994"/>
      <c r="T56" s="1994"/>
      <c r="U56" s="1994"/>
      <c r="V56" s="1994"/>
      <c r="W56" s="1994"/>
      <c r="X56" s="1994"/>
      <c r="Y56" s="1994"/>
      <c r="Z56" s="1994"/>
      <c r="AA56" s="1994"/>
      <c r="AB56" s="1994"/>
      <c r="AC56" s="1994"/>
    </row>
    <row r="57" spans="1:29">
      <c r="A57" s="665" t="s">
        <v>578</v>
      </c>
      <c r="B57" s="666" t="s">
        <v>535</v>
      </c>
      <c r="C57" s="705">
        <f>C9</f>
        <v>0</v>
      </c>
      <c r="D57" s="599"/>
      <c r="E57" s="599"/>
      <c r="F57" s="599"/>
      <c r="G57" s="599"/>
      <c r="H57" s="599"/>
      <c r="I57" s="599"/>
      <c r="J57" s="599"/>
      <c r="K57" s="667"/>
      <c r="L57" s="668"/>
      <c r="M57" s="669"/>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72"/>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5"/>
      <c r="O59" s="2165"/>
      <c r="P59" s="2166"/>
      <c r="Q59" s="2159"/>
      <c r="R59" s="2146"/>
      <c r="S59" s="2146"/>
      <c r="T59" s="2146"/>
      <c r="U59" s="2146"/>
      <c r="V59" s="2146"/>
      <c r="W59" s="2146"/>
      <c r="X59" s="2146"/>
      <c r="Y59" s="2146"/>
      <c r="Z59" s="2146"/>
      <c r="AA59" s="2146"/>
      <c r="AB59" s="2146"/>
      <c r="AC59" s="2146"/>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7"/>
      <c r="O60" s="2167"/>
      <c r="P60" s="2166"/>
      <c r="Q60" s="2159"/>
      <c r="R60" s="2146"/>
      <c r="S60" s="2146"/>
      <c r="T60" s="2146"/>
      <c r="U60" s="2146"/>
      <c r="V60" s="2146"/>
      <c r="W60" s="2146"/>
      <c r="X60" s="2146"/>
      <c r="Y60" s="2146"/>
      <c r="Z60" s="2146"/>
      <c r="AA60" s="2146"/>
      <c r="AB60" s="2146"/>
      <c r="AC60" s="2146"/>
    </row>
    <row r="61" spans="1:29" ht="15.75" thickTop="1">
      <c r="A61" s="670"/>
      <c r="B61" s="682" t="s">
        <v>539</v>
      </c>
      <c r="C61" s="683" t="str">
        <f>C62&amp;"（含）"&amp;"-"&amp;D62</f>
        <v>（含）-</v>
      </c>
      <c r="D61" s="683" t="str">
        <f t="shared" ref="D61:L61" si="14">D62&amp;"（含）"&amp;"-"&amp;E62</f>
        <v>（含）-</v>
      </c>
      <c r="E61" s="683" t="str">
        <f t="shared" si="14"/>
        <v>（含）-</v>
      </c>
      <c r="F61" s="683" t="str">
        <f t="shared" si="14"/>
        <v>（含）-</v>
      </c>
      <c r="G61" s="683" t="str">
        <f t="shared" si="14"/>
        <v>（含）-</v>
      </c>
      <c r="H61" s="683" t="str">
        <f t="shared" si="14"/>
        <v>（含）-</v>
      </c>
      <c r="I61" s="683" t="str">
        <f t="shared" si="14"/>
        <v>（含）-</v>
      </c>
      <c r="J61" s="683" t="str">
        <f t="shared" si="14"/>
        <v>（含）-</v>
      </c>
      <c r="K61" s="683" t="str">
        <f t="shared" si="14"/>
        <v>（含）-</v>
      </c>
      <c r="L61" s="683" t="str">
        <f t="shared" si="14"/>
        <v>（含）-</v>
      </c>
      <c r="M61" s="556"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0"/>
      <c r="B62" s="684"/>
      <c r="C62" s="542"/>
      <c r="D62" s="542"/>
      <c r="E62" s="542"/>
      <c r="F62" s="542"/>
      <c r="G62" s="542"/>
      <c r="H62" s="542"/>
      <c r="I62" s="542"/>
      <c r="J62" s="542"/>
      <c r="K62" s="685"/>
      <c r="L62" s="686"/>
      <c r="M62" s="687"/>
      <c r="N62" s="2165"/>
      <c r="O62" s="2165"/>
      <c r="P62" s="2166"/>
      <c r="Q62" s="2159"/>
      <c r="R62" s="2146"/>
      <c r="S62" s="2146"/>
      <c r="T62" s="2146"/>
      <c r="U62" s="2146"/>
      <c r="V62" s="2146"/>
      <c r="W62" s="2146"/>
      <c r="X62" s="2146"/>
      <c r="Y62" s="2146"/>
      <c r="Z62" s="2146"/>
      <c r="AA62" s="2146"/>
      <c r="AB62" s="2146"/>
      <c r="AC62" s="2146"/>
    </row>
    <row r="63" spans="1:29" ht="15.75" thickBot="1">
      <c r="A63" s="670"/>
      <c r="B63" s="671"/>
      <c r="C63" s="680">
        <v>100</v>
      </c>
      <c r="D63" s="680">
        <f t="shared" ref="D63:M63" si="15">C63-$K11</f>
        <v>100</v>
      </c>
      <c r="E63" s="680">
        <f t="shared" si="15"/>
        <v>100</v>
      </c>
      <c r="F63" s="680">
        <f t="shared" si="15"/>
        <v>100</v>
      </c>
      <c r="G63" s="680">
        <f t="shared" si="15"/>
        <v>100</v>
      </c>
      <c r="H63" s="680">
        <f t="shared" si="15"/>
        <v>100</v>
      </c>
      <c r="I63" s="680">
        <f t="shared" si="15"/>
        <v>100</v>
      </c>
      <c r="J63" s="680">
        <f t="shared" si="15"/>
        <v>100</v>
      </c>
      <c r="K63" s="680">
        <f t="shared" si="15"/>
        <v>100</v>
      </c>
      <c r="L63" s="680">
        <f t="shared" si="15"/>
        <v>100</v>
      </c>
      <c r="M63" s="681">
        <f t="shared" si="15"/>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8"/>
      <c r="B64" s="674">
        <f>B12</f>
        <v>111</v>
      </c>
      <c r="C64" s="689"/>
      <c r="D64" s="689"/>
      <c r="E64" s="689"/>
      <c r="F64" s="689"/>
      <c r="G64" s="689"/>
      <c r="H64" s="690"/>
      <c r="I64" s="690"/>
      <c r="J64" s="690"/>
      <c r="K64" s="690"/>
      <c r="L64" s="691"/>
      <c r="M64" s="692"/>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8"/>
      <c r="B65" s="679"/>
      <c r="C65" s="693"/>
      <c r="D65" s="672"/>
      <c r="E65" s="672"/>
      <c r="F65" s="672"/>
      <c r="G65" s="672"/>
      <c r="H65" s="672"/>
      <c r="I65" s="672"/>
      <c r="J65" s="672"/>
      <c r="K65" s="672"/>
      <c r="L65" s="672"/>
      <c r="M65" s="673"/>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8"/>
      <c r="B66" s="674">
        <f>B13</f>
        <v>111</v>
      </c>
      <c r="C66" s="689"/>
      <c r="D66" s="689"/>
      <c r="E66" s="689"/>
      <c r="F66" s="689"/>
      <c r="G66" s="689"/>
      <c r="H66" s="690"/>
      <c r="I66" s="690"/>
      <c r="J66" s="690"/>
      <c r="K66" s="690"/>
      <c r="L66" s="691"/>
      <c r="M66" s="692"/>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8"/>
      <c r="B67" s="679"/>
      <c r="C67" s="693"/>
      <c r="D67" s="672"/>
      <c r="E67" s="672"/>
      <c r="F67" s="672"/>
      <c r="G67" s="693"/>
      <c r="H67" s="694"/>
      <c r="I67" s="694"/>
      <c r="J67" s="694"/>
      <c r="K67" s="694"/>
      <c r="L67" s="694"/>
      <c r="M67" s="695"/>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8"/>
      <c r="B68" s="682">
        <f>B14</f>
        <v>111</v>
      </c>
      <c r="C68" s="662"/>
      <c r="D68" s="662"/>
      <c r="E68" s="662"/>
      <c r="F68" s="662"/>
      <c r="G68" s="662"/>
      <c r="H68" s="696"/>
      <c r="I68" s="696"/>
      <c r="J68" s="696"/>
      <c r="K68" s="696"/>
      <c r="L68" s="697"/>
      <c r="M68" s="698"/>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9"/>
      <c r="B69" s="700"/>
      <c r="C69" s="701"/>
      <c r="D69" s="701"/>
      <c r="E69" s="701"/>
      <c r="F69" s="701"/>
      <c r="G69" s="701"/>
      <c r="H69" s="702"/>
      <c r="I69" s="702"/>
      <c r="J69" s="702"/>
      <c r="K69" s="702"/>
      <c r="L69" s="702"/>
      <c r="M69" s="703"/>
      <c r="N69" s="2168"/>
      <c r="O69" s="2168"/>
      <c r="P69" s="2169"/>
      <c r="Q69" s="2170"/>
      <c r="R69" s="2171"/>
      <c r="S69" s="2171"/>
      <c r="T69" s="2171"/>
      <c r="U69" s="2171"/>
      <c r="V69" s="2171"/>
      <c r="W69" s="2171"/>
      <c r="X69" s="2171"/>
      <c r="Y69" s="2171"/>
      <c r="Z69" s="2171"/>
      <c r="AA69" s="2171"/>
      <c r="AB69" s="2171"/>
      <c r="AC69" s="2171"/>
    </row>
    <row r="70" spans="1:29">
      <c r="A70" s="665" t="s">
        <v>540</v>
      </c>
      <c r="B70" s="666" t="s">
        <v>586</v>
      </c>
      <c r="C70" s="704" t="s">
        <v>580</v>
      </c>
      <c r="D70" s="704" t="s">
        <v>581</v>
      </c>
      <c r="E70" s="704" t="s">
        <v>582</v>
      </c>
      <c r="F70" s="704" t="s">
        <v>583</v>
      </c>
      <c r="G70" s="704" t="s">
        <v>584</v>
      </c>
      <c r="H70" s="705"/>
      <c r="I70" s="705"/>
      <c r="J70" s="705"/>
      <c r="K70" s="706"/>
      <c r="L70" s="707"/>
      <c r="M70" s="708"/>
      <c r="N70" s="2165"/>
      <c r="O70" s="2165"/>
      <c r="P70" s="2175"/>
      <c r="Q70" s="2159"/>
      <c r="R70" s="2146"/>
      <c r="S70" s="2146"/>
      <c r="T70" s="2146"/>
      <c r="U70" s="2146"/>
      <c r="V70" s="2146"/>
      <c r="W70" s="2146"/>
      <c r="X70" s="2146"/>
      <c r="Y70" s="2146"/>
      <c r="Z70" s="2146"/>
      <c r="AA70" s="2146"/>
      <c r="AB70" s="2146"/>
      <c r="AC70" s="2146"/>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7"/>
      <c r="O71" s="2167"/>
      <c r="P71" s="2166"/>
      <c r="Q71" s="2159"/>
      <c r="R71" s="2146"/>
      <c r="S71" s="2146"/>
      <c r="T71" s="2146"/>
      <c r="U71" s="2146"/>
      <c r="V71" s="2146"/>
      <c r="W71" s="2146"/>
      <c r="X71" s="2146"/>
      <c r="Y71" s="2146"/>
      <c r="Z71" s="2146"/>
      <c r="AA71" s="2146"/>
      <c r="AB71" s="2146"/>
      <c r="AC71" s="2146"/>
    </row>
    <row r="72" spans="1:29" ht="15.75" thickTop="1">
      <c r="A72" s="670"/>
      <c r="B72" s="674" t="s">
        <v>587</v>
      </c>
      <c r="C72" s="709" t="s">
        <v>580</v>
      </c>
      <c r="D72" s="709" t="s">
        <v>581</v>
      </c>
      <c r="E72" s="709" t="s">
        <v>582</v>
      </c>
      <c r="F72" s="709" t="s">
        <v>583</v>
      </c>
      <c r="G72" s="709" t="s">
        <v>584</v>
      </c>
      <c r="H72" s="675"/>
      <c r="I72" s="675"/>
      <c r="J72" s="675"/>
      <c r="K72" s="676"/>
      <c r="L72" s="677"/>
      <c r="M72" s="678"/>
      <c r="N72" s="2165"/>
      <c r="O72" s="2165"/>
      <c r="P72" s="2166"/>
      <c r="Q72" s="2159"/>
      <c r="R72" s="2146"/>
      <c r="S72" s="2146"/>
      <c r="T72" s="2146"/>
      <c r="U72" s="2146"/>
      <c r="V72" s="2146"/>
      <c r="W72" s="2146"/>
      <c r="X72" s="2146"/>
      <c r="Y72" s="2146"/>
      <c r="Z72" s="2146"/>
      <c r="AA72" s="2146"/>
      <c r="AB72" s="2146"/>
      <c r="AC72" s="2146"/>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7"/>
      <c r="O73" s="2167"/>
      <c r="P73" s="2166"/>
      <c r="Q73" s="2159"/>
      <c r="R73" s="2146"/>
      <c r="S73" s="2146"/>
      <c r="T73" s="2146"/>
      <c r="U73" s="2146"/>
      <c r="V73" s="2146"/>
      <c r="W73" s="2146"/>
      <c r="X73" s="2146"/>
      <c r="Y73" s="2146"/>
      <c r="Z73" s="2146"/>
      <c r="AA73" s="2146"/>
      <c r="AB73" s="2146"/>
      <c r="AC73" s="2146"/>
    </row>
    <row r="74" spans="1:29" ht="15.75" thickTop="1">
      <c r="A74" s="670"/>
      <c r="B74" s="1897" t="s">
        <v>2563</v>
      </c>
      <c r="C74" s="709" t="s">
        <v>580</v>
      </c>
      <c r="D74" s="709" t="s">
        <v>581</v>
      </c>
      <c r="E74" s="709" t="s">
        <v>582</v>
      </c>
      <c r="F74" s="709" t="s">
        <v>583</v>
      </c>
      <c r="G74" s="709" t="s">
        <v>584</v>
      </c>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2619" t="s">
        <v>2564</v>
      </c>
      <c r="C76" s="2620" t="s">
        <v>2565</v>
      </c>
      <c r="D76" s="2620" t="s">
        <v>2566</v>
      </c>
      <c r="E76" s="2620" t="s">
        <v>2567</v>
      </c>
      <c r="F76" s="2620" t="s">
        <v>2568</v>
      </c>
      <c r="G76" s="2620" t="s">
        <v>2569</v>
      </c>
      <c r="H76" s="934"/>
      <c r="I76" s="934"/>
      <c r="J76" s="934"/>
      <c r="K76" s="934"/>
      <c r="L76" s="934"/>
      <c r="M76" s="560"/>
      <c r="N76" s="2167"/>
      <c r="O76" s="2167"/>
      <c r="P76" s="2166"/>
      <c r="Q76" s="2159"/>
      <c r="R76" s="2146"/>
      <c r="S76" s="2146"/>
      <c r="T76" s="2146"/>
      <c r="U76" s="2146"/>
      <c r="V76" s="2146"/>
      <c r="W76" s="2146"/>
      <c r="X76" s="2146"/>
      <c r="Y76" s="2146"/>
      <c r="Z76" s="2146"/>
      <c r="AA76" s="2146"/>
      <c r="AB76" s="2146"/>
      <c r="AC76" s="2146"/>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785</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s="1219" customFormat="1" ht="15.75" thickTop="1">
      <c r="A80" s="710"/>
      <c r="B80" s="674">
        <f>B25</f>
        <v>111</v>
      </c>
      <c r="C80" s="689"/>
      <c r="D80" s="689"/>
      <c r="E80" s="689"/>
      <c r="F80" s="689"/>
      <c r="G80" s="689"/>
      <c r="H80" s="689"/>
      <c r="I80" s="689"/>
      <c r="J80" s="689"/>
      <c r="K80" s="689"/>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10"/>
      <c r="B81" s="679"/>
      <c r="C81" s="693"/>
      <c r="D81" s="672"/>
      <c r="E81" s="672"/>
      <c r="F81" s="672"/>
      <c r="G81" s="672"/>
      <c r="H81" s="672"/>
      <c r="I81" s="672"/>
      <c r="J81" s="672"/>
      <c r="K81" s="672"/>
      <c r="L81" s="672"/>
      <c r="M81" s="673"/>
      <c r="N81" s="2167"/>
      <c r="O81" s="2167"/>
      <c r="P81" s="2166"/>
      <c r="Q81" s="2159"/>
      <c r="R81" s="1994"/>
      <c r="S81" s="1994"/>
      <c r="T81" s="1994"/>
      <c r="U81" s="1994"/>
      <c r="V81" s="1994"/>
      <c r="W81" s="1994"/>
      <c r="X81" s="1994"/>
      <c r="Y81" s="1994"/>
      <c r="Z81" s="1994"/>
      <c r="AA81" s="1994"/>
      <c r="AB81" s="1994"/>
      <c r="AC81" s="1994"/>
    </row>
    <row r="82" spans="1:29" s="1219" customFormat="1" ht="15.75" thickTop="1">
      <c r="A82" s="710"/>
      <c r="B82" s="674">
        <f>B26</f>
        <v>111</v>
      </c>
      <c r="C82" s="689"/>
      <c r="D82" s="689"/>
      <c r="E82" s="689"/>
      <c r="F82" s="689"/>
      <c r="G82" s="689"/>
      <c r="H82" s="689"/>
      <c r="I82" s="689"/>
      <c r="J82" s="689"/>
      <c r="K82" s="689"/>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10"/>
      <c r="B83" s="679"/>
      <c r="C83" s="693"/>
      <c r="D83" s="672"/>
      <c r="E83" s="672"/>
      <c r="F83" s="672"/>
      <c r="G83" s="672"/>
      <c r="H83" s="672"/>
      <c r="I83" s="672"/>
      <c r="J83" s="672"/>
      <c r="K83" s="672"/>
      <c r="L83" s="672"/>
      <c r="M83" s="673"/>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8"/>
      <c r="B84" s="674">
        <f>B27</f>
        <v>111</v>
      </c>
      <c r="C84" s="689"/>
      <c r="D84" s="689"/>
      <c r="E84" s="689"/>
      <c r="F84" s="689"/>
      <c r="G84" s="689"/>
      <c r="H84" s="689"/>
      <c r="I84" s="689"/>
      <c r="J84" s="689"/>
      <c r="K84" s="689"/>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8"/>
      <c r="B85" s="679"/>
      <c r="C85" s="693"/>
      <c r="D85" s="672"/>
      <c r="E85" s="672"/>
      <c r="F85" s="672"/>
      <c r="G85" s="672"/>
      <c r="H85" s="672"/>
      <c r="I85" s="672"/>
      <c r="J85" s="672"/>
      <c r="K85" s="672"/>
      <c r="L85" s="672"/>
      <c r="M85" s="673"/>
      <c r="N85" s="2168"/>
      <c r="O85" s="2168"/>
      <c r="P85" s="2169"/>
      <c r="Q85" s="2170"/>
      <c r="R85" s="2171"/>
      <c r="S85" s="2171"/>
      <c r="T85" s="2171"/>
      <c r="U85" s="2171"/>
      <c r="V85" s="2171"/>
      <c r="W85" s="2171"/>
      <c r="X85" s="2171"/>
      <c r="Y85" s="2171"/>
      <c r="Z85" s="2171"/>
      <c r="AA85" s="2171"/>
      <c r="AB85" s="2171"/>
      <c r="AC85" s="2171"/>
    </row>
    <row r="86" spans="1:29" ht="15.75" thickTop="1">
      <c r="A86" s="670"/>
      <c r="B86" s="682">
        <f>B28</f>
        <v>111</v>
      </c>
      <c r="C86" s="662"/>
      <c r="D86" s="662"/>
      <c r="E86" s="662"/>
      <c r="F86" s="662"/>
      <c r="G86" s="723"/>
      <c r="H86" s="723"/>
      <c r="I86" s="723"/>
      <c r="J86" s="723"/>
      <c r="K86" s="724"/>
      <c r="L86" s="725"/>
      <c r="M86" s="726"/>
      <c r="N86" s="2165"/>
      <c r="O86" s="2165"/>
      <c r="P86" s="2166"/>
      <c r="Q86" s="2159"/>
      <c r="R86" s="2146"/>
      <c r="S86" s="2146"/>
      <c r="T86" s="2146"/>
      <c r="U86" s="2146"/>
      <c r="V86" s="2146"/>
      <c r="W86" s="2146"/>
      <c r="X86" s="2146"/>
      <c r="Y86" s="2146"/>
      <c r="Z86" s="2146"/>
      <c r="AA86" s="2146"/>
      <c r="AB86" s="2146"/>
      <c r="AC86" s="2146"/>
    </row>
    <row r="87" spans="1:29" ht="15.75" thickBot="1">
      <c r="A87" s="892"/>
      <c r="B87" s="700"/>
      <c r="C87" s="701"/>
      <c r="D87" s="701"/>
      <c r="E87" s="701"/>
      <c r="F87" s="701"/>
      <c r="G87" s="727"/>
      <c r="H87" s="727"/>
      <c r="I87" s="727"/>
      <c r="J87" s="727"/>
      <c r="K87" s="727"/>
      <c r="L87" s="727"/>
      <c r="M87" s="728"/>
      <c r="N87" s="2167"/>
      <c r="O87" s="2167"/>
      <c r="P87" s="2166"/>
      <c r="Q87" s="2159"/>
      <c r="R87" s="2146"/>
      <c r="S87" s="2146"/>
      <c r="T87" s="2146"/>
      <c r="U87" s="2146"/>
      <c r="V87" s="2146"/>
      <c r="W87" s="2146"/>
      <c r="X87" s="2146"/>
      <c r="Y87" s="2146"/>
      <c r="Z87" s="2146"/>
      <c r="AA87" s="2146"/>
      <c r="AB87" s="2146"/>
      <c r="AC87" s="2146"/>
    </row>
    <row r="88" spans="1:29">
      <c r="A88" s="665" t="s">
        <v>552</v>
      </c>
      <c r="B88" s="666" t="s">
        <v>748</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680">
        <v>100</v>
      </c>
      <c r="D89" s="680">
        <f t="shared" ref="D89:M89" si="16">C89-$K29</f>
        <v>100</v>
      </c>
      <c r="E89" s="680">
        <f t="shared" si="16"/>
        <v>100</v>
      </c>
      <c r="F89" s="680">
        <f t="shared" si="16"/>
        <v>100</v>
      </c>
      <c r="G89" s="680">
        <f t="shared" si="16"/>
        <v>100</v>
      </c>
      <c r="H89" s="680">
        <f t="shared" si="16"/>
        <v>100</v>
      </c>
      <c r="I89" s="680">
        <f t="shared" si="16"/>
        <v>100</v>
      </c>
      <c r="J89" s="680">
        <f t="shared" si="16"/>
        <v>100</v>
      </c>
      <c r="K89" s="680">
        <f t="shared" si="16"/>
        <v>100</v>
      </c>
      <c r="L89" s="680">
        <f t="shared" si="16"/>
        <v>100</v>
      </c>
      <c r="M89" s="681">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70"/>
      <c r="B90" s="674" t="s">
        <v>749</v>
      </c>
      <c r="C90" s="709" t="str">
        <f>C91&amp;"(含)"&amp;"-"&amp;D91</f>
        <v>(含)-</v>
      </c>
      <c r="D90" s="709" t="str">
        <f t="shared" ref="D90:L90" si="17">D91&amp;"(含)"&amp;"-"&amp;E91</f>
        <v>(含)-</v>
      </c>
      <c r="E90" s="709" t="str">
        <f t="shared" si="17"/>
        <v>(含)-</v>
      </c>
      <c r="F90" s="709" t="str">
        <f t="shared" si="17"/>
        <v>(含)-</v>
      </c>
      <c r="G90" s="709" t="str">
        <f t="shared" si="17"/>
        <v>(含)-</v>
      </c>
      <c r="H90" s="709" t="str">
        <f t="shared" si="17"/>
        <v>(含)-</v>
      </c>
      <c r="I90" s="709" t="str">
        <f t="shared" si="17"/>
        <v>(含)-</v>
      </c>
      <c r="J90" s="709" t="str">
        <f t="shared" si="17"/>
        <v>(含)-</v>
      </c>
      <c r="K90" s="709" t="str">
        <f t="shared" si="17"/>
        <v>(含)-</v>
      </c>
      <c r="L90" s="709" t="str">
        <f t="shared" si="17"/>
        <v>(含)-</v>
      </c>
      <c r="M90" s="712"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9"/>
      <c r="B91" s="730"/>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8"/>
      <c r="B92" s="679"/>
      <c r="C92" s="693"/>
      <c r="D92" s="672"/>
      <c r="E92" s="672"/>
      <c r="F92" s="672"/>
      <c r="G92" s="672"/>
      <c r="H92" s="672"/>
      <c r="I92" s="672"/>
      <c r="J92" s="672"/>
      <c r="K92" s="672"/>
      <c r="L92" s="672"/>
      <c r="M92" s="673"/>
      <c r="N92" s="2167"/>
      <c r="O92" s="2167"/>
      <c r="P92" s="2169"/>
      <c r="Q92" s="2170"/>
      <c r="R92" s="2171"/>
      <c r="S92" s="2171"/>
      <c r="T92" s="2171"/>
      <c r="U92" s="2171"/>
      <c r="V92" s="2171"/>
      <c r="W92" s="2171"/>
      <c r="X92" s="2171"/>
      <c r="Y92" s="2171"/>
      <c r="Z92" s="2171"/>
      <c r="AA92" s="2171"/>
      <c r="AB92" s="2171"/>
      <c r="AC92" s="2171"/>
    </row>
    <row r="93" spans="1:29" ht="15" thickTop="1">
      <c r="A93" s="736"/>
      <c r="B93" s="674" t="s">
        <v>750</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18">C94-$K31</f>
        <v>100</v>
      </c>
      <c r="E94" s="680">
        <f t="shared" si="18"/>
        <v>100</v>
      </c>
      <c r="F94" s="680">
        <f t="shared" si="18"/>
        <v>100</v>
      </c>
      <c r="G94" s="680">
        <f t="shared" si="18"/>
        <v>100</v>
      </c>
      <c r="H94" s="680">
        <f t="shared" si="18"/>
        <v>100</v>
      </c>
      <c r="I94" s="680">
        <f t="shared" si="18"/>
        <v>100</v>
      </c>
      <c r="J94" s="680">
        <f t="shared" si="18"/>
        <v>100</v>
      </c>
      <c r="K94" s="680">
        <f t="shared" si="18"/>
        <v>100</v>
      </c>
      <c r="L94" s="680">
        <f t="shared" si="18"/>
        <v>100</v>
      </c>
      <c r="M94" s="681">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752</v>
      </c>
      <c r="C95" s="689"/>
      <c r="D95" s="689"/>
      <c r="E95" s="689"/>
      <c r="F95" s="719"/>
      <c r="G95" s="719"/>
      <c r="H95" s="719"/>
      <c r="I95" s="719"/>
      <c r="J95" s="719"/>
      <c r="K95" s="720"/>
      <c r="L95" s="721"/>
      <c r="M95" s="722"/>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 t="shared" ref="D96:M96" si="19">C96-$K32</f>
        <v>100</v>
      </c>
      <c r="E96" s="680">
        <f t="shared" si="19"/>
        <v>100</v>
      </c>
      <c r="F96" s="680">
        <f t="shared" si="19"/>
        <v>100</v>
      </c>
      <c r="G96" s="680">
        <f t="shared" si="19"/>
        <v>100</v>
      </c>
      <c r="H96" s="680">
        <f t="shared" si="19"/>
        <v>100</v>
      </c>
      <c r="I96" s="680">
        <f t="shared" si="19"/>
        <v>100</v>
      </c>
      <c r="J96" s="680">
        <f t="shared" si="19"/>
        <v>100</v>
      </c>
      <c r="K96" s="680">
        <f t="shared" si="19"/>
        <v>100</v>
      </c>
      <c r="L96" s="680">
        <f t="shared" si="19"/>
        <v>100</v>
      </c>
      <c r="M96" s="681">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5"/>
      <c r="O97" s="2165"/>
      <c r="P97" s="2166"/>
      <c r="Q97" s="2159"/>
      <c r="R97" s="2146"/>
      <c r="S97" s="2146"/>
      <c r="T97" s="2146"/>
      <c r="U97" s="2146"/>
      <c r="V97" s="2146"/>
      <c r="W97" s="2146"/>
      <c r="X97" s="2146"/>
      <c r="Y97" s="2146"/>
      <c r="Z97" s="2146"/>
      <c r="AA97" s="2146"/>
      <c r="AB97" s="2146"/>
      <c r="AC97" s="2146"/>
    </row>
    <row r="98" spans="1:29">
      <c r="A98" s="736"/>
      <c r="B98" s="682"/>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70"/>
      <c r="B99" s="679"/>
      <c r="C99" s="713">
        <v>100</v>
      </c>
      <c r="D99" s="680">
        <f>C99+$K33</f>
        <v>100</v>
      </c>
      <c r="E99" s="680">
        <f t="shared" ref="E99:M99" si="20">D99+$K33</f>
        <v>100</v>
      </c>
      <c r="F99" s="680">
        <f t="shared" si="20"/>
        <v>100</v>
      </c>
      <c r="G99" s="680">
        <f t="shared" si="20"/>
        <v>100</v>
      </c>
      <c r="H99" s="680">
        <f t="shared" si="20"/>
        <v>100</v>
      </c>
      <c r="I99" s="680">
        <f t="shared" si="20"/>
        <v>100</v>
      </c>
      <c r="J99" s="680">
        <f t="shared" si="20"/>
        <v>100</v>
      </c>
      <c r="K99" s="680">
        <f t="shared" si="20"/>
        <v>100</v>
      </c>
      <c r="L99" s="680">
        <f t="shared" si="20"/>
        <v>100</v>
      </c>
      <c r="M99" s="680">
        <f t="shared" si="20"/>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9"/>
      <c r="B100" s="674" t="s">
        <v>754</v>
      </c>
      <c r="C100" s="689"/>
      <c r="D100" s="689"/>
      <c r="E100" s="689"/>
      <c r="F100" s="689"/>
      <c r="G100" s="689"/>
      <c r="H100" s="719"/>
      <c r="I100" s="719"/>
      <c r="J100" s="719"/>
      <c r="K100" s="720"/>
      <c r="L100" s="721"/>
      <c r="M100" s="722"/>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8"/>
      <c r="B101" s="679"/>
      <c r="C101" s="680">
        <v>100</v>
      </c>
      <c r="D101" s="680">
        <f>C101-$K34</f>
        <v>100</v>
      </c>
      <c r="E101" s="680">
        <f t="shared" ref="E101:M101" si="21">D101-$K34</f>
        <v>100</v>
      </c>
      <c r="F101" s="680">
        <f t="shared" si="21"/>
        <v>100</v>
      </c>
      <c r="G101" s="680">
        <f t="shared" si="21"/>
        <v>100</v>
      </c>
      <c r="H101" s="680">
        <f t="shared" si="21"/>
        <v>100</v>
      </c>
      <c r="I101" s="680">
        <f t="shared" si="21"/>
        <v>100</v>
      </c>
      <c r="J101" s="680">
        <f t="shared" si="21"/>
        <v>100</v>
      </c>
      <c r="K101" s="680">
        <f t="shared" si="21"/>
        <v>100</v>
      </c>
      <c r="L101" s="680">
        <f t="shared" si="21"/>
        <v>100</v>
      </c>
      <c r="M101" s="680">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6"/>
      <c r="B102" s="1897" t="s">
        <v>2562</v>
      </c>
      <c r="C102" s="689"/>
      <c r="D102" s="689"/>
      <c r="E102" s="689"/>
      <c r="F102" s="689"/>
      <c r="G102" s="689"/>
      <c r="H102" s="719"/>
      <c r="I102" s="719"/>
      <c r="J102" s="719"/>
      <c r="K102" s="720"/>
      <c r="L102" s="721"/>
      <c r="M102" s="722"/>
      <c r="N102" s="2165"/>
      <c r="O102" s="2165"/>
      <c r="P102" s="2166"/>
      <c r="Q102" s="2159"/>
      <c r="R102" s="2146"/>
      <c r="S102" s="2146"/>
      <c r="T102" s="2146"/>
      <c r="U102" s="2146"/>
      <c r="V102" s="2146"/>
      <c r="W102" s="2146"/>
      <c r="X102" s="2146"/>
      <c r="Y102" s="2146"/>
      <c r="Z102" s="2146"/>
      <c r="AA102" s="2146"/>
      <c r="AB102" s="2146"/>
      <c r="AC102" s="2146"/>
    </row>
    <row r="103" spans="1:29" ht="15.75" thickBot="1">
      <c r="A103" s="670"/>
      <c r="B103" s="679"/>
      <c r="C103" s="680">
        <v>100</v>
      </c>
      <c r="D103" s="680">
        <f t="shared" ref="D103:M103" si="22">C103-$K35</f>
        <v>100</v>
      </c>
      <c r="E103" s="680">
        <f t="shared" si="22"/>
        <v>100</v>
      </c>
      <c r="F103" s="680">
        <f t="shared" si="22"/>
        <v>100</v>
      </c>
      <c r="G103" s="680">
        <f t="shared" si="22"/>
        <v>100</v>
      </c>
      <c r="H103" s="680">
        <f t="shared" si="22"/>
        <v>100</v>
      </c>
      <c r="I103" s="680">
        <f t="shared" si="22"/>
        <v>100</v>
      </c>
      <c r="J103" s="680">
        <f t="shared" si="22"/>
        <v>100</v>
      </c>
      <c r="K103" s="680">
        <f t="shared" si="22"/>
        <v>100</v>
      </c>
      <c r="L103" s="680">
        <f t="shared" si="22"/>
        <v>100</v>
      </c>
      <c r="M103" s="681">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6"/>
      <c r="B104" s="674" t="s">
        <v>756</v>
      </c>
      <c r="C104" s="689"/>
      <c r="D104" s="689"/>
      <c r="E104" s="689"/>
      <c r="F104" s="689"/>
      <c r="G104" s="689"/>
      <c r="H104" s="719"/>
      <c r="I104" s="719"/>
      <c r="J104" s="719"/>
      <c r="K104" s="720"/>
      <c r="L104" s="721"/>
      <c r="M104" s="722"/>
      <c r="N104" s="2165"/>
      <c r="O104" s="2165"/>
      <c r="P104" s="2166"/>
      <c r="Q104" s="2159"/>
      <c r="R104" s="2146"/>
      <c r="S104" s="2146"/>
      <c r="T104" s="2146"/>
      <c r="U104" s="2146"/>
      <c r="V104" s="2146"/>
      <c r="W104" s="2146"/>
      <c r="X104" s="2146"/>
      <c r="Y104" s="2146"/>
      <c r="Z104" s="2146"/>
      <c r="AA104" s="2146"/>
      <c r="AB104" s="2146"/>
      <c r="AC104" s="2146"/>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7"/>
      <c r="O105" s="2167"/>
      <c r="P105" s="2166"/>
      <c r="Q105" s="2159"/>
      <c r="R105" s="2146"/>
      <c r="S105" s="2146"/>
      <c r="T105" s="2146"/>
      <c r="U105" s="2146"/>
      <c r="V105" s="2146"/>
      <c r="W105" s="2146"/>
      <c r="X105" s="2146"/>
      <c r="Y105" s="2146"/>
      <c r="Z105" s="2146"/>
      <c r="AA105" s="2146"/>
      <c r="AB105" s="2146"/>
      <c r="AC105" s="2146"/>
    </row>
    <row r="106" spans="1:29" ht="27.75" thickTop="1">
      <c r="A106" s="736"/>
      <c r="B106" s="916" t="s">
        <v>792</v>
      </c>
      <c r="C106" s="709" t="s">
        <v>580</v>
      </c>
      <c r="D106" s="709" t="s">
        <v>581</v>
      </c>
      <c r="E106" s="709" t="s">
        <v>582</v>
      </c>
      <c r="F106" s="709" t="s">
        <v>583</v>
      </c>
      <c r="G106" s="709" t="s">
        <v>584</v>
      </c>
      <c r="H106" s="675"/>
      <c r="I106" s="675"/>
      <c r="J106" s="675"/>
      <c r="K106" s="676"/>
      <c r="L106" s="677"/>
      <c r="M106" s="678"/>
      <c r="N106" s="2167"/>
      <c r="O106" s="2167"/>
      <c r="P106" s="2206"/>
      <c r="Q106" s="2207"/>
      <c r="R106" s="2146"/>
      <c r="S106" s="2146"/>
      <c r="T106" s="2146"/>
      <c r="U106" s="2146"/>
      <c r="V106" s="2146"/>
      <c r="W106" s="2146"/>
      <c r="X106" s="2146"/>
      <c r="Y106" s="2146"/>
      <c r="Z106" s="2146"/>
      <c r="AA106" s="2146"/>
      <c r="AB106" s="2146"/>
      <c r="AC106" s="2146"/>
    </row>
    <row r="107" spans="1:29" ht="15.75" thickBot="1">
      <c r="A107" s="670"/>
      <c r="B107" s="679"/>
      <c r="C107" s="713">
        <v>100</v>
      </c>
      <c r="D107" s="680">
        <f t="shared" ref="D107:M107" si="23">C107-$K37</f>
        <v>100</v>
      </c>
      <c r="E107" s="680">
        <f t="shared" si="23"/>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9"/>
      <c r="B108" s="674">
        <f>B38</f>
        <v>111</v>
      </c>
      <c r="C108" s="689"/>
      <c r="D108" s="689"/>
      <c r="E108" s="689"/>
      <c r="F108" s="689"/>
      <c r="G108" s="689"/>
      <c r="H108" s="690"/>
      <c r="I108" s="690"/>
      <c r="J108" s="690"/>
      <c r="K108" s="690"/>
      <c r="L108" s="691"/>
      <c r="M108" s="692"/>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8"/>
      <c r="B109" s="671"/>
      <c r="C109" s="693"/>
      <c r="D109" s="672"/>
      <c r="E109" s="672"/>
      <c r="F109" s="672"/>
      <c r="G109" s="693"/>
      <c r="H109" s="694"/>
      <c r="I109" s="694"/>
      <c r="J109" s="694"/>
      <c r="K109" s="694"/>
      <c r="L109" s="694"/>
      <c r="M109" s="695"/>
      <c r="N109" s="2168"/>
      <c r="O109" s="2168"/>
      <c r="P109" s="2169"/>
      <c r="Q109" s="2170"/>
      <c r="R109" s="2171"/>
      <c r="S109" s="2171"/>
      <c r="T109" s="2171"/>
      <c r="U109" s="2171"/>
      <c r="V109" s="2171"/>
      <c r="W109" s="2171"/>
      <c r="X109" s="2171"/>
      <c r="Y109" s="2171"/>
      <c r="Z109" s="2171"/>
      <c r="AA109" s="2171"/>
      <c r="AB109" s="2171"/>
      <c r="AC109" s="2171"/>
    </row>
    <row r="110" spans="1:29" ht="15" thickTop="1">
      <c r="A110" s="736"/>
      <c r="B110" s="674">
        <f>B39</f>
        <v>111</v>
      </c>
      <c r="C110" s="689"/>
      <c r="D110" s="689"/>
      <c r="E110" s="689"/>
      <c r="F110" s="689"/>
      <c r="G110" s="689"/>
      <c r="H110" s="690"/>
      <c r="I110" s="690"/>
      <c r="J110" s="690"/>
      <c r="K110" s="690"/>
      <c r="L110" s="691"/>
      <c r="M110" s="69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93"/>
      <c r="D111" s="672"/>
      <c r="E111" s="672"/>
      <c r="F111" s="672"/>
      <c r="G111" s="693"/>
      <c r="H111" s="694"/>
      <c r="I111" s="694"/>
      <c r="J111" s="694"/>
      <c r="K111" s="694"/>
      <c r="L111" s="694"/>
      <c r="M111" s="695"/>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82">
        <f>B40</f>
        <v>111</v>
      </c>
      <c r="C112" s="662"/>
      <c r="D112" s="662"/>
      <c r="E112" s="662"/>
      <c r="F112" s="662"/>
      <c r="G112" s="723"/>
      <c r="H112" s="723"/>
      <c r="I112" s="723"/>
      <c r="J112" s="723"/>
      <c r="K112" s="662"/>
      <c r="L112" s="663"/>
      <c r="M112" s="726"/>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700"/>
      <c r="C113" s="701"/>
      <c r="D113" s="701"/>
      <c r="E113" s="701"/>
      <c r="F113" s="701"/>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abSelected="1" topLeftCell="A7" zoomScale="80" zoomScaleNormal="80" workbookViewId="0">
      <selection activeCell="N26" sqref="N2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922" t="s">
        <v>924</v>
      </c>
      <c r="C1" s="506" t="s">
        <v>793</v>
      </c>
      <c r="D1" s="850" t="s">
        <v>3046</v>
      </c>
      <c r="E1" s="508"/>
      <c r="F1" s="2831" t="s">
        <v>3054</v>
      </c>
      <c r="G1" s="1601" t="s">
        <v>794</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795</v>
      </c>
      <c r="B2" s="851">
        <f>IF(B37="元/平方米",ROUND(B3*D3/10000,0),ROUND(F3*C39/10000,0))</f>
        <v>22804</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11" t="s">
        <v>796</v>
      </c>
      <c r="B3" s="512">
        <f>IF(B37="元/平方米",C39,ROUND(B2*10000/D3,0))</f>
        <v>4155</v>
      </c>
      <c r="C3" s="853" t="s">
        <v>797</v>
      </c>
      <c r="D3" s="852">
        <f>SUMIF('数据-汇总表'!$C19:$C33,D1,'数据-汇总表'!$E19:$E33)</f>
        <v>54885</v>
      </c>
      <c r="E3" s="1849" t="s">
        <v>2079</v>
      </c>
      <c r="F3" s="852">
        <f>SUMIF('数据-取费表'!A5:A15,D1,'数据-取费表'!AH5:AH15)</f>
        <v>1721</v>
      </c>
      <c r="G3" s="2129"/>
      <c r="H3" s="2129"/>
      <c r="I3" s="2129"/>
      <c r="J3" s="2129"/>
      <c r="K3" s="2131"/>
      <c r="L3" s="2132"/>
      <c r="M3" s="2133"/>
      <c r="N3" s="2133"/>
      <c r="O3" s="2133"/>
      <c r="P3" s="1564"/>
      <c r="Q3" s="1564"/>
      <c r="R3" s="1564"/>
      <c r="S3" s="1564"/>
      <c r="T3" s="1564"/>
      <c r="U3" s="1564"/>
      <c r="V3" s="1564"/>
      <c r="W3" s="1564"/>
      <c r="X3" s="1564"/>
      <c r="Y3" s="1564"/>
      <c r="Z3" s="1564"/>
      <c r="AA3" s="1564"/>
      <c r="AB3" s="1566"/>
      <c r="AC3" s="430"/>
    </row>
    <row r="4" spans="1:29" ht="15">
      <c r="A4" s="514" t="s">
        <v>798</v>
      </c>
      <c r="B4" s="515"/>
      <c r="C4" s="3265" t="s">
        <v>799</v>
      </c>
      <c r="D4" s="3266"/>
      <c r="E4" s="3265" t="s">
        <v>800</v>
      </c>
      <c r="F4" s="3266"/>
      <c r="G4" s="3265" t="s">
        <v>801</v>
      </c>
      <c r="H4" s="3266"/>
      <c r="I4" s="3265" t="s">
        <v>802</v>
      </c>
      <c r="J4" s="3266"/>
      <c r="K4" s="516" t="s">
        <v>803</v>
      </c>
      <c r="L4" s="2134"/>
      <c r="M4" s="2135"/>
      <c r="N4" s="2135"/>
      <c r="O4" s="2135"/>
      <c r="P4" s="3269" t="s">
        <v>804</v>
      </c>
      <c r="Q4" s="3270"/>
      <c r="R4" s="3255" t="s">
        <v>800</v>
      </c>
      <c r="S4" s="3256"/>
      <c r="T4" s="3255" t="s">
        <v>801</v>
      </c>
      <c r="U4" s="3256"/>
      <c r="V4" s="3254" t="s">
        <v>802</v>
      </c>
      <c r="W4" s="3254"/>
      <c r="X4" s="1567"/>
      <c r="Y4" s="3255" t="s">
        <v>804</v>
      </c>
      <c r="Z4" s="3256"/>
      <c r="AA4" s="3261" t="s">
        <v>800</v>
      </c>
      <c r="AB4" s="3262" t="s">
        <v>801</v>
      </c>
      <c r="AC4" s="3261" t="s">
        <v>802</v>
      </c>
    </row>
    <row r="5" spans="1:29" ht="15">
      <c r="A5" s="517"/>
      <c r="B5" s="518"/>
      <c r="C5" s="3275" t="s">
        <v>2937</v>
      </c>
      <c r="D5" s="3276"/>
      <c r="E5" s="3277" t="s">
        <v>3233</v>
      </c>
      <c r="F5" s="3278"/>
      <c r="G5" s="3510" t="s">
        <v>3254</v>
      </c>
      <c r="H5" s="3276"/>
      <c r="I5" s="3279" t="s">
        <v>3241</v>
      </c>
      <c r="J5" s="3280"/>
      <c r="K5" s="516"/>
      <c r="L5" s="2134"/>
      <c r="M5" s="2135"/>
      <c r="N5" s="2135"/>
      <c r="O5" s="2135"/>
      <c r="P5" s="3271"/>
      <c r="Q5" s="3272"/>
      <c r="R5" s="3257"/>
      <c r="S5" s="3258"/>
      <c r="T5" s="3257"/>
      <c r="U5" s="3258"/>
      <c r="V5" s="3254"/>
      <c r="W5" s="3254"/>
      <c r="X5" s="1567"/>
      <c r="Y5" s="3257"/>
      <c r="Z5" s="3258"/>
      <c r="AA5" s="3262"/>
      <c r="AB5" s="3262"/>
      <c r="AC5" s="3262"/>
    </row>
    <row r="6" spans="1:29" ht="42" customHeight="1" thickBot="1">
      <c r="A6" s="519"/>
      <c r="B6" s="520"/>
      <c r="C6" s="3281" t="s">
        <v>2941</v>
      </c>
      <c r="D6" s="3282"/>
      <c r="E6" s="3283" t="s">
        <v>3234</v>
      </c>
      <c r="F6" s="3284"/>
      <c r="G6" s="3511" t="s">
        <v>3255</v>
      </c>
      <c r="H6" s="3433"/>
      <c r="I6" s="3285" t="s">
        <v>3242</v>
      </c>
      <c r="J6" s="3286"/>
      <c r="K6" s="516" t="s">
        <v>529</v>
      </c>
      <c r="L6" s="2134"/>
      <c r="M6" s="2135"/>
      <c r="N6" s="2135"/>
      <c r="O6" s="2135"/>
      <c r="P6" s="3273"/>
      <c r="Q6" s="3274"/>
      <c r="R6" s="3257"/>
      <c r="S6" s="3258"/>
      <c r="T6" s="3259"/>
      <c r="U6" s="3260"/>
      <c r="V6" s="3254"/>
      <c r="W6" s="3254"/>
      <c r="X6" s="1567"/>
      <c r="Y6" s="3259"/>
      <c r="Z6" s="3260"/>
      <c r="AA6" s="3263"/>
      <c r="AB6" s="3263"/>
      <c r="AC6" s="3263"/>
    </row>
    <row r="7" spans="1:29" s="1219" customFormat="1" ht="15.75" thickBot="1">
      <c r="A7" s="2936"/>
      <c r="B7" s="2943" t="s">
        <v>530</v>
      </c>
      <c r="C7" s="521">
        <f>'数据-取费表'!B2</f>
        <v>43187</v>
      </c>
      <c r="D7" s="522">
        <v>100</v>
      </c>
      <c r="E7" s="523">
        <v>43187</v>
      </c>
      <c r="F7" s="524">
        <f>SUMIF(48:48,YEAR(E7)&amp;"-"&amp;MONTH(E7),49:49)</f>
        <v>100</v>
      </c>
      <c r="G7" s="523">
        <v>43187</v>
      </c>
      <c r="H7" s="522">
        <f>SUMIF(48:48,YEAR(G7)&amp;"-"&amp;MONTH(G7),49:49)</f>
        <v>100</v>
      </c>
      <c r="I7" s="523">
        <v>43187</v>
      </c>
      <c r="J7" s="522">
        <f>SUMIF(48:48,YEAR(I7)&amp;"-"&amp;MONTH(I7),49:49)</f>
        <v>100</v>
      </c>
      <c r="K7" s="526"/>
      <c r="L7" s="2136"/>
      <c r="M7" s="2137"/>
      <c r="N7" s="2137"/>
      <c r="O7" s="2137"/>
      <c r="P7" s="3251" t="s">
        <v>531</v>
      </c>
      <c r="Q7" s="3264"/>
      <c r="R7" s="1568" t="s">
        <v>8</v>
      </c>
      <c r="S7" s="1569">
        <f t="shared" ref="S7:S14" si="0">F7</f>
        <v>100</v>
      </c>
      <c r="T7" s="1568" t="s">
        <v>8</v>
      </c>
      <c r="U7" s="1569">
        <f t="shared" ref="U7:U14" si="1">H7</f>
        <v>100</v>
      </c>
      <c r="V7" s="1568" t="s">
        <v>8</v>
      </c>
      <c r="W7" s="1569">
        <f t="shared" ref="W7:W14" si="2">J7</f>
        <v>100</v>
      </c>
      <c r="X7" s="1570"/>
      <c r="Y7" s="3251" t="s">
        <v>531</v>
      </c>
      <c r="Z7" s="3252"/>
      <c r="AA7" s="1571">
        <f>D7/F7</f>
        <v>1</v>
      </c>
      <c r="AB7" s="1571">
        <f>D7/H7</f>
        <v>1</v>
      </c>
      <c r="AC7" s="1571">
        <f>D7/J7</f>
        <v>1</v>
      </c>
    </row>
    <row r="8" spans="1:29" s="1219" customFormat="1" ht="15.75" thickBot="1">
      <c r="A8" s="2937"/>
      <c r="B8" s="2944" t="s">
        <v>532</v>
      </c>
      <c r="C8" s="527" t="s">
        <v>577</v>
      </c>
      <c r="D8" s="522">
        <v>100</v>
      </c>
      <c r="E8" s="527" t="s">
        <v>577</v>
      </c>
      <c r="F8" s="524">
        <f>SUMIF(51:51,E8,52:52)-SUMIF(51:51,C8,52:52)+100</f>
        <v>100</v>
      </c>
      <c r="G8" s="527" t="s">
        <v>577</v>
      </c>
      <c r="H8" s="522">
        <f>SUMIF(51:51,G8,52:52)-SUMIF(51:51,C8,52:52)+100</f>
        <v>100</v>
      </c>
      <c r="I8" s="527" t="s">
        <v>577</v>
      </c>
      <c r="J8" s="522">
        <f>SUMIF(51:51,I8,52:52)-SUMIF(51:51,C8,52:52)+100</f>
        <v>100</v>
      </c>
      <c r="K8" s="526"/>
      <c r="L8" s="2136"/>
      <c r="M8" s="2137"/>
      <c r="N8" s="2137"/>
      <c r="O8" s="2137"/>
      <c r="P8" s="3251" t="s">
        <v>534</v>
      </c>
      <c r="Q8" s="3252"/>
      <c r="R8" s="1568" t="s">
        <v>8</v>
      </c>
      <c r="S8" s="1569">
        <f t="shared" si="0"/>
        <v>100</v>
      </c>
      <c r="T8" s="1568" t="s">
        <v>8</v>
      </c>
      <c r="U8" s="1569">
        <f t="shared" si="1"/>
        <v>100</v>
      </c>
      <c r="V8" s="1568" t="s">
        <v>8</v>
      </c>
      <c r="W8" s="1569">
        <f t="shared" si="2"/>
        <v>100</v>
      </c>
      <c r="X8" s="1570"/>
      <c r="Y8" s="3251" t="s">
        <v>534</v>
      </c>
      <c r="Z8" s="3252"/>
      <c r="AA8" s="1571">
        <f t="shared" ref="AA8:AA36" si="3">D8/F8</f>
        <v>1</v>
      </c>
      <c r="AB8" s="1571">
        <f t="shared" ref="AB8:AB36" si="4">D8/H8</f>
        <v>1</v>
      </c>
      <c r="AC8" s="1571">
        <f t="shared" ref="AC8:AC36" si="5">D8/J8</f>
        <v>1</v>
      </c>
    </row>
    <row r="9" spans="1:29" s="1219" customFormat="1" ht="15">
      <c r="A9" s="2938"/>
      <c r="B9" s="2945" t="s">
        <v>2764</v>
      </c>
      <c r="C9" s="3165" t="s">
        <v>3213</v>
      </c>
      <c r="D9" s="253">
        <v>100</v>
      </c>
      <c r="E9" s="859" t="s">
        <v>3212</v>
      </c>
      <c r="F9" s="253">
        <f>SUMIF(53:53,E9,54:54)-SUMIF(53:53,C9,54:54)+100</f>
        <v>100</v>
      </c>
      <c r="G9" s="859" t="s">
        <v>3212</v>
      </c>
      <c r="H9" s="253">
        <f>SUMIF(53:53,G9,54:54)-SUMIF(53:53,C9,54:54)+100</f>
        <v>100</v>
      </c>
      <c r="I9" s="859" t="s">
        <v>3212</v>
      </c>
      <c r="J9" s="253">
        <f>SUMIF(53:53,I9,54:54)-SUMIF(53:53,C9,54:54)+100</f>
        <v>100</v>
      </c>
      <c r="K9" s="526"/>
      <c r="L9" s="2136"/>
      <c r="M9" s="2137"/>
      <c r="N9" s="2137"/>
      <c r="O9" s="2138"/>
      <c r="P9" s="3241" t="s">
        <v>536</v>
      </c>
      <c r="Q9" s="1150" t="str">
        <f t="shared" ref="Q9:Q14" si="6">B9</f>
        <v>用途</v>
      </c>
      <c r="R9" s="1568" t="s">
        <v>8</v>
      </c>
      <c r="S9" s="1569">
        <f t="shared" si="0"/>
        <v>100</v>
      </c>
      <c r="T9" s="1568" t="s">
        <v>8</v>
      </c>
      <c r="U9" s="1569">
        <f t="shared" si="1"/>
        <v>100</v>
      </c>
      <c r="V9" s="1568" t="s">
        <v>8</v>
      </c>
      <c r="W9" s="1569">
        <f t="shared" si="2"/>
        <v>100</v>
      </c>
      <c r="X9" s="1570"/>
      <c r="Y9" s="3253" t="s">
        <v>537</v>
      </c>
      <c r="Z9" s="1149" t="str">
        <f t="shared" ref="Z9:Z14" si="7">Q9</f>
        <v>用途</v>
      </c>
      <c r="AA9" s="1571">
        <f t="shared" si="3"/>
        <v>1</v>
      </c>
      <c r="AB9" s="1571">
        <f t="shared" si="4"/>
        <v>1</v>
      </c>
      <c r="AC9" s="1571">
        <f t="shared" si="5"/>
        <v>1</v>
      </c>
    </row>
    <row r="10" spans="1:29" s="1337" customFormat="1" ht="27.75" thickBot="1">
      <c r="A10" s="2939"/>
      <c r="B10" s="2944" t="s">
        <v>2765</v>
      </c>
      <c r="C10" s="3213" t="s">
        <v>3051</v>
      </c>
      <c r="D10" s="254">
        <v>100</v>
      </c>
      <c r="E10" s="3213" t="s">
        <v>3051</v>
      </c>
      <c r="F10" s="254">
        <f>SUMIF(55:55,E10,56:56)-SUMIF(55:55,C10,56:56)+100</f>
        <v>100</v>
      </c>
      <c r="G10" s="3213" t="s">
        <v>3051</v>
      </c>
      <c r="H10" s="254">
        <f>SUMIF(55:55,G10,56:56)-SUMIF(55:55,C10,56:56)+100</f>
        <v>100</v>
      </c>
      <c r="I10" s="3213" t="s">
        <v>3051</v>
      </c>
      <c r="J10" s="254">
        <f>SUMIF(55:55,I10,56:56)-SUMIF(55:55,C10,56:56)+100</f>
        <v>100</v>
      </c>
      <c r="K10" s="585">
        <v>1</v>
      </c>
      <c r="L10" s="2139"/>
      <c r="M10" s="2179"/>
      <c r="N10" s="2179"/>
      <c r="O10" s="2140"/>
      <c r="P10" s="3241"/>
      <c r="Q10" s="1150" t="str">
        <f t="shared" si="6"/>
        <v>土地使用年限（年）</v>
      </c>
      <c r="R10" s="1568" t="s">
        <v>8</v>
      </c>
      <c r="S10" s="1569">
        <f t="shared" si="0"/>
        <v>100</v>
      </c>
      <c r="T10" s="1568" t="s">
        <v>8</v>
      </c>
      <c r="U10" s="1569">
        <f t="shared" si="1"/>
        <v>100</v>
      </c>
      <c r="V10" s="1568" t="s">
        <v>8</v>
      </c>
      <c r="W10" s="1569">
        <f t="shared" si="2"/>
        <v>100</v>
      </c>
      <c r="X10" s="1570"/>
      <c r="Y10" s="3253"/>
      <c r="Z10" s="1149" t="str">
        <f t="shared" si="7"/>
        <v>土地使用年限（年）</v>
      </c>
      <c r="AA10" s="1571">
        <f t="shared" si="3"/>
        <v>1</v>
      </c>
      <c r="AB10" s="1571">
        <f t="shared" si="4"/>
        <v>1</v>
      </c>
      <c r="AC10" s="1571">
        <f t="shared" si="5"/>
        <v>1</v>
      </c>
    </row>
    <row r="11" spans="1:29" ht="15" hidden="1">
      <c r="A11" s="2941"/>
      <c r="B11" s="2947">
        <v>111</v>
      </c>
      <c r="C11" s="530"/>
      <c r="D11" s="254">
        <v>100</v>
      </c>
      <c r="E11" s="530"/>
      <c r="F11" s="254">
        <f>SUMIF(57:57,E11,58:58)-SUMIF(57:57,C11,58:58)+100</f>
        <v>100</v>
      </c>
      <c r="G11" s="534"/>
      <c r="H11" s="254">
        <f>SUMIF(57:57,G11,58:58)-SUMIF(57:57,C11,58:58)+100</f>
        <v>100</v>
      </c>
      <c r="I11" s="530"/>
      <c r="J11" s="254">
        <f>SUMIF(57:57,I11,58:58)-SUMIF(57:57,C11,58:58)+100</f>
        <v>100</v>
      </c>
      <c r="K11" s="582"/>
      <c r="L11" s="2141"/>
      <c r="M11" s="2135"/>
      <c r="N11" s="2135"/>
      <c r="O11" s="2142"/>
      <c r="P11" s="3241"/>
      <c r="Q11" s="1150">
        <f t="shared" si="6"/>
        <v>111</v>
      </c>
      <c r="R11" s="1568" t="s">
        <v>8</v>
      </c>
      <c r="S11" s="1569">
        <f t="shared" si="0"/>
        <v>100</v>
      </c>
      <c r="T11" s="1568" t="s">
        <v>8</v>
      </c>
      <c r="U11" s="1569">
        <f t="shared" si="1"/>
        <v>100</v>
      </c>
      <c r="V11" s="1568" t="s">
        <v>8</v>
      </c>
      <c r="W11" s="1569">
        <f t="shared" si="2"/>
        <v>100</v>
      </c>
      <c r="X11" s="1570"/>
      <c r="Y11" s="3253"/>
      <c r="Z11" s="1149">
        <f t="shared" si="7"/>
        <v>111</v>
      </c>
      <c r="AA11" s="1571">
        <f t="shared" si="3"/>
        <v>1</v>
      </c>
      <c r="AB11" s="1571">
        <f t="shared" si="4"/>
        <v>1</v>
      </c>
      <c r="AC11" s="1571">
        <f t="shared" si="5"/>
        <v>1</v>
      </c>
    </row>
    <row r="12" spans="1:29" s="1219" customFormat="1" ht="15" hidden="1">
      <c r="A12" s="2941"/>
      <c r="B12" s="2947">
        <v>111</v>
      </c>
      <c r="C12" s="530"/>
      <c r="D12" s="539">
        <v>100</v>
      </c>
      <c r="E12" s="530"/>
      <c r="F12" s="254">
        <f>SUMIF(59:59,E12,60:60)-SUMIF(59:59,C12,60:60)+100</f>
        <v>100</v>
      </c>
      <c r="G12" s="530"/>
      <c r="H12" s="254">
        <f>SUMIF(59:59,G12,60:60)-SUMIF(59:59,C12,60:60)+100</f>
        <v>100</v>
      </c>
      <c r="I12" s="530"/>
      <c r="J12" s="254">
        <f>SUMIF(59:59,I12,60:60)-SUMIF(59:59,C12,60:60)+100</f>
        <v>100</v>
      </c>
      <c r="K12" s="582"/>
      <c r="L12" s="2136"/>
      <c r="M12" s="2137"/>
      <c r="N12" s="2137"/>
      <c r="O12" s="2138"/>
      <c r="P12" s="3241"/>
      <c r="Q12" s="1150">
        <f t="shared" si="6"/>
        <v>111</v>
      </c>
      <c r="R12" s="1568" t="s">
        <v>8</v>
      </c>
      <c r="S12" s="1569">
        <f t="shared" si="0"/>
        <v>100</v>
      </c>
      <c r="T12" s="1568" t="s">
        <v>8</v>
      </c>
      <c r="U12" s="1569">
        <f t="shared" si="1"/>
        <v>100</v>
      </c>
      <c r="V12" s="1568" t="s">
        <v>8</v>
      </c>
      <c r="W12" s="1569">
        <f t="shared" si="2"/>
        <v>100</v>
      </c>
      <c r="X12" s="1570"/>
      <c r="Y12" s="3253"/>
      <c r="Z12" s="1149">
        <f t="shared" si="7"/>
        <v>111</v>
      </c>
      <c r="AA12" s="1571">
        <f>D12/F12</f>
        <v>1</v>
      </c>
      <c r="AB12" s="1571">
        <f>D12/H12</f>
        <v>1</v>
      </c>
      <c r="AC12" s="1571">
        <f>D12/J12</f>
        <v>1</v>
      </c>
    </row>
    <row r="13" spans="1:29" ht="15.75" hidden="1" thickBot="1">
      <c r="A13" s="2942"/>
      <c r="B13" s="2948">
        <v>111</v>
      </c>
      <c r="C13" s="540"/>
      <c r="D13" s="541">
        <v>100</v>
      </c>
      <c r="E13" s="530"/>
      <c r="F13" s="254">
        <f>SUMIF(61:61,E13,62:62)-SUMIF(61:61,C13,62:62)+100</f>
        <v>100</v>
      </c>
      <c r="G13" s="530"/>
      <c r="H13" s="541">
        <f>SUMIF(61:61,G13,62:62)-SUMIF(61:61,C13,62:62)+100</f>
        <v>100</v>
      </c>
      <c r="I13" s="530"/>
      <c r="J13" s="541">
        <f>SUMIF(61:61,I13,62:62)-SUMIF(61:61,C13,62:62)+100</f>
        <v>100</v>
      </c>
      <c r="K13" s="582"/>
      <c r="L13" s="2143"/>
      <c r="M13" s="2135"/>
      <c r="N13" s="2135"/>
      <c r="O13" s="2142"/>
      <c r="P13" s="3241"/>
      <c r="Q13" s="1150">
        <f t="shared" si="6"/>
        <v>111</v>
      </c>
      <c r="R13" s="1568" t="s">
        <v>8</v>
      </c>
      <c r="S13" s="1569">
        <f t="shared" si="0"/>
        <v>100</v>
      </c>
      <c r="T13" s="1568" t="s">
        <v>8</v>
      </c>
      <c r="U13" s="1569">
        <f t="shared" si="1"/>
        <v>100</v>
      </c>
      <c r="V13" s="1568" t="s">
        <v>8</v>
      </c>
      <c r="W13" s="1569">
        <f t="shared" si="2"/>
        <v>100</v>
      </c>
      <c r="X13" s="1570"/>
      <c r="Y13" s="3253"/>
      <c r="Z13" s="1149">
        <f t="shared" si="7"/>
        <v>111</v>
      </c>
      <c r="AA13" s="1571">
        <f t="shared" si="3"/>
        <v>1</v>
      </c>
      <c r="AB13" s="1571">
        <f t="shared" si="4"/>
        <v>1</v>
      </c>
      <c r="AC13" s="1571">
        <f t="shared" si="5"/>
        <v>1</v>
      </c>
    </row>
    <row r="14" spans="1:29" ht="85.5">
      <c r="A14" s="2934" t="s">
        <v>2762</v>
      </c>
      <c r="B14" s="548" t="s">
        <v>544</v>
      </c>
      <c r="C14" s="920" t="str">
        <f>IF(B1="工业",估价对象房地状况!G4,估价对象房地状况!C6)</f>
        <v>估价对象周边道路状况、公共交通通达情况、停车便捷程度，综合评价交通便捷度较好</v>
      </c>
      <c r="D14" s="550">
        <v>100</v>
      </c>
      <c r="E14" s="553"/>
      <c r="F14" s="552">
        <f>SUMIF(63:63,E15,64:64)-SUMIF(63:63,C15,64:64)+100</f>
        <v>100</v>
      </c>
      <c r="G14" s="553"/>
      <c r="H14" s="550">
        <f>SUMIF(63:63,G15,64:64)-SUMIF(63:63,C15,64:64)+100</f>
        <v>100</v>
      </c>
      <c r="I14" s="553"/>
      <c r="J14" s="550">
        <f>SUMIF(63:63,I15,64:64)-SUMIF(63:63,C15,64:64)+100</f>
        <v>98</v>
      </c>
      <c r="K14" s="897">
        <v>2</v>
      </c>
      <c r="L14" s="2143"/>
      <c r="M14" s="2135"/>
      <c r="N14" s="2135"/>
      <c r="O14" s="2142"/>
      <c r="P14" s="3246" t="s">
        <v>541</v>
      </c>
      <c r="Q14" s="1572" t="str">
        <f t="shared" si="6"/>
        <v>交通便捷度</v>
      </c>
      <c r="R14" s="1573" t="s">
        <v>8</v>
      </c>
      <c r="S14" s="1574">
        <f t="shared" si="0"/>
        <v>100</v>
      </c>
      <c r="T14" s="1573" t="s">
        <v>8</v>
      </c>
      <c r="U14" s="1574">
        <f t="shared" si="1"/>
        <v>100</v>
      </c>
      <c r="V14" s="1573" t="s">
        <v>8</v>
      </c>
      <c r="W14" s="1574">
        <f t="shared" si="2"/>
        <v>98</v>
      </c>
      <c r="X14" s="1567"/>
      <c r="Y14" s="3246" t="s">
        <v>541</v>
      </c>
      <c r="Z14" s="1575" t="str">
        <f t="shared" si="7"/>
        <v>交通便捷度</v>
      </c>
      <c r="AA14" s="1576">
        <f t="shared" si="3"/>
        <v>1</v>
      </c>
      <c r="AB14" s="1576">
        <f t="shared" si="4"/>
        <v>1</v>
      </c>
      <c r="AC14" s="1576">
        <f t="shared" si="5"/>
        <v>1.0204081632653061</v>
      </c>
    </row>
    <row r="15" spans="1:29" ht="15">
      <c r="A15" s="517"/>
      <c r="B15" s="923"/>
      <c r="C15" s="577" t="str">
        <f>'比较法-住宅、综合'!C24</f>
        <v>一般</v>
      </c>
      <c r="D15" s="556"/>
      <c r="E15" s="577" t="str">
        <f>'比较法-住宅、综合'!E24</f>
        <v>一般</v>
      </c>
      <c r="F15" s="558"/>
      <c r="G15" s="577" t="s">
        <v>3052</v>
      </c>
      <c r="H15" s="560"/>
      <c r="I15" s="577" t="s">
        <v>3063</v>
      </c>
      <c r="J15" s="556"/>
      <c r="K15" s="898"/>
      <c r="L15" s="2143"/>
      <c r="M15" s="2135"/>
      <c r="N15" s="2135"/>
      <c r="O15" s="2142"/>
      <c r="P15" s="3247"/>
      <c r="Q15" s="1572"/>
      <c r="R15" s="1573"/>
      <c r="S15" s="1574"/>
      <c r="T15" s="1573"/>
      <c r="U15" s="1574"/>
      <c r="V15" s="1573"/>
      <c r="W15" s="1574"/>
      <c r="X15" s="1567"/>
      <c r="Y15" s="3247"/>
      <c r="Z15" s="1575"/>
      <c r="AA15" s="1576">
        <v>1</v>
      </c>
      <c r="AB15" s="1576">
        <v>1</v>
      </c>
      <c r="AC15" s="1576">
        <v>1</v>
      </c>
    </row>
    <row r="16" spans="1:29" ht="42.75">
      <c r="A16" s="517"/>
      <c r="B16" s="2625" t="s">
        <v>2552</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3"/>
      <c r="J16" s="566">
        <f>SUMIF(65:65,I17,66:66)-SUMIF(65:65,C17,66:66)+100</f>
        <v>100</v>
      </c>
      <c r="K16" s="897">
        <v>2</v>
      </c>
      <c r="L16" s="2143"/>
      <c r="M16" s="2135"/>
      <c r="N16" s="2135"/>
      <c r="O16" s="2142"/>
      <c r="P16" s="3247"/>
      <c r="Q16" s="1572" t="str">
        <f>B16</f>
        <v>公共配套设施</v>
      </c>
      <c r="R16" s="1573" t="s">
        <v>8</v>
      </c>
      <c r="S16" s="1574">
        <f>F16</f>
        <v>100</v>
      </c>
      <c r="T16" s="1573" t="s">
        <v>8</v>
      </c>
      <c r="U16" s="1574">
        <f>H16</f>
        <v>100</v>
      </c>
      <c r="V16" s="1573" t="s">
        <v>8</v>
      </c>
      <c r="W16" s="1574">
        <f>J16</f>
        <v>100</v>
      </c>
      <c r="X16" s="1567"/>
      <c r="Y16" s="3247"/>
      <c r="Z16" s="1575" t="str">
        <f>Q16</f>
        <v>公共配套设施</v>
      </c>
      <c r="AA16" s="1576">
        <f t="shared" si="3"/>
        <v>1</v>
      </c>
      <c r="AB16" s="1576">
        <f t="shared" si="4"/>
        <v>1</v>
      </c>
      <c r="AC16" s="1576">
        <f t="shared" si="5"/>
        <v>1</v>
      </c>
    </row>
    <row r="17" spans="1:29" ht="15">
      <c r="A17" s="517"/>
      <c r="B17" s="567"/>
      <c r="C17" s="874" t="str">
        <f>'比较法-住宅、综合'!C30</f>
        <v>一般</v>
      </c>
      <c r="D17" s="556"/>
      <c r="E17" s="577" t="str">
        <f>'比较法-住宅、综合'!E30</f>
        <v>一般</v>
      </c>
      <c r="F17" s="558"/>
      <c r="G17" s="577" t="str">
        <f>'比较法-住宅、综合'!G30</f>
        <v>一般</v>
      </c>
      <c r="H17" s="556"/>
      <c r="I17" s="577" t="s">
        <v>3052</v>
      </c>
      <c r="J17" s="556"/>
      <c r="K17" s="898"/>
      <c r="L17" s="2143"/>
      <c r="M17" s="2135"/>
      <c r="N17" s="2135"/>
      <c r="O17" s="2142"/>
      <c r="P17" s="3247"/>
      <c r="Q17" s="1572"/>
      <c r="R17" s="1573"/>
      <c r="S17" s="1574"/>
      <c r="T17" s="1573"/>
      <c r="U17" s="1574"/>
      <c r="V17" s="1573"/>
      <c r="W17" s="1574"/>
      <c r="X17" s="1567"/>
      <c r="Y17" s="3247"/>
      <c r="Z17" s="1575"/>
      <c r="AA17" s="1576">
        <v>1</v>
      </c>
      <c r="AB17" s="1576">
        <v>1</v>
      </c>
      <c r="AC17" s="1576">
        <v>1</v>
      </c>
    </row>
    <row r="18" spans="1:29" ht="28.5">
      <c r="A18" s="517"/>
      <c r="B18" s="2613" t="s">
        <v>2564</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3"/>
      <c r="J18" s="566">
        <f>SUMIF(67:67,I19,68:68)-SUMIF(67:67,C19,68:68)+100</f>
        <v>100</v>
      </c>
      <c r="K18" s="897">
        <v>1</v>
      </c>
      <c r="L18" s="2143"/>
      <c r="M18" s="2135"/>
      <c r="N18" s="2135"/>
      <c r="O18" s="2142"/>
      <c r="P18" s="3247"/>
      <c r="Q18" s="2601" t="str">
        <f>B18</f>
        <v>基础设施水平</v>
      </c>
      <c r="R18" s="1573" t="s">
        <v>8</v>
      </c>
      <c r="S18" s="1574">
        <f>F18</f>
        <v>100</v>
      </c>
      <c r="T18" s="1573" t="s">
        <v>8</v>
      </c>
      <c r="U18" s="1574">
        <f>H18</f>
        <v>100</v>
      </c>
      <c r="V18" s="1573" t="s">
        <v>8</v>
      </c>
      <c r="W18" s="1574">
        <f>J18</f>
        <v>100</v>
      </c>
      <c r="X18" s="2603"/>
      <c r="Y18" s="3247"/>
      <c r="Z18" s="2602" t="str">
        <f>Q18</f>
        <v>基础设施水平</v>
      </c>
      <c r="AA18" s="1576">
        <f>D18/F18</f>
        <v>1</v>
      </c>
      <c r="AB18" s="1576">
        <f>D18/H18</f>
        <v>1</v>
      </c>
      <c r="AC18" s="1576">
        <f>D18/J18</f>
        <v>1</v>
      </c>
    </row>
    <row r="19" spans="1:29" ht="15">
      <c r="A19" s="517"/>
      <c r="B19" s="579"/>
      <c r="C19" s="874" t="str">
        <f>'比较法-住宅、综合'!C32</f>
        <v>六通</v>
      </c>
      <c r="D19" s="560"/>
      <c r="E19" s="577" t="str">
        <f>'比较法-住宅、综合'!E32</f>
        <v>六通</v>
      </c>
      <c r="F19" s="558"/>
      <c r="G19" s="577" t="str">
        <f>'比较法-住宅、综合'!G32</f>
        <v>六通</v>
      </c>
      <c r="H19" s="556"/>
      <c r="I19" s="577" t="str">
        <f>'比较法-住宅、综合'!I32</f>
        <v>六通</v>
      </c>
      <c r="J19" s="556"/>
      <c r="K19" s="2624"/>
      <c r="L19" s="2143"/>
      <c r="M19" s="2135"/>
      <c r="N19" s="2135"/>
      <c r="O19" s="2142"/>
      <c r="P19" s="3247"/>
      <c r="Q19" s="2601"/>
      <c r="R19" s="1573"/>
      <c r="S19" s="1574"/>
      <c r="T19" s="1573"/>
      <c r="U19" s="1574"/>
      <c r="V19" s="1573"/>
      <c r="W19" s="1574"/>
      <c r="X19" s="2603"/>
      <c r="Y19" s="3247"/>
      <c r="Z19" s="2602"/>
      <c r="AA19" s="1576">
        <v>1</v>
      </c>
      <c r="AB19" s="1576">
        <v>1</v>
      </c>
      <c r="AC19" s="1576">
        <v>1</v>
      </c>
    </row>
    <row r="20" spans="1:29" ht="57">
      <c r="A20" s="517"/>
      <c r="B20" s="561" t="s">
        <v>805</v>
      </c>
      <c r="C20" s="873" t="str">
        <f>IF(B1="工业",估价对象房地状况!G7,估价对象房地状况!C9)</f>
        <v>区域自然环境：；人文环境；综合评价环境状况一般</v>
      </c>
      <c r="D20" s="566">
        <v>100</v>
      </c>
      <c r="E20" s="565"/>
      <c r="F20" s="564">
        <f>SUMIF(69:69,E21,70:70)-SUMIF(69:69,C21,70:70)+100</f>
        <v>100</v>
      </c>
      <c r="G20" s="565"/>
      <c r="H20" s="560">
        <f>SUMIF(69:69,G21,70:70)-SUMIF(69:69,C21,70:70)+100</f>
        <v>102</v>
      </c>
      <c r="I20" s="565"/>
      <c r="J20" s="560">
        <f>SUMIF(69:69,I21,70:70)-SUMIF(69:69,C21,70:70)+100</f>
        <v>102</v>
      </c>
      <c r="K20" s="897">
        <v>2</v>
      </c>
      <c r="L20" s="2143"/>
      <c r="M20" s="2135"/>
      <c r="N20" s="2135"/>
      <c r="O20" s="2142"/>
      <c r="P20" s="3247"/>
      <c r="Q20" s="1572" t="str">
        <f>B20</f>
        <v>自然及人文环境</v>
      </c>
      <c r="R20" s="1573" t="s">
        <v>8</v>
      </c>
      <c r="S20" s="1574">
        <f>F20</f>
        <v>100</v>
      </c>
      <c r="T20" s="1573" t="s">
        <v>8</v>
      </c>
      <c r="U20" s="1574">
        <f>H20</f>
        <v>102</v>
      </c>
      <c r="V20" s="1573" t="s">
        <v>8</v>
      </c>
      <c r="W20" s="1574">
        <f>J20</f>
        <v>102</v>
      </c>
      <c r="X20" s="1567"/>
      <c r="Y20" s="3247"/>
      <c r="Z20" s="1575" t="str">
        <f>Q20</f>
        <v>自然及人文环境</v>
      </c>
      <c r="AA20" s="1576">
        <f t="shared" si="3"/>
        <v>1</v>
      </c>
      <c r="AB20" s="1576">
        <f t="shared" si="4"/>
        <v>0.98039215686274506</v>
      </c>
      <c r="AC20" s="1576">
        <f t="shared" si="5"/>
        <v>0.98039215686274506</v>
      </c>
    </row>
    <row r="21" spans="1:29" ht="15.75" thickBot="1">
      <c r="A21" s="517"/>
      <c r="B21" s="567"/>
      <c r="C21" s="577" t="str">
        <f>'比较法-住宅、综合'!C28</f>
        <v>较差</v>
      </c>
      <c r="D21" s="556"/>
      <c r="E21" s="577" t="s">
        <v>3063</v>
      </c>
      <c r="F21" s="558"/>
      <c r="G21" s="577" t="s">
        <v>3052</v>
      </c>
      <c r="H21" s="556"/>
      <c r="I21" s="577" t="str">
        <f>'不动产比较法-住宅'!I24</f>
        <v>一般</v>
      </c>
      <c r="J21" s="556"/>
      <c r="K21" s="898"/>
      <c r="L21" s="2143"/>
      <c r="M21" s="2135"/>
      <c r="N21" s="2135"/>
      <c r="O21" s="2142"/>
      <c r="P21" s="3247"/>
      <c r="Q21" s="1572"/>
      <c r="R21" s="1573"/>
      <c r="S21" s="1574"/>
      <c r="T21" s="1573"/>
      <c r="U21" s="1574"/>
      <c r="V21" s="1573"/>
      <c r="W21" s="1574"/>
      <c r="X21" s="1567"/>
      <c r="Y21" s="3247"/>
      <c r="Z21" s="1575"/>
      <c r="AA21" s="1576">
        <v>1</v>
      </c>
      <c r="AB21" s="1576">
        <v>1</v>
      </c>
      <c r="AC21" s="1576">
        <v>1</v>
      </c>
    </row>
    <row r="22" spans="1:29" ht="15" hidden="1">
      <c r="A22" s="517"/>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3"/>
      <c r="M22" s="2135"/>
      <c r="N22" s="2135"/>
      <c r="O22" s="2142"/>
      <c r="P22" s="3247"/>
      <c r="Q22" s="1572" t="str">
        <f>B22</f>
        <v>楼层</v>
      </c>
      <c r="R22" s="1573" t="s">
        <v>8</v>
      </c>
      <c r="S22" s="1574">
        <f>F22</f>
        <v>100</v>
      </c>
      <c r="T22" s="1573" t="s">
        <v>8</v>
      </c>
      <c r="U22" s="1574">
        <f>H22</f>
        <v>100</v>
      </c>
      <c r="V22" s="1573" t="s">
        <v>8</v>
      </c>
      <c r="W22" s="1574">
        <f>J22</f>
        <v>100</v>
      </c>
      <c r="X22" s="1567"/>
      <c r="Y22" s="3247"/>
      <c r="Z22" s="1575" t="str">
        <f>Q22</f>
        <v>楼层</v>
      </c>
      <c r="AA22" s="1576">
        <f t="shared" si="3"/>
        <v>1</v>
      </c>
      <c r="AB22" s="1576">
        <f t="shared" si="4"/>
        <v>1</v>
      </c>
      <c r="AC22" s="1576">
        <f t="shared" si="5"/>
        <v>1</v>
      </c>
    </row>
    <row r="23" spans="1:29" ht="15" hidden="1">
      <c r="A23" s="517"/>
      <c r="B23" s="924">
        <v>111</v>
      </c>
      <c r="C23" s="530"/>
      <c r="D23" s="541">
        <v>100</v>
      </c>
      <c r="E23" s="530"/>
      <c r="F23" s="576">
        <f>SUMIF(73:73,E23,74:74)-SUMIF(73:73,C23,74:74)+100</f>
        <v>100</v>
      </c>
      <c r="G23" s="530"/>
      <c r="H23" s="541">
        <f>SUMIF(73:73,G23,74:74)-SUMIF(73:73,C23,74:74)+100</f>
        <v>100</v>
      </c>
      <c r="I23" s="530"/>
      <c r="J23" s="541">
        <f>SUMIF(73:73,I23,74:74)-SUMIF(73:73,C23,74:74)+100</f>
        <v>100</v>
      </c>
      <c r="K23" s="582"/>
      <c r="L23" s="2143"/>
      <c r="M23" s="2135"/>
      <c r="N23" s="2135"/>
      <c r="O23" s="2142"/>
      <c r="P23" s="3247"/>
      <c r="Q23" s="1572">
        <f>B23</f>
        <v>111</v>
      </c>
      <c r="R23" s="1573" t="s">
        <v>8</v>
      </c>
      <c r="S23" s="1574">
        <f>F23</f>
        <v>100</v>
      </c>
      <c r="T23" s="1573" t="s">
        <v>8</v>
      </c>
      <c r="U23" s="1574">
        <f>H23</f>
        <v>100</v>
      </c>
      <c r="V23" s="1573" t="s">
        <v>8</v>
      </c>
      <c r="W23" s="1574">
        <f>J23</f>
        <v>100</v>
      </c>
      <c r="X23" s="1567"/>
      <c r="Y23" s="3247"/>
      <c r="Z23" s="1575">
        <f>Q23</f>
        <v>111</v>
      </c>
      <c r="AA23" s="1576">
        <f t="shared" si="3"/>
        <v>1</v>
      </c>
      <c r="AB23" s="1576">
        <f t="shared" si="4"/>
        <v>1</v>
      </c>
      <c r="AC23" s="1576">
        <f t="shared" si="5"/>
        <v>1</v>
      </c>
    </row>
    <row r="24" spans="1:29" ht="15" hidden="1">
      <c r="A24" s="517"/>
      <c r="B24" s="924">
        <v>111</v>
      </c>
      <c r="C24" s="530"/>
      <c r="D24" s="541">
        <v>100</v>
      </c>
      <c r="E24" s="530"/>
      <c r="F24" s="576">
        <f>SUMIF(75:75,E24,76:76)-SUMIF(75:75,C24,76:76)+100</f>
        <v>100</v>
      </c>
      <c r="G24" s="530"/>
      <c r="H24" s="541">
        <f>SUMIF(75:75,G24,76:76)-SUMIF(75:75,C24,76:76)+100</f>
        <v>100</v>
      </c>
      <c r="I24" s="530"/>
      <c r="J24" s="541">
        <f>SUMIF(75:75,I24,76:76)-SUMIF(75:75,C24,76:76)+100</f>
        <v>100</v>
      </c>
      <c r="K24" s="582"/>
      <c r="L24" s="2143"/>
      <c r="M24" s="2135"/>
      <c r="N24" s="2135"/>
      <c r="O24" s="2142"/>
      <c r="P24" s="3247"/>
      <c r="Q24" s="1572">
        <f t="shared" ref="Q24:Q36" si="8">B24</f>
        <v>111</v>
      </c>
      <c r="R24" s="1573" t="s">
        <v>8</v>
      </c>
      <c r="S24" s="1574">
        <f>F24</f>
        <v>100</v>
      </c>
      <c r="T24" s="1573" t="s">
        <v>8</v>
      </c>
      <c r="U24" s="1574">
        <f>H24</f>
        <v>100</v>
      </c>
      <c r="V24" s="1573" t="s">
        <v>8</v>
      </c>
      <c r="W24" s="1574">
        <f>J24</f>
        <v>100</v>
      </c>
      <c r="X24" s="1567"/>
      <c r="Y24" s="3247"/>
      <c r="Z24" s="1575">
        <f>Q24</f>
        <v>111</v>
      </c>
      <c r="AA24" s="1576">
        <f t="shared" si="3"/>
        <v>1</v>
      </c>
      <c r="AB24" s="1576">
        <f t="shared" si="4"/>
        <v>1</v>
      </c>
      <c r="AC24" s="1576">
        <f t="shared" si="5"/>
        <v>1</v>
      </c>
    </row>
    <row r="25" spans="1:29" s="1219" customFormat="1" ht="15.75" hidden="1" thickBot="1">
      <c r="A25" s="578"/>
      <c r="B25" s="913">
        <v>111</v>
      </c>
      <c r="C25" s="546"/>
      <c r="D25" s="925">
        <v>100</v>
      </c>
      <c r="E25" s="910"/>
      <c r="F25" s="926">
        <f>SUMIF(77:77,E25,78:78)-SUMIF(77:77,C25,78:78)+100</f>
        <v>100</v>
      </c>
      <c r="G25" s="910"/>
      <c r="H25" s="925">
        <f>SUMIF(77:77,G25,78:78)-SUMIF(77:77,C25,78:78)+100</f>
        <v>100</v>
      </c>
      <c r="I25" s="910"/>
      <c r="J25" s="925">
        <f>SUMIF(77:77,I25,78:78)-SUMIF(77:77,C25,78:78)+100</f>
        <v>100</v>
      </c>
      <c r="K25" s="582"/>
      <c r="L25" s="2136"/>
      <c r="M25" s="2137"/>
      <c r="N25" s="2137"/>
      <c r="O25" s="2138"/>
      <c r="P25" s="3247"/>
      <c r="Q25" s="1150">
        <f t="shared" si="8"/>
        <v>111</v>
      </c>
      <c r="R25" s="1568" t="s">
        <v>8</v>
      </c>
      <c r="S25" s="1569">
        <f>F25</f>
        <v>100</v>
      </c>
      <c r="T25" s="1568" t="s">
        <v>8</v>
      </c>
      <c r="U25" s="1569">
        <f>H25</f>
        <v>100</v>
      </c>
      <c r="V25" s="1568" t="s">
        <v>8</v>
      </c>
      <c r="W25" s="1569">
        <f>J25</f>
        <v>100</v>
      </c>
      <c r="X25" s="1570"/>
      <c r="Y25" s="3247"/>
      <c r="Z25" s="1149">
        <f>Q25</f>
        <v>111</v>
      </c>
      <c r="AA25" s="1576">
        <f>D25/F25</f>
        <v>1</v>
      </c>
      <c r="AB25" s="1576">
        <f>D25/H25</f>
        <v>1</v>
      </c>
      <c r="AC25" s="1576">
        <f>D25/J25</f>
        <v>1</v>
      </c>
    </row>
    <row r="26" spans="1:29" ht="15">
      <c r="A26" s="2931" t="s">
        <v>2763</v>
      </c>
      <c r="B26" s="169" t="s">
        <v>807</v>
      </c>
      <c r="C26" s="927" t="str">
        <f>B1</f>
        <v>住宅</v>
      </c>
      <c r="D26" s="556">
        <v>100</v>
      </c>
      <c r="E26" s="577" t="s">
        <v>924</v>
      </c>
      <c r="F26" s="558">
        <f>SUMIF(79:79,E26,80:80)-SUMIF(79:79,C26,80:80)+100</f>
        <v>100</v>
      </c>
      <c r="G26" s="577" t="s">
        <v>924</v>
      </c>
      <c r="H26" s="556">
        <f>SUMIF(79:79,G26,80:80)-SUMIF(79:79,C26,80:80)+100</f>
        <v>100</v>
      </c>
      <c r="I26" s="577" t="s">
        <v>924</v>
      </c>
      <c r="J26" s="556">
        <f>SUMIF(79:79,I26,80:80)-SUMIF(79:79,C26,80:80)+100</f>
        <v>100</v>
      </c>
      <c r="K26" s="585">
        <v>3</v>
      </c>
      <c r="L26" s="2143"/>
      <c r="M26" s="2135"/>
      <c r="N26" s="2135"/>
      <c r="O26" s="2142"/>
      <c r="P26" s="3248" t="s">
        <v>551</v>
      </c>
      <c r="Q26" s="1572" t="str">
        <f t="shared" si="8"/>
        <v>配套类型</v>
      </c>
      <c r="R26" s="1573" t="s">
        <v>8</v>
      </c>
      <c r="S26" s="1574">
        <f t="shared" ref="S26:S36" si="9">F26</f>
        <v>100</v>
      </c>
      <c r="T26" s="1573" t="s">
        <v>8</v>
      </c>
      <c r="U26" s="1574">
        <f t="shared" ref="U26:U36" si="10">H26</f>
        <v>100</v>
      </c>
      <c r="V26" s="1573" t="s">
        <v>8</v>
      </c>
      <c r="W26" s="1574">
        <f t="shared" ref="W26:W36" si="11">J26</f>
        <v>100</v>
      </c>
      <c r="X26" s="1567"/>
      <c r="Y26" s="3249" t="s">
        <v>551</v>
      </c>
      <c r="Z26" s="1575" t="str">
        <f t="shared" ref="Z26:Z36" si="12">Q26</f>
        <v>配套类型</v>
      </c>
      <c r="AA26" s="1576">
        <f t="shared" si="3"/>
        <v>1</v>
      </c>
      <c r="AB26" s="1576">
        <f t="shared" si="4"/>
        <v>1</v>
      </c>
      <c r="AC26" s="1576">
        <f t="shared" si="5"/>
        <v>1</v>
      </c>
    </row>
    <row r="27" spans="1:29" s="1338" customFormat="1" ht="15">
      <c r="A27" s="928"/>
      <c r="B27" s="583" t="s">
        <v>808</v>
      </c>
      <c r="C27" s="929"/>
      <c r="D27" s="254">
        <v>100</v>
      </c>
      <c r="E27" s="929"/>
      <c r="F27" s="576">
        <f>SUMIF(81:81,E27,82:82)-SUMIF(81:81,C27,82:82)+100</f>
        <v>100</v>
      </c>
      <c r="G27" s="929"/>
      <c r="H27" s="541">
        <f>SUMIF(81:81,G27,82:82)-SUMIF(81:81,C27,82:82)+100</f>
        <v>100</v>
      </c>
      <c r="I27" s="929"/>
      <c r="J27" s="541">
        <f>SUMIF(81:81,I27,82:82)-SUMIF(81:81,C27,82:82)+100</f>
        <v>100</v>
      </c>
      <c r="K27" s="582"/>
      <c r="L27" s="2141"/>
      <c r="M27" s="2172"/>
      <c r="N27" s="2172"/>
      <c r="O27" s="2144"/>
      <c r="P27" s="3249"/>
      <c r="Q27" s="1605" t="str">
        <f t="shared" si="8"/>
        <v>项目停车位配比</v>
      </c>
      <c r="R27" s="1577" t="s">
        <v>8</v>
      </c>
      <c r="S27" s="1578">
        <f t="shared" si="9"/>
        <v>100</v>
      </c>
      <c r="T27" s="1577" t="s">
        <v>8</v>
      </c>
      <c r="U27" s="1578">
        <f t="shared" si="10"/>
        <v>100</v>
      </c>
      <c r="V27" s="1577" t="s">
        <v>8</v>
      </c>
      <c r="W27" s="1578">
        <f t="shared" si="11"/>
        <v>100</v>
      </c>
      <c r="X27" s="1579"/>
      <c r="Y27" s="3249"/>
      <c r="Z27" s="1580" t="str">
        <f t="shared" si="12"/>
        <v>项目停车位配比</v>
      </c>
      <c r="AA27" s="1576">
        <f t="shared" si="3"/>
        <v>1</v>
      </c>
      <c r="AB27" s="1576">
        <f t="shared" si="4"/>
        <v>1</v>
      </c>
      <c r="AC27" s="1576">
        <f t="shared" si="5"/>
        <v>1</v>
      </c>
    </row>
    <row r="28" spans="1:29" ht="15">
      <c r="A28" s="930"/>
      <c r="B28" s="583" t="s">
        <v>809</v>
      </c>
      <c r="C28" s="575" t="s">
        <v>3214</v>
      </c>
      <c r="D28" s="541">
        <v>100</v>
      </c>
      <c r="E28" s="575" t="s">
        <v>3214</v>
      </c>
      <c r="F28" s="576">
        <f>SUMIF(83:83,E28,84:84)-SUMIF(83:83,C28,84:84)+100</f>
        <v>100</v>
      </c>
      <c r="G28" s="575" t="s">
        <v>3214</v>
      </c>
      <c r="H28" s="541">
        <f>SUMIF(83:83,G28,84:84)-SUMIF(83:83,C28,84:84)+100</f>
        <v>100</v>
      </c>
      <c r="I28" s="575" t="s">
        <v>3214</v>
      </c>
      <c r="J28" s="541">
        <f>SUMIF(83:83,I28,84:84)-SUMIF(83:83,C28,84:84)+100</f>
        <v>100</v>
      </c>
      <c r="K28" s="585">
        <v>2</v>
      </c>
      <c r="L28" s="2143"/>
      <c r="M28" s="2135"/>
      <c r="N28" s="2135"/>
      <c r="O28" s="2142"/>
      <c r="P28" s="3249"/>
      <c r="Q28" s="1572" t="str">
        <f t="shared" si="8"/>
        <v>公共部分装修</v>
      </c>
      <c r="R28" s="1573" t="s">
        <v>8</v>
      </c>
      <c r="S28" s="1574">
        <f t="shared" si="9"/>
        <v>100</v>
      </c>
      <c r="T28" s="1573" t="s">
        <v>8</v>
      </c>
      <c r="U28" s="1574">
        <f t="shared" si="10"/>
        <v>100</v>
      </c>
      <c r="V28" s="1573" t="s">
        <v>8</v>
      </c>
      <c r="W28" s="1574">
        <f t="shared" si="11"/>
        <v>100</v>
      </c>
      <c r="X28" s="1567"/>
      <c r="Y28" s="3249"/>
      <c r="Z28" s="1575" t="str">
        <f t="shared" si="12"/>
        <v>公共部分装修</v>
      </c>
      <c r="AA28" s="1576">
        <f t="shared" si="3"/>
        <v>1</v>
      </c>
      <c r="AB28" s="1576">
        <f t="shared" si="4"/>
        <v>1</v>
      </c>
      <c r="AC28" s="1576">
        <f t="shared" si="5"/>
        <v>1</v>
      </c>
    </row>
    <row r="29" spans="1:29" ht="15">
      <c r="A29" s="930"/>
      <c r="B29" s="583" t="s">
        <v>810</v>
      </c>
      <c r="C29" s="882">
        <v>1</v>
      </c>
      <c r="D29" s="541">
        <v>100</v>
      </c>
      <c r="E29" s="882">
        <v>1</v>
      </c>
      <c r="F29" s="576">
        <f>LOOKUP(E29,86:86,87:87)-LOOKUP(C29,86:86,87:87)+100</f>
        <v>100</v>
      </c>
      <c r="G29" s="882">
        <v>1</v>
      </c>
      <c r="H29" s="576">
        <f>LOOKUP(G29,86:86,87:87)-LOOKUP(C29,86:86,87:87)+100</f>
        <v>100</v>
      </c>
      <c r="I29" s="882">
        <v>1</v>
      </c>
      <c r="J29" s="541">
        <f>LOOKUP(I29,86:86,87:87)-LOOKUP(C29,86:86,87:87)+100</f>
        <v>100</v>
      </c>
      <c r="K29" s="585">
        <v>1</v>
      </c>
      <c r="L29" s="2143"/>
      <c r="M29" s="2135"/>
      <c r="N29" s="2135"/>
      <c r="O29" s="2142"/>
      <c r="P29" s="3249"/>
      <c r="Q29" s="1572" t="str">
        <f t="shared" si="8"/>
        <v>成新率</v>
      </c>
      <c r="R29" s="1573" t="s">
        <v>8</v>
      </c>
      <c r="S29" s="1574">
        <f t="shared" si="9"/>
        <v>100</v>
      </c>
      <c r="T29" s="1573" t="s">
        <v>8</v>
      </c>
      <c r="U29" s="1574">
        <f t="shared" si="10"/>
        <v>100</v>
      </c>
      <c r="V29" s="1573" t="s">
        <v>8</v>
      </c>
      <c r="W29" s="1574">
        <f t="shared" si="11"/>
        <v>100</v>
      </c>
      <c r="X29" s="1567"/>
      <c r="Y29" s="3249"/>
      <c r="Z29" s="1575" t="str">
        <f t="shared" si="12"/>
        <v>成新率</v>
      </c>
      <c r="AA29" s="1576">
        <f t="shared" si="3"/>
        <v>1</v>
      </c>
      <c r="AB29" s="1576">
        <f t="shared" si="4"/>
        <v>1</v>
      </c>
      <c r="AC29" s="1576">
        <f t="shared" si="5"/>
        <v>1</v>
      </c>
    </row>
    <row r="30" spans="1:29" ht="15">
      <c r="A30" s="930"/>
      <c r="B30" s="583" t="s">
        <v>811</v>
      </c>
      <c r="C30" s="931" t="s">
        <v>3042</v>
      </c>
      <c r="D30" s="541">
        <v>100</v>
      </c>
      <c r="E30" s="931" t="s">
        <v>3042</v>
      </c>
      <c r="F30" s="576">
        <f>SUMIF(88:88,E30,89:89)-SUMIF(88:88,C30,89:89)+100</f>
        <v>100</v>
      </c>
      <c r="G30" s="931" t="s">
        <v>3042</v>
      </c>
      <c r="H30" s="541">
        <f>SUMIF(88:88,E30,89:89)-SUMIF(88:88,C30,89:89)+100</f>
        <v>100</v>
      </c>
      <c r="I30" s="931" t="s">
        <v>3042</v>
      </c>
      <c r="J30" s="541">
        <f>SUMIF(88:88,E30,89:89)-SUMIF(88:88,C30,89:89)+100</f>
        <v>100</v>
      </c>
      <c r="K30" s="585">
        <v>3</v>
      </c>
      <c r="L30" s="2143"/>
      <c r="M30" s="2135"/>
      <c r="N30" s="2135"/>
      <c r="O30" s="2142"/>
      <c r="P30" s="3249"/>
      <c r="Q30" s="1572" t="str">
        <f t="shared" si="8"/>
        <v>物业等级</v>
      </c>
      <c r="R30" s="1573" t="s">
        <v>8</v>
      </c>
      <c r="S30" s="1574">
        <f t="shared" si="9"/>
        <v>100</v>
      </c>
      <c r="T30" s="1573" t="s">
        <v>8</v>
      </c>
      <c r="U30" s="1574">
        <f t="shared" si="10"/>
        <v>100</v>
      </c>
      <c r="V30" s="1573" t="s">
        <v>8</v>
      </c>
      <c r="W30" s="1574">
        <f t="shared" si="11"/>
        <v>100</v>
      </c>
      <c r="X30" s="1567"/>
      <c r="Y30" s="3249"/>
      <c r="Z30" s="1575" t="str">
        <f t="shared" si="12"/>
        <v>物业等级</v>
      </c>
      <c r="AA30" s="1576">
        <f t="shared" si="3"/>
        <v>1</v>
      </c>
      <c r="AB30" s="1576">
        <f t="shared" si="4"/>
        <v>1</v>
      </c>
      <c r="AC30" s="1576">
        <f t="shared" si="5"/>
        <v>1</v>
      </c>
    </row>
    <row r="31" spans="1:29" s="1219" customFormat="1" ht="15">
      <c r="A31" s="932"/>
      <c r="B31" s="583" t="s">
        <v>812</v>
      </c>
      <c r="C31" s="731" t="s">
        <v>3248</v>
      </c>
      <c r="D31" s="254">
        <v>100</v>
      </c>
      <c r="E31" s="731" t="s">
        <v>3248</v>
      </c>
      <c r="F31" s="576">
        <f>LOOKUP(E31,91:91,92:92)-LOOKUP(C31,91:91,92:92)+100</f>
        <v>100</v>
      </c>
      <c r="G31" s="731" t="s">
        <v>3248</v>
      </c>
      <c r="H31" s="541">
        <f>LOOKUP(G31,91:91,92:92)-LOOKUP(C31,91:91,92:92)+100</f>
        <v>100</v>
      </c>
      <c r="I31" s="731" t="s">
        <v>3248</v>
      </c>
      <c r="J31" s="541">
        <f>LOOKUP(I31,91:91,92:92)-LOOKUP(C31,91:91,92:92)+100</f>
        <v>100</v>
      </c>
      <c r="K31" s="585">
        <v>2</v>
      </c>
      <c r="L31" s="2136"/>
      <c r="M31" s="2137"/>
      <c r="N31" s="2137"/>
      <c r="O31" s="2138"/>
      <c r="P31" s="3249"/>
      <c r="Q31" s="1150" t="str">
        <f t="shared" si="8"/>
        <v>停车位面积</v>
      </c>
      <c r="R31" s="1568" t="s">
        <v>8</v>
      </c>
      <c r="S31" s="1569">
        <f t="shared" si="9"/>
        <v>100</v>
      </c>
      <c r="T31" s="1568" t="s">
        <v>8</v>
      </c>
      <c r="U31" s="1569">
        <f t="shared" si="10"/>
        <v>100</v>
      </c>
      <c r="V31" s="1568" t="s">
        <v>8</v>
      </c>
      <c r="W31" s="1569">
        <f t="shared" si="11"/>
        <v>100</v>
      </c>
      <c r="X31" s="1570"/>
      <c r="Y31" s="3249"/>
      <c r="Z31" s="1149" t="str">
        <f t="shared" si="12"/>
        <v>停车位面积</v>
      </c>
      <c r="AA31" s="1571">
        <f t="shared" si="3"/>
        <v>1</v>
      </c>
      <c r="AB31" s="1571">
        <f t="shared" si="4"/>
        <v>1</v>
      </c>
      <c r="AC31" s="1571">
        <f t="shared" si="5"/>
        <v>1</v>
      </c>
    </row>
    <row r="32" spans="1:29" ht="15">
      <c r="A32" s="930"/>
      <c r="B32" s="583" t="s">
        <v>813</v>
      </c>
      <c r="C32" s="575" t="s">
        <v>35</v>
      </c>
      <c r="D32" s="541">
        <v>100</v>
      </c>
      <c r="E32" s="575" t="s">
        <v>35</v>
      </c>
      <c r="F32" s="576">
        <f>SUMIF(93:93,E32,94:94)-SUMIF(93:93,C32,94:94)+100</f>
        <v>100</v>
      </c>
      <c r="G32" s="575" t="s">
        <v>35</v>
      </c>
      <c r="H32" s="541">
        <f>SUMIF(93:93,G32,94:94)-SUMIF(93:93,C32,94:94)+100</f>
        <v>100</v>
      </c>
      <c r="I32" s="575" t="s">
        <v>35</v>
      </c>
      <c r="J32" s="541">
        <f>SUMIF(93:93,I32,94:94)-SUMIF(93:93,C32,94:94)+100</f>
        <v>100</v>
      </c>
      <c r="K32" s="585">
        <v>3</v>
      </c>
      <c r="L32" s="2143"/>
      <c r="M32" s="2135"/>
      <c r="N32" s="2135"/>
      <c r="O32" s="2142"/>
      <c r="P32" s="3249" t="s">
        <v>551</v>
      </c>
      <c r="Q32" s="1572" t="str">
        <f t="shared" si="8"/>
        <v>车位类型</v>
      </c>
      <c r="R32" s="1573" t="s">
        <v>8</v>
      </c>
      <c r="S32" s="1574">
        <f t="shared" si="9"/>
        <v>100</v>
      </c>
      <c r="T32" s="1573" t="s">
        <v>8</v>
      </c>
      <c r="U32" s="1574">
        <f t="shared" si="10"/>
        <v>100</v>
      </c>
      <c r="V32" s="1573" t="s">
        <v>8</v>
      </c>
      <c r="W32" s="1574">
        <f t="shared" si="11"/>
        <v>100</v>
      </c>
      <c r="X32" s="1567"/>
      <c r="Y32" s="3249" t="s">
        <v>551</v>
      </c>
      <c r="Z32" s="1575" t="str">
        <f t="shared" si="12"/>
        <v>车位类型</v>
      </c>
      <c r="AA32" s="1576">
        <f t="shared" si="3"/>
        <v>1</v>
      </c>
      <c r="AB32" s="1576">
        <f t="shared" si="4"/>
        <v>1</v>
      </c>
      <c r="AC32" s="1576">
        <f t="shared" si="5"/>
        <v>1</v>
      </c>
    </row>
    <row r="33" spans="1:29" ht="15.75" thickBot="1">
      <c r="A33" s="930"/>
      <c r="B33" s="583" t="s">
        <v>814</v>
      </c>
      <c r="C33" s="575" t="s">
        <v>3137</v>
      </c>
      <c r="D33" s="541">
        <v>100</v>
      </c>
      <c r="E33" s="575" t="s">
        <v>3137</v>
      </c>
      <c r="F33" s="576">
        <f>SUMIF(95:95,E33,96:96)-SUMIF(95:95,C33,96:96)+100</f>
        <v>100</v>
      </c>
      <c r="G33" s="575" t="s">
        <v>3137</v>
      </c>
      <c r="H33" s="541">
        <f>SUMIF(95:95,G33,96:96)-SUMIF(95:95,C33,96:96)+100</f>
        <v>100</v>
      </c>
      <c r="I33" s="575" t="s">
        <v>3137</v>
      </c>
      <c r="J33" s="541">
        <f>SUMIF(95:95,I33,96:96)-SUMIF(95:95,C33,96:96)+100</f>
        <v>100</v>
      </c>
      <c r="K33" s="585">
        <v>3</v>
      </c>
      <c r="L33" s="2143"/>
      <c r="M33" s="2135"/>
      <c r="N33" s="2135"/>
      <c r="O33" s="2142"/>
      <c r="P33" s="3249"/>
      <c r="Q33" s="1572" t="str">
        <f t="shared" si="8"/>
        <v>是否直接入户</v>
      </c>
      <c r="R33" s="1573" t="s">
        <v>8</v>
      </c>
      <c r="S33" s="1574">
        <f t="shared" si="9"/>
        <v>100</v>
      </c>
      <c r="T33" s="1573" t="s">
        <v>8</v>
      </c>
      <c r="U33" s="1574">
        <f t="shared" si="10"/>
        <v>100</v>
      </c>
      <c r="V33" s="1573" t="s">
        <v>8</v>
      </c>
      <c r="W33" s="1574">
        <f t="shared" si="11"/>
        <v>100</v>
      </c>
      <c r="X33" s="1567"/>
      <c r="Y33" s="3249"/>
      <c r="Z33" s="1575" t="str">
        <f t="shared" si="12"/>
        <v>是否直接入户</v>
      </c>
      <c r="AA33" s="1576">
        <f t="shared" si="3"/>
        <v>1</v>
      </c>
      <c r="AB33" s="1576">
        <f t="shared" si="4"/>
        <v>1</v>
      </c>
      <c r="AC33" s="1576">
        <f t="shared" si="5"/>
        <v>1</v>
      </c>
    </row>
    <row r="34" spans="1:29" ht="15" hidden="1">
      <c r="A34" s="930"/>
      <c r="B34" s="924">
        <v>111</v>
      </c>
      <c r="C34" s="530"/>
      <c r="D34" s="541">
        <v>100</v>
      </c>
      <c r="E34" s="530"/>
      <c r="F34" s="576">
        <f>SUMIF(97:97,E34,98:98)-SUMIF(97:97,C34,98:98)+100</f>
        <v>100</v>
      </c>
      <c r="G34" s="530"/>
      <c r="H34" s="541">
        <f>SUMIF(97:97,G34,98:98)-SUMIF(97:97,C34,98:98)+100</f>
        <v>100</v>
      </c>
      <c r="I34" s="530"/>
      <c r="J34" s="541">
        <f>SUMIF(97:97,I34,98:98)-SUMIF(97:97,C34,98:98)+100</f>
        <v>100</v>
      </c>
      <c r="K34" s="582"/>
      <c r="L34" s="2143"/>
      <c r="M34" s="2135"/>
      <c r="N34" s="2135"/>
      <c r="O34" s="2142"/>
      <c r="P34" s="3249"/>
      <c r="Q34" s="1572">
        <f t="shared" si="8"/>
        <v>111</v>
      </c>
      <c r="R34" s="1573" t="s">
        <v>8</v>
      </c>
      <c r="S34" s="1574">
        <f t="shared" si="9"/>
        <v>100</v>
      </c>
      <c r="T34" s="1573" t="s">
        <v>8</v>
      </c>
      <c r="U34" s="1574">
        <f t="shared" si="10"/>
        <v>100</v>
      </c>
      <c r="V34" s="1573" t="s">
        <v>8</v>
      </c>
      <c r="W34" s="1574">
        <f t="shared" si="11"/>
        <v>100</v>
      </c>
      <c r="X34" s="1567"/>
      <c r="Y34" s="3249"/>
      <c r="Z34" s="1575">
        <f t="shared" si="12"/>
        <v>111</v>
      </c>
      <c r="AA34" s="1576">
        <f t="shared" si="3"/>
        <v>1</v>
      </c>
      <c r="AB34" s="1576">
        <f t="shared" si="4"/>
        <v>1</v>
      </c>
      <c r="AC34" s="1576">
        <f t="shared" si="5"/>
        <v>1</v>
      </c>
    </row>
    <row r="35" spans="1:29" s="1338" customFormat="1" ht="15" hidden="1">
      <c r="A35" s="928"/>
      <c r="B35" s="924">
        <v>111</v>
      </c>
      <c r="C35" s="530"/>
      <c r="D35" s="541">
        <v>100</v>
      </c>
      <c r="E35" s="530"/>
      <c r="F35" s="576">
        <f>SUMIF(99:99,E35,100:100)-SUMIF(99:99,C35,100:100)+100</f>
        <v>100</v>
      </c>
      <c r="G35" s="530"/>
      <c r="H35" s="541">
        <f>SUMIF(99:99,G35,100:100)-SUMIF(99:99,C35,100:100)+100</f>
        <v>100</v>
      </c>
      <c r="I35" s="530"/>
      <c r="J35" s="541">
        <f>SUMIF(99:99,I35,100:100)-SUMIF(99:99,C35,100:100)+100</f>
        <v>100</v>
      </c>
      <c r="K35" s="582"/>
      <c r="L35" s="2141"/>
      <c r="M35" s="2172"/>
      <c r="N35" s="2172"/>
      <c r="O35" s="2144"/>
      <c r="P35" s="3249"/>
      <c r="Q35" s="1605">
        <f t="shared" si="8"/>
        <v>111</v>
      </c>
      <c r="R35" s="1577" t="s">
        <v>8</v>
      </c>
      <c r="S35" s="1578">
        <f t="shared" si="9"/>
        <v>100</v>
      </c>
      <c r="T35" s="1577" t="s">
        <v>8</v>
      </c>
      <c r="U35" s="1578">
        <f t="shared" si="10"/>
        <v>100</v>
      </c>
      <c r="V35" s="1577" t="s">
        <v>8</v>
      </c>
      <c r="W35" s="1578">
        <f t="shared" si="11"/>
        <v>100</v>
      </c>
      <c r="X35" s="1579"/>
      <c r="Y35" s="3249"/>
      <c r="Z35" s="1580">
        <f t="shared" si="12"/>
        <v>111</v>
      </c>
      <c r="AA35" s="1576">
        <f t="shared" si="3"/>
        <v>1</v>
      </c>
      <c r="AB35" s="1576">
        <f t="shared" si="4"/>
        <v>1</v>
      </c>
      <c r="AC35" s="1576">
        <f t="shared" si="5"/>
        <v>1</v>
      </c>
    </row>
    <row r="36" spans="1:29" ht="15.75" hidden="1" thickBot="1">
      <c r="A36" s="933"/>
      <c r="B36" s="913">
        <v>111</v>
      </c>
      <c r="C36" s="540"/>
      <c r="D36" s="541">
        <v>100</v>
      </c>
      <c r="E36" s="530"/>
      <c r="F36" s="576">
        <f>SUMIF(101:101,E36,102:102)-SUMIF(101:101,C36,102:102)+100</f>
        <v>100</v>
      </c>
      <c r="G36" s="530"/>
      <c r="H36" s="541">
        <f>SUMIF(101:101,G36,102:102)-SUMIF(101:101,C36,102:102)+100</f>
        <v>100</v>
      </c>
      <c r="I36" s="530"/>
      <c r="J36" s="541">
        <f>SUMIF(101:101,I36,102:102)-SUMIF(101:101,C36,102:102)+100</f>
        <v>100</v>
      </c>
      <c r="K36" s="582"/>
      <c r="L36" s="2143"/>
      <c r="M36" s="2135"/>
      <c r="N36" s="2135"/>
      <c r="O36" s="2142"/>
      <c r="P36" s="3249"/>
      <c r="Q36" s="1572">
        <f t="shared" si="8"/>
        <v>111</v>
      </c>
      <c r="R36" s="1573" t="s">
        <v>8</v>
      </c>
      <c r="S36" s="1574">
        <f t="shared" si="9"/>
        <v>100</v>
      </c>
      <c r="T36" s="1573" t="s">
        <v>8</v>
      </c>
      <c r="U36" s="1574">
        <f t="shared" si="10"/>
        <v>100</v>
      </c>
      <c r="V36" s="1573" t="s">
        <v>8</v>
      </c>
      <c r="W36" s="1574">
        <f t="shared" si="11"/>
        <v>100</v>
      </c>
      <c r="X36" s="1567"/>
      <c r="Y36" s="3249"/>
      <c r="Z36" s="1575">
        <f t="shared" si="12"/>
        <v>111</v>
      </c>
      <c r="AA36" s="1576">
        <f t="shared" si="3"/>
        <v>1</v>
      </c>
      <c r="AB36" s="1576">
        <f t="shared" si="4"/>
        <v>1</v>
      </c>
      <c r="AC36" s="1576">
        <f t="shared" si="5"/>
        <v>1</v>
      </c>
    </row>
    <row r="37" spans="1:29" ht="15">
      <c r="A37" s="1847" t="s">
        <v>2080</v>
      </c>
      <c r="B37" s="1848" t="s">
        <v>3219</v>
      </c>
      <c r="C37" s="2649" t="s">
        <v>1</v>
      </c>
      <c r="D37" s="2650"/>
      <c r="E37" s="2653">
        <v>130000</v>
      </c>
      <c r="F37" s="2652"/>
      <c r="G37" s="2653">
        <v>130000</v>
      </c>
      <c r="H37" s="2654"/>
      <c r="I37" s="2651">
        <v>140000</v>
      </c>
      <c r="J37" s="2654"/>
      <c r="K37" s="1611"/>
      <c r="L37" s="2145"/>
      <c r="M37" s="2146"/>
      <c r="N37" s="2135"/>
      <c r="O37" s="2146"/>
      <c r="P37" s="3241" t="str">
        <f>A37</f>
        <v>成交单价</v>
      </c>
      <c r="Q37" s="3241"/>
      <c r="R37" s="3242">
        <f>E37</f>
        <v>130000</v>
      </c>
      <c r="S37" s="3242"/>
      <c r="T37" s="3242">
        <f>G37</f>
        <v>130000</v>
      </c>
      <c r="U37" s="3242"/>
      <c r="V37" s="3242">
        <f>I37</f>
        <v>140000</v>
      </c>
      <c r="W37" s="3242"/>
      <c r="X37" s="1559"/>
      <c r="Y37" s="1581"/>
      <c r="Z37" s="1559"/>
      <c r="AA37" s="1559"/>
      <c r="AB37" s="1559"/>
      <c r="AC37" s="1559"/>
    </row>
    <row r="38" spans="1:29" ht="15.75" thickBot="1">
      <c r="A38" s="616" t="s">
        <v>2768</v>
      </c>
      <c r="B38" s="887"/>
      <c r="C38" s="2655">
        <f>R39</f>
        <v>132502</v>
      </c>
      <c r="D38" s="2656"/>
      <c r="E38" s="2657">
        <f>R38</f>
        <v>130000</v>
      </c>
      <c r="F38" s="2657"/>
      <c r="G38" s="2655">
        <f>T38</f>
        <v>127451</v>
      </c>
      <c r="H38" s="2656"/>
      <c r="I38" s="2657">
        <f>V38</f>
        <v>140056</v>
      </c>
      <c r="J38" s="2656"/>
      <c r="K38" s="1612"/>
      <c r="L38" s="2145"/>
      <c r="M38" s="2146"/>
      <c r="N38" s="2146"/>
      <c r="O38" s="2146"/>
      <c r="P38" s="3241" t="str">
        <f>A38</f>
        <v>比较价格（元/平方米）</v>
      </c>
      <c r="Q38" s="3241"/>
      <c r="R38" s="3242">
        <f>IF(F1="售价",ROUND(PRODUCT(R37,AA7:AA36),0),ROUND(PRODUCT(R37,AA7:AA36),1))</f>
        <v>130000</v>
      </c>
      <c r="S38" s="3242"/>
      <c r="T38" s="3242">
        <f>IF(F1="售价",ROUND(PRODUCT(T37,AB7:AB36),0),ROUND(PRODUCT(T37,AB7:AB36),1))</f>
        <v>127451</v>
      </c>
      <c r="U38" s="3242"/>
      <c r="V38" s="3242">
        <f>IF(F1="售价",ROUND(PRODUCT(V37,AC7:AC36),0),ROUND(PRODUCT(V37,AC7:AC36),1))</f>
        <v>140056</v>
      </c>
      <c r="W38" s="3242"/>
      <c r="X38" s="1559"/>
      <c r="Y38" s="1559"/>
      <c r="Z38" s="1559"/>
      <c r="AA38" s="1559"/>
      <c r="AB38" s="1559"/>
      <c r="AC38" s="1559"/>
    </row>
    <row r="39" spans="1:29" ht="15.75" thickBot="1">
      <c r="A39" s="622" t="s">
        <v>2943</v>
      </c>
      <c r="B39" s="623"/>
      <c r="C39" s="2658">
        <f>R39</f>
        <v>132502</v>
      </c>
      <c r="D39" s="2658"/>
      <c r="E39" s="2658"/>
      <c r="F39" s="2658"/>
      <c r="G39" s="2658"/>
      <c r="H39" s="2658"/>
      <c r="I39" s="2658"/>
      <c r="J39" s="2658"/>
      <c r="K39" s="1613"/>
      <c r="L39" s="2145"/>
      <c r="M39" s="2146"/>
      <c r="N39" s="2146"/>
      <c r="O39" s="2146"/>
      <c r="P39" s="3243" t="str">
        <f>A39</f>
        <v>估价对象XX用房的比较价格（楼面单价，元/平方米）</v>
      </c>
      <c r="Q39" s="3244"/>
      <c r="R39" s="3245">
        <f>IF(F1="售价",ROUND(AVERAGE(R38:V38),0),ROUND(AVERAGE(R38:V38),1))</f>
        <v>132502</v>
      </c>
      <c r="S39" s="3245"/>
      <c r="T39" s="3245"/>
      <c r="U39" s="3245"/>
      <c r="V39" s="3245"/>
      <c r="W39" s="324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5" t="s">
        <v>558</v>
      </c>
      <c r="D42" s="626"/>
      <c r="E42" s="627">
        <f>IF(E37&lt;E38,E38/E37-1,E37/E38-1)</f>
        <v>0</v>
      </c>
      <c r="F42" s="628" t="str">
        <f>IF(OR(E42&gt;=0.3,E42&lt;=-0.3),"超过30%","")</f>
        <v/>
      </c>
      <c r="G42" s="627">
        <f>IF(G37&lt;G38,G38/G37-1,G37/G38-1)</f>
        <v>1.9999843076947244E-2</v>
      </c>
      <c r="H42" s="628" t="str">
        <f>IF(OR(G42&gt;=0.3,G42&lt;=-0.3),"超过30%","")</f>
        <v/>
      </c>
      <c r="I42" s="627">
        <f>IF(I37&lt;I38,I38/I37-1,I37/I38-1)</f>
        <v>3.9999999999995595E-4</v>
      </c>
      <c r="J42" s="628"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5" t="s">
        <v>559</v>
      </c>
      <c r="D43" s="629"/>
      <c r="E43" s="627">
        <f>IF(E38&lt;G38,G38/E38-1,E38/G38-1)</f>
        <v>1.9999843076947244E-2</v>
      </c>
      <c r="F43" s="628" t="str">
        <f>IF(OR(E43&gt;=0.2,E43&lt;=-0.2),"超过20%","")</f>
        <v/>
      </c>
      <c r="G43" s="627">
        <f>IF(G38&lt;I38,I38/G38-1,G38/I38-1)</f>
        <v>9.8900754015268655E-2</v>
      </c>
      <c r="H43" s="628" t="str">
        <f>IF(OR(G43&gt;=0.2,G43&lt;=-0.2),"超过20%","")</f>
        <v/>
      </c>
      <c r="I43" s="627">
        <f>IF(I38&lt;E38,E38/I38-1,I38/E38-1)</f>
        <v>7.7353846153846106E-2</v>
      </c>
      <c r="J43" s="628"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5" t="s">
        <v>560</v>
      </c>
      <c r="D44" s="629"/>
      <c r="E44" s="627">
        <f>IF(E37&lt;G37,G37/E37-1,E37/G37-1)</f>
        <v>0</v>
      </c>
      <c r="F44" s="628" t="str">
        <f>IF(OR(E44&gt;=0.3,E44&lt;=-0.3),"超过30%","")</f>
        <v/>
      </c>
      <c r="G44" s="627">
        <f>IF(G37&lt;I37,I37/G37-1,G37/I37-1)</f>
        <v>7.6923076923076872E-2</v>
      </c>
      <c r="H44" s="628" t="str">
        <f>IF(OR(G44&gt;=0.3,G44&lt;=-0.3),"超过30%","")</f>
        <v/>
      </c>
      <c r="I44" s="627">
        <f>IF(I37&lt;E37,E37/I37-1,I37/E37-1)</f>
        <v>7.6923076923076872E-2</v>
      </c>
      <c r="J44" s="628"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6" t="s">
        <v>530</v>
      </c>
      <c r="B48" s="647"/>
      <c r="C48" s="2826" t="str">
        <f>YEAR(C7)&amp;"-"&amp;MONTH(C7)</f>
        <v>2018-3</v>
      </c>
      <c r="D48" s="2828">
        <f>EDATE(C48,-1)</f>
        <v>43132</v>
      </c>
      <c r="E48" s="2828">
        <f t="shared" ref="E48:O48" si="13">EDATE(D48,-1)</f>
        <v>43101</v>
      </c>
      <c r="F48" s="2828">
        <f t="shared" si="13"/>
        <v>43070</v>
      </c>
      <c r="G48" s="2828">
        <f t="shared" si="13"/>
        <v>43040</v>
      </c>
      <c r="H48" s="2828">
        <f t="shared" si="13"/>
        <v>43009</v>
      </c>
      <c r="I48" s="2828">
        <f t="shared" si="13"/>
        <v>42979</v>
      </c>
      <c r="J48" s="2828">
        <f t="shared" si="13"/>
        <v>42948</v>
      </c>
      <c r="K48" s="2828">
        <f t="shared" si="13"/>
        <v>42917</v>
      </c>
      <c r="L48" s="2828">
        <f t="shared" si="13"/>
        <v>42887</v>
      </c>
      <c r="M48" s="2828">
        <f t="shared" si="13"/>
        <v>42856</v>
      </c>
      <c r="N48" s="2828">
        <f t="shared" si="13"/>
        <v>42826</v>
      </c>
      <c r="O48" s="2828">
        <f t="shared" si="13"/>
        <v>42795</v>
      </c>
      <c r="P48" s="2161"/>
      <c r="Q48" s="2162"/>
      <c r="R48" s="2162"/>
      <c r="S48" s="2162"/>
      <c r="T48" s="2162"/>
      <c r="U48" s="2162"/>
      <c r="V48" s="2162"/>
      <c r="W48" s="2162"/>
      <c r="X48" s="2162"/>
      <c r="Y48" s="2162"/>
      <c r="Z48" s="2162"/>
      <c r="AA48" s="2162"/>
      <c r="AB48" s="2162"/>
      <c r="AC48" s="2162"/>
    </row>
    <row r="49" spans="1:29" s="1219" customFormat="1" ht="15">
      <c r="A49" s="648"/>
      <c r="B49" s="649"/>
      <c r="C49" s="2827">
        <v>100</v>
      </c>
      <c r="D49" s="651"/>
      <c r="E49" s="651"/>
      <c r="F49" s="651"/>
      <c r="G49" s="651"/>
      <c r="H49" s="651"/>
      <c r="I49" s="651"/>
      <c r="J49" s="651"/>
      <c r="K49" s="651"/>
      <c r="L49" s="651"/>
      <c r="M49" s="652"/>
      <c r="N49" s="651"/>
      <c r="O49" s="653"/>
      <c r="P49" s="2159"/>
      <c r="Q49" s="1994"/>
      <c r="R49" s="1994"/>
      <c r="S49" s="1994"/>
      <c r="T49" s="1994"/>
      <c r="U49" s="1994"/>
      <c r="V49" s="1994"/>
      <c r="W49" s="1994"/>
      <c r="X49" s="1994"/>
      <c r="Y49" s="1994"/>
      <c r="Z49" s="1994"/>
      <c r="AA49" s="1994"/>
      <c r="AB49" s="1994"/>
      <c r="AC49" s="1994"/>
    </row>
    <row r="50" spans="1:29" s="1219" customFormat="1" ht="15.75" thickBot="1">
      <c r="A50" s="654" t="s">
        <v>576</v>
      </c>
      <c r="B50" s="655"/>
      <c r="C50" s="656"/>
      <c r="D50" s="657"/>
      <c r="E50" s="657"/>
      <c r="F50" s="657"/>
      <c r="G50" s="657"/>
      <c r="H50" s="657"/>
      <c r="I50" s="657"/>
      <c r="J50" s="657"/>
      <c r="K50" s="657"/>
      <c r="L50" s="657"/>
      <c r="M50" s="658"/>
      <c r="N50" s="657"/>
      <c r="O50" s="659"/>
      <c r="P50" s="2159"/>
      <c r="Q50" s="2159"/>
      <c r="R50" s="1994"/>
      <c r="S50" s="1994"/>
      <c r="T50" s="1994"/>
      <c r="U50" s="1994"/>
      <c r="V50" s="1994"/>
      <c r="W50" s="1994"/>
      <c r="X50" s="1994"/>
      <c r="Y50" s="1994"/>
      <c r="Z50" s="1994"/>
      <c r="AA50" s="1994"/>
      <c r="AB50" s="1994"/>
      <c r="AC50" s="1994"/>
    </row>
    <row r="51" spans="1:29" s="1219" customFormat="1" ht="15">
      <c r="A51" s="660" t="s">
        <v>532</v>
      </c>
      <c r="B51" s="649"/>
      <c r="C51" s="661" t="s">
        <v>577</v>
      </c>
      <c r="D51" s="662"/>
      <c r="E51" s="662"/>
      <c r="F51" s="662"/>
      <c r="G51" s="662"/>
      <c r="H51" s="662"/>
      <c r="I51" s="662"/>
      <c r="J51" s="662"/>
      <c r="K51" s="662"/>
      <c r="L51" s="663"/>
      <c r="M51" s="664"/>
      <c r="N51" s="2163"/>
      <c r="O51" s="2163"/>
      <c r="P51" s="2164"/>
      <c r="Q51" s="2159"/>
      <c r="R51" s="1994"/>
      <c r="S51" s="1994"/>
      <c r="T51" s="1994"/>
      <c r="U51" s="1994"/>
      <c r="V51" s="1994"/>
      <c r="W51" s="1994"/>
      <c r="X51" s="1994"/>
      <c r="Y51" s="1994"/>
      <c r="Z51" s="1994"/>
      <c r="AA51" s="1994"/>
      <c r="AB51" s="1994"/>
      <c r="AC51" s="1994"/>
    </row>
    <row r="52" spans="1:29" s="1219" customFormat="1" ht="15.75" thickBot="1">
      <c r="A52" s="660"/>
      <c r="B52" s="649"/>
      <c r="C52" s="650">
        <v>100</v>
      </c>
      <c r="D52" s="651"/>
      <c r="E52" s="651"/>
      <c r="F52" s="651"/>
      <c r="G52" s="651"/>
      <c r="H52" s="651"/>
      <c r="I52" s="651"/>
      <c r="J52" s="651"/>
      <c r="K52" s="651"/>
      <c r="L52" s="651"/>
      <c r="M52" s="653"/>
      <c r="N52" s="2163"/>
      <c r="O52" s="2163"/>
      <c r="P52" s="2159"/>
      <c r="Q52" s="2159"/>
      <c r="R52" s="1994"/>
      <c r="S52" s="1994"/>
      <c r="T52" s="1994"/>
      <c r="U52" s="1994"/>
      <c r="V52" s="1994"/>
      <c r="W52" s="1994"/>
      <c r="X52" s="1994"/>
      <c r="Y52" s="1994"/>
      <c r="Z52" s="1994"/>
      <c r="AA52" s="1994"/>
      <c r="AB52" s="1994"/>
      <c r="AC52" s="1994"/>
    </row>
    <row r="53" spans="1:29">
      <c r="A53" s="665" t="s">
        <v>578</v>
      </c>
      <c r="B53" s="666" t="s">
        <v>535</v>
      </c>
      <c r="C53" s="705" t="str">
        <f>C9</f>
        <v>车位</v>
      </c>
      <c r="D53" s="599"/>
      <c r="E53" s="599"/>
      <c r="F53" s="599"/>
      <c r="G53" s="599"/>
      <c r="H53" s="599"/>
      <c r="I53" s="599"/>
      <c r="J53" s="599"/>
      <c r="K53" s="667"/>
      <c r="L53" s="668"/>
      <c r="M53" s="669"/>
      <c r="N53" s="2165"/>
      <c r="O53" s="2165"/>
      <c r="P53" s="2166"/>
      <c r="Q53" s="2159"/>
      <c r="R53" s="2146"/>
      <c r="S53" s="2146"/>
      <c r="T53" s="2146"/>
      <c r="U53" s="2146"/>
      <c r="V53" s="2146"/>
      <c r="W53" s="2146"/>
      <c r="X53" s="2146"/>
      <c r="Y53" s="2146"/>
      <c r="Z53" s="2146"/>
      <c r="AA53" s="2146"/>
      <c r="AB53" s="2146"/>
      <c r="AC53" s="2146"/>
    </row>
    <row r="54" spans="1:29" ht="15.75" thickBot="1">
      <c r="A54" s="670"/>
      <c r="B54" s="671"/>
      <c r="C54" s="672"/>
      <c r="D54" s="672"/>
      <c r="E54" s="672"/>
      <c r="F54" s="672"/>
      <c r="G54" s="672"/>
      <c r="H54" s="672"/>
      <c r="I54" s="672"/>
      <c r="J54" s="672"/>
      <c r="K54" s="672"/>
      <c r="L54" s="672"/>
      <c r="M54" s="673"/>
      <c r="N54" s="2167"/>
      <c r="O54" s="2167"/>
      <c r="P54" s="2166"/>
      <c r="Q54" s="2159"/>
      <c r="R54" s="2146"/>
      <c r="S54" s="2146"/>
      <c r="T54" s="2146"/>
      <c r="U54" s="2146"/>
      <c r="V54" s="2146"/>
      <c r="W54" s="2146"/>
      <c r="X54" s="2146"/>
      <c r="Y54" s="2146"/>
      <c r="Z54" s="2146"/>
      <c r="AA54" s="2146"/>
      <c r="AB54" s="2146"/>
      <c r="AC54" s="2146"/>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5"/>
      <c r="O55" s="2165"/>
      <c r="P55" s="2166"/>
      <c r="Q55" s="2159"/>
      <c r="R55" s="2146"/>
      <c r="S55" s="2146"/>
      <c r="T55" s="2146"/>
      <c r="U55" s="2146"/>
      <c r="V55" s="2146"/>
      <c r="W55" s="2146"/>
      <c r="X55" s="2146"/>
      <c r="Y55" s="2146"/>
      <c r="Z55" s="2146"/>
      <c r="AA55" s="2146"/>
      <c r="AB55" s="2146"/>
      <c r="AC55" s="2146"/>
    </row>
    <row r="56" spans="1:29" ht="15.75" thickBot="1">
      <c r="A56" s="670"/>
      <c r="B56" s="679"/>
      <c r="C56" s="680" t="s">
        <v>14</v>
      </c>
      <c r="D56" s="680" t="s">
        <v>15</v>
      </c>
      <c r="E56" s="680">
        <v>100</v>
      </c>
      <c r="F56" s="680">
        <f>E56-$K10</f>
        <v>99</v>
      </c>
      <c r="G56" s="680">
        <f>F56-$K10</f>
        <v>98</v>
      </c>
      <c r="H56" s="680">
        <f>G56-$K10</f>
        <v>97</v>
      </c>
      <c r="I56" s="680">
        <f>H56-$K10</f>
        <v>96</v>
      </c>
      <c r="J56" s="680"/>
      <c r="K56" s="680"/>
      <c r="L56" s="680"/>
      <c r="M56" s="681"/>
      <c r="N56" s="2167"/>
      <c r="O56" s="2167"/>
      <c r="P56" s="2166"/>
      <c r="Q56" s="2159"/>
      <c r="R56" s="2146"/>
      <c r="S56" s="2146"/>
      <c r="T56" s="2146"/>
      <c r="U56" s="2146"/>
      <c r="V56" s="2146"/>
      <c r="W56" s="2146"/>
      <c r="X56" s="2146"/>
      <c r="Y56" s="2146"/>
      <c r="Z56" s="2146"/>
      <c r="AA56" s="2146"/>
      <c r="AB56" s="2146"/>
      <c r="AC56" s="2146"/>
    </row>
    <row r="57" spans="1:29" ht="15.75" thickTop="1">
      <c r="A57" s="670"/>
      <c r="B57" s="934">
        <f>B11</f>
        <v>111</v>
      </c>
      <c r="C57" s="542"/>
      <c r="D57" s="542"/>
      <c r="E57" s="542"/>
      <c r="F57" s="542"/>
      <c r="G57" s="542"/>
      <c r="H57" s="542"/>
      <c r="I57" s="542"/>
      <c r="J57" s="542"/>
      <c r="K57" s="685"/>
      <c r="L57" s="686"/>
      <c r="M57" s="687"/>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93"/>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8"/>
      <c r="B59" s="674">
        <f>B12</f>
        <v>111</v>
      </c>
      <c r="C59" s="542"/>
      <c r="D59" s="542"/>
      <c r="E59" s="542"/>
      <c r="F59" s="542"/>
      <c r="G59" s="689"/>
      <c r="H59" s="690"/>
      <c r="I59" s="690"/>
      <c r="J59" s="690"/>
      <c r="K59" s="690"/>
      <c r="L59" s="691"/>
      <c r="M59" s="692"/>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8"/>
      <c r="B60" s="679"/>
      <c r="C60" s="693"/>
      <c r="D60" s="672"/>
      <c r="E60" s="672"/>
      <c r="F60" s="672"/>
      <c r="G60" s="672"/>
      <c r="H60" s="672"/>
      <c r="I60" s="672"/>
      <c r="J60" s="672"/>
      <c r="K60" s="672"/>
      <c r="L60" s="672"/>
      <c r="M60" s="673"/>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8"/>
      <c r="B61" s="674">
        <f>B13</f>
        <v>111</v>
      </c>
      <c r="C61" s="689"/>
      <c r="D61" s="689"/>
      <c r="E61" s="689"/>
      <c r="F61" s="689"/>
      <c r="G61" s="689"/>
      <c r="H61" s="690"/>
      <c r="I61" s="690"/>
      <c r="J61" s="690"/>
      <c r="K61" s="690"/>
      <c r="L61" s="691"/>
      <c r="M61" s="692"/>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8"/>
      <c r="B62" s="679"/>
      <c r="C62" s="693"/>
      <c r="D62" s="693"/>
      <c r="E62" s="693"/>
      <c r="F62" s="693"/>
      <c r="G62" s="693"/>
      <c r="H62" s="694"/>
      <c r="I62" s="694"/>
      <c r="J62" s="694"/>
      <c r="K62" s="694"/>
      <c r="L62" s="694"/>
      <c r="M62" s="695"/>
      <c r="N62" s="2168"/>
      <c r="O62" s="2168"/>
      <c r="P62" s="2169"/>
      <c r="Q62" s="2170"/>
      <c r="R62" s="2171"/>
      <c r="S62" s="2171"/>
      <c r="T62" s="2171"/>
      <c r="U62" s="2171"/>
      <c r="V62" s="2171"/>
      <c r="W62" s="2171"/>
      <c r="X62" s="2171"/>
      <c r="Y62" s="2171"/>
      <c r="Z62" s="2171"/>
      <c r="AA62" s="2171"/>
      <c r="AB62" s="2171"/>
      <c r="AC62" s="2171"/>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5"/>
      <c r="O63" s="2165"/>
      <c r="P63" s="2175"/>
      <c r="Q63" s="2159"/>
      <c r="R63" s="2146"/>
      <c r="S63" s="2146"/>
      <c r="T63" s="2146"/>
      <c r="U63" s="2146"/>
      <c r="V63" s="2146"/>
      <c r="W63" s="2146"/>
      <c r="X63" s="2146"/>
      <c r="Y63" s="2146"/>
      <c r="Z63" s="2146"/>
      <c r="AA63" s="2146"/>
      <c r="AB63" s="2146"/>
      <c r="AC63" s="2146"/>
    </row>
    <row r="64" spans="1:29" ht="15.75" thickBot="1">
      <c r="A64" s="670"/>
      <c r="B64" s="679"/>
      <c r="C64" s="680">
        <v>100</v>
      </c>
      <c r="D64" s="680">
        <f>C64-$K14</f>
        <v>98</v>
      </c>
      <c r="E64" s="680">
        <f>D64-$K14</f>
        <v>96</v>
      </c>
      <c r="F64" s="680">
        <f>E64-$K14</f>
        <v>94</v>
      </c>
      <c r="G64" s="680">
        <f>F64-$K14</f>
        <v>92</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1897" t="s">
        <v>2563</v>
      </c>
      <c r="C65" s="709" t="s">
        <v>580</v>
      </c>
      <c r="D65" s="709" t="s">
        <v>581</v>
      </c>
      <c r="E65" s="709" t="s">
        <v>582</v>
      </c>
      <c r="F65" s="709" t="s">
        <v>583</v>
      </c>
      <c r="G65" s="709" t="s">
        <v>584</v>
      </c>
      <c r="H65" s="675"/>
      <c r="I65" s="675"/>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C66-$K16</f>
        <v>98</v>
      </c>
      <c r="E66" s="680">
        <f>D66-$K16</f>
        <v>96</v>
      </c>
      <c r="F66" s="680">
        <f>E66-$K16</f>
        <v>94</v>
      </c>
      <c r="G66" s="680">
        <f>F66-$K16</f>
        <v>92</v>
      </c>
      <c r="H66" s="680"/>
      <c r="I66" s="680"/>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2619" t="s">
        <v>2564</v>
      </c>
      <c r="C67" s="2620" t="s">
        <v>2565</v>
      </c>
      <c r="D67" s="2620" t="s">
        <v>2566</v>
      </c>
      <c r="E67" s="2620" t="s">
        <v>2567</v>
      </c>
      <c r="F67" s="2620" t="s">
        <v>2568</v>
      </c>
      <c r="G67" s="2620" t="s">
        <v>2569</v>
      </c>
      <c r="H67" s="675"/>
      <c r="I67" s="675"/>
      <c r="J67" s="675"/>
      <c r="K67" s="675"/>
      <c r="L67" s="675"/>
      <c r="M67" s="2623"/>
      <c r="N67" s="2167"/>
      <c r="O67" s="2167"/>
      <c r="P67" s="2166"/>
      <c r="Q67" s="2159"/>
      <c r="R67" s="2146"/>
      <c r="S67" s="2146"/>
      <c r="T67" s="2146"/>
      <c r="U67" s="2146"/>
      <c r="V67" s="2146"/>
      <c r="W67" s="2146"/>
      <c r="X67" s="2146"/>
      <c r="Y67" s="2146"/>
      <c r="Z67" s="2146"/>
      <c r="AA67" s="2146"/>
      <c r="AB67" s="2146"/>
      <c r="AC67" s="2146"/>
    </row>
    <row r="68" spans="1:29" ht="15.75" thickBot="1">
      <c r="A68" s="670"/>
      <c r="B68" s="682"/>
      <c r="C68" s="680">
        <v>100</v>
      </c>
      <c r="D68" s="680">
        <f>C68-$K18</f>
        <v>99</v>
      </c>
      <c r="E68" s="680">
        <f>D68-$K18</f>
        <v>98</v>
      </c>
      <c r="F68" s="680">
        <f>E68-$K18</f>
        <v>97</v>
      </c>
      <c r="G68" s="680">
        <f>F68-$K18</f>
        <v>96</v>
      </c>
      <c r="H68" s="934"/>
      <c r="I68" s="934"/>
      <c r="J68" s="934"/>
      <c r="K68" s="934"/>
      <c r="L68" s="934"/>
      <c r="M68" s="560"/>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745</v>
      </c>
      <c r="C69" s="709" t="s">
        <v>580</v>
      </c>
      <c r="D69" s="709" t="s">
        <v>581</v>
      </c>
      <c r="E69" s="709" t="s">
        <v>582</v>
      </c>
      <c r="F69" s="709" t="s">
        <v>583</v>
      </c>
      <c r="G69" s="709" t="s">
        <v>584</v>
      </c>
      <c r="H69" s="675"/>
      <c r="I69" s="675"/>
      <c r="J69" s="675"/>
      <c r="K69" s="676"/>
      <c r="L69" s="677"/>
      <c r="M69" s="678"/>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C70-$K20</f>
        <v>98</v>
      </c>
      <c r="E70" s="680">
        <f>D70-$K20</f>
        <v>96</v>
      </c>
      <c r="F70" s="680">
        <f>E70-$K20</f>
        <v>94</v>
      </c>
      <c r="G70" s="680">
        <f>F70-$K20</f>
        <v>92</v>
      </c>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ht="15.75" thickTop="1">
      <c r="A71" s="670"/>
      <c r="B71" s="674" t="s">
        <v>746</v>
      </c>
      <c r="C71" s="689"/>
      <c r="D71" s="689"/>
      <c r="E71" s="689"/>
      <c r="F71" s="689"/>
      <c r="G71" s="689"/>
      <c r="H71" s="719"/>
      <c r="I71" s="719"/>
      <c r="J71" s="719"/>
      <c r="K71" s="720"/>
      <c r="L71" s="721"/>
      <c r="M71" s="722"/>
      <c r="N71" s="2165"/>
      <c r="O71" s="2165"/>
      <c r="P71" s="2166"/>
      <c r="Q71" s="2159"/>
      <c r="R71" s="2146"/>
      <c r="S71" s="2146"/>
      <c r="T71" s="2146"/>
      <c r="U71" s="2146"/>
      <c r="V71" s="2146"/>
      <c r="W71" s="2146"/>
      <c r="X71" s="2146"/>
      <c r="Y71" s="2146"/>
      <c r="Z71" s="2146"/>
      <c r="AA71" s="2146"/>
      <c r="AB71" s="2146"/>
      <c r="AC71" s="2146"/>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7"/>
      <c r="O72" s="2167"/>
      <c r="P72" s="2166"/>
      <c r="Q72" s="2159"/>
      <c r="R72" s="2146"/>
      <c r="S72" s="2146"/>
      <c r="T72" s="2146"/>
      <c r="U72" s="2146"/>
      <c r="V72" s="2146"/>
      <c r="W72" s="2146"/>
      <c r="X72" s="2146"/>
      <c r="Y72" s="2146"/>
      <c r="Z72" s="2146"/>
      <c r="AA72" s="2146"/>
      <c r="AB72" s="2146"/>
      <c r="AC72" s="2146"/>
    </row>
    <row r="73" spans="1:29" s="1219" customFormat="1" ht="15.75" thickTop="1">
      <c r="A73" s="710"/>
      <c r="B73" s="674">
        <f>B23</f>
        <v>111</v>
      </c>
      <c r="C73" s="542"/>
      <c r="D73" s="542"/>
      <c r="E73" s="542"/>
      <c r="F73" s="542"/>
      <c r="G73" s="689"/>
      <c r="H73" s="689"/>
      <c r="I73" s="689"/>
      <c r="J73" s="689"/>
      <c r="K73" s="689"/>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219" customFormat="1" ht="15.75" thickTop="1">
      <c r="A75" s="710"/>
      <c r="B75" s="674">
        <f>B24</f>
        <v>111</v>
      </c>
      <c r="C75" s="542"/>
      <c r="D75" s="542"/>
      <c r="E75" s="542"/>
      <c r="F75" s="542"/>
      <c r="G75" s="689"/>
      <c r="H75" s="689"/>
      <c r="I75" s="689"/>
      <c r="J75" s="689"/>
      <c r="K75" s="689"/>
      <c r="L75" s="689"/>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10"/>
      <c r="B76" s="679"/>
      <c r="C76" s="693"/>
      <c r="D76" s="672"/>
      <c r="E76" s="672"/>
      <c r="F76" s="672"/>
      <c r="G76" s="672"/>
      <c r="H76" s="672"/>
      <c r="I76" s="672"/>
      <c r="J76" s="672"/>
      <c r="K76" s="672"/>
      <c r="L76" s="672"/>
      <c r="M76" s="673"/>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8"/>
      <c r="B77" s="674">
        <f>B25</f>
        <v>111</v>
      </c>
      <c r="C77" s="689"/>
      <c r="D77" s="689"/>
      <c r="E77" s="689"/>
      <c r="F77" s="689"/>
      <c r="G77" s="689"/>
      <c r="H77" s="690"/>
      <c r="I77" s="690"/>
      <c r="J77" s="690"/>
      <c r="K77" s="690"/>
      <c r="L77" s="691"/>
      <c r="M77" s="692"/>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8"/>
      <c r="B78" s="679"/>
      <c r="C78" s="693"/>
      <c r="D78" s="693"/>
      <c r="E78" s="693"/>
      <c r="F78" s="693"/>
      <c r="G78" s="672"/>
      <c r="H78" s="672"/>
      <c r="I78" s="672"/>
      <c r="J78" s="672"/>
      <c r="K78" s="672"/>
      <c r="L78" s="672"/>
      <c r="M78" s="673"/>
      <c r="N78" s="2168"/>
      <c r="O78" s="2168"/>
      <c r="P78" s="2169"/>
      <c r="Q78" s="2170"/>
      <c r="R78" s="2171"/>
      <c r="S78" s="2171"/>
      <c r="T78" s="2171"/>
      <c r="U78" s="2171"/>
      <c r="V78" s="2171"/>
      <c r="W78" s="2171"/>
      <c r="X78" s="2171"/>
      <c r="Y78" s="2171"/>
      <c r="Z78" s="2171"/>
      <c r="AA78" s="2171"/>
      <c r="AB78" s="2171"/>
      <c r="AC78" s="2171"/>
    </row>
    <row r="79" spans="1:29" ht="27.75" thickTop="1">
      <c r="A79" s="665" t="s">
        <v>552</v>
      </c>
      <c r="B79" s="666" t="s">
        <v>815</v>
      </c>
      <c r="C79" s="705" t="str">
        <f>C26</f>
        <v>住宅</v>
      </c>
      <c r="D79" s="599"/>
      <c r="E79" s="599"/>
      <c r="F79" s="599"/>
      <c r="G79" s="599"/>
      <c r="H79" s="599"/>
      <c r="I79" s="599"/>
      <c r="J79" s="599"/>
      <c r="K79" s="667"/>
      <c r="L79" s="668"/>
      <c r="M79" s="669"/>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v>100</v>
      </c>
      <c r="D80" s="680">
        <f t="shared" ref="D80:M80" si="14">C80-$K26</f>
        <v>97</v>
      </c>
      <c r="E80" s="680">
        <f t="shared" si="14"/>
        <v>94</v>
      </c>
      <c r="F80" s="680">
        <f t="shared" si="14"/>
        <v>91</v>
      </c>
      <c r="G80" s="680">
        <f t="shared" si="14"/>
        <v>88</v>
      </c>
      <c r="H80" s="680">
        <f t="shared" si="14"/>
        <v>85</v>
      </c>
      <c r="I80" s="680">
        <f t="shared" si="14"/>
        <v>82</v>
      </c>
      <c r="J80" s="680">
        <f t="shared" si="14"/>
        <v>79</v>
      </c>
      <c r="K80" s="680">
        <f t="shared" si="14"/>
        <v>76</v>
      </c>
      <c r="L80" s="680">
        <f t="shared" si="14"/>
        <v>73</v>
      </c>
      <c r="M80" s="681">
        <f t="shared" si="14"/>
        <v>70</v>
      </c>
      <c r="N80" s="2167"/>
      <c r="O80" s="2167"/>
      <c r="P80" s="2166"/>
      <c r="Q80" s="2159"/>
      <c r="R80" s="2146"/>
      <c r="S80" s="2146"/>
      <c r="T80" s="2146"/>
      <c r="U80" s="2146"/>
      <c r="V80" s="2146"/>
      <c r="W80" s="2146"/>
      <c r="X80" s="2146"/>
      <c r="Y80" s="2146"/>
      <c r="Z80" s="2146"/>
      <c r="AA80" s="2146"/>
      <c r="AB80" s="2146"/>
      <c r="AC80" s="2146"/>
    </row>
    <row r="81" spans="1:29" ht="15.75" thickTop="1">
      <c r="A81" s="670"/>
      <c r="B81" s="674" t="s">
        <v>816</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8"/>
      <c r="B82" s="679"/>
      <c r="C82" s="693"/>
      <c r="D82" s="672"/>
      <c r="E82" s="672"/>
      <c r="F82" s="672"/>
      <c r="G82" s="672"/>
      <c r="H82" s="672"/>
      <c r="I82" s="672"/>
      <c r="J82" s="672"/>
      <c r="K82" s="672"/>
      <c r="L82" s="672"/>
      <c r="M82" s="673"/>
      <c r="N82" s="2167"/>
      <c r="O82" s="2167"/>
      <c r="P82" s="2169"/>
      <c r="Q82" s="2170"/>
      <c r="R82" s="2171"/>
      <c r="S82" s="2171"/>
      <c r="T82" s="2171"/>
      <c r="U82" s="2171"/>
      <c r="V82" s="2171"/>
      <c r="W82" s="2171"/>
      <c r="X82" s="2171"/>
      <c r="Y82" s="2171"/>
      <c r="Z82" s="2171"/>
      <c r="AA82" s="2171"/>
      <c r="AB82" s="2171"/>
      <c r="AC82" s="2171"/>
    </row>
    <row r="83" spans="1:29" ht="15" thickTop="1">
      <c r="A83" s="736"/>
      <c r="B83" s="674" t="s">
        <v>752</v>
      </c>
      <c r="C83" s="689" t="s">
        <v>3025</v>
      </c>
      <c r="D83" s="689" t="s">
        <v>3026</v>
      </c>
      <c r="E83" s="689" t="s">
        <v>3027</v>
      </c>
      <c r="F83" s="719" t="s">
        <v>3028</v>
      </c>
      <c r="G83" s="719"/>
      <c r="H83" s="719"/>
      <c r="I83" s="719"/>
      <c r="J83" s="719"/>
      <c r="K83" s="720"/>
      <c r="L83" s="721"/>
      <c r="M83" s="722"/>
      <c r="N83" s="2165"/>
      <c r="O83" s="2165"/>
      <c r="P83" s="2166"/>
      <c r="Q83" s="2159"/>
      <c r="R83" s="2146"/>
      <c r="S83" s="2146"/>
      <c r="T83" s="2146"/>
      <c r="U83" s="2146"/>
      <c r="V83" s="2146"/>
      <c r="W83" s="2146"/>
      <c r="X83" s="2146"/>
      <c r="Y83" s="2146"/>
      <c r="Z83" s="2146"/>
      <c r="AA83" s="2146"/>
      <c r="AB83" s="2146"/>
      <c r="AC83" s="2146"/>
    </row>
    <row r="84" spans="1:29" ht="15.75" thickBot="1">
      <c r="A84" s="670"/>
      <c r="B84" s="679"/>
      <c r="C84" s="680">
        <v>100</v>
      </c>
      <c r="D84" s="680">
        <f t="shared" ref="D84:M84" si="15">C84-$K28</f>
        <v>98</v>
      </c>
      <c r="E84" s="680">
        <f t="shared" si="15"/>
        <v>96</v>
      </c>
      <c r="F84" s="680">
        <f t="shared" si="15"/>
        <v>94</v>
      </c>
      <c r="G84" s="680">
        <f t="shared" si="15"/>
        <v>92</v>
      </c>
      <c r="H84" s="680">
        <f t="shared" si="15"/>
        <v>90</v>
      </c>
      <c r="I84" s="680">
        <f t="shared" si="15"/>
        <v>88</v>
      </c>
      <c r="J84" s="680">
        <f t="shared" si="15"/>
        <v>86</v>
      </c>
      <c r="K84" s="680">
        <f t="shared" si="15"/>
        <v>84</v>
      </c>
      <c r="L84" s="680">
        <f t="shared" si="15"/>
        <v>82</v>
      </c>
      <c r="M84" s="681">
        <f t="shared" si="15"/>
        <v>80</v>
      </c>
      <c r="N84" s="2167"/>
      <c r="O84" s="2167"/>
      <c r="P84" s="2166"/>
      <c r="Q84" s="2159"/>
      <c r="R84" s="2146"/>
      <c r="S84" s="2146"/>
      <c r="T84" s="2146"/>
      <c r="U84" s="2146"/>
      <c r="V84" s="2146"/>
      <c r="W84" s="2146"/>
      <c r="X84" s="2146"/>
      <c r="Y84" s="2146"/>
      <c r="Z84" s="2146"/>
      <c r="AA84" s="2146"/>
      <c r="AB84" s="2146"/>
      <c r="AC84" s="2146"/>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5"/>
      <c r="O85" s="2165"/>
      <c r="P85" s="2166"/>
      <c r="Q85" s="2159"/>
      <c r="R85" s="2146"/>
      <c r="S85" s="2146"/>
      <c r="T85" s="2146"/>
      <c r="U85" s="2146"/>
      <c r="V85" s="2146"/>
      <c r="W85" s="2146"/>
      <c r="X85" s="2146"/>
      <c r="Y85" s="2146"/>
      <c r="Z85" s="2146"/>
      <c r="AA85" s="2146"/>
      <c r="AB85" s="2146"/>
      <c r="AC85" s="2146"/>
    </row>
    <row r="86" spans="1:29">
      <c r="A86" s="736"/>
      <c r="B86" s="682"/>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70"/>
      <c r="B87" s="679"/>
      <c r="C87" s="713">
        <v>100</v>
      </c>
      <c r="D87" s="680">
        <f>C87+$K$29</f>
        <v>101</v>
      </c>
      <c r="E87" s="680">
        <f t="shared" ref="E87:M87" si="16">D87+$K$29</f>
        <v>102</v>
      </c>
      <c r="F87" s="680">
        <f t="shared" si="16"/>
        <v>103</v>
      </c>
      <c r="G87" s="680">
        <f t="shared" si="16"/>
        <v>104</v>
      </c>
      <c r="H87" s="680">
        <f t="shared" si="16"/>
        <v>105</v>
      </c>
      <c r="I87" s="680">
        <f t="shared" si="16"/>
        <v>106</v>
      </c>
      <c r="J87" s="680">
        <f t="shared" si="16"/>
        <v>107</v>
      </c>
      <c r="K87" s="680">
        <f t="shared" si="16"/>
        <v>108</v>
      </c>
      <c r="L87" s="680">
        <f t="shared" si="16"/>
        <v>109</v>
      </c>
      <c r="M87" s="680">
        <f t="shared" si="16"/>
        <v>110</v>
      </c>
      <c r="N87" s="2167"/>
      <c r="O87" s="2167"/>
      <c r="P87" s="2166"/>
      <c r="Q87" s="2159"/>
      <c r="R87" s="2146"/>
      <c r="S87" s="2146"/>
      <c r="T87" s="2146"/>
      <c r="U87" s="2146"/>
      <c r="V87" s="2146"/>
      <c r="W87" s="2146"/>
      <c r="X87" s="2146"/>
      <c r="Y87" s="2146"/>
      <c r="Z87" s="2146"/>
      <c r="AA87" s="2146"/>
      <c r="AB87" s="2146"/>
      <c r="AC87" s="2146"/>
    </row>
    <row r="88" spans="1:29" ht="15" thickTop="1">
      <c r="A88" s="736"/>
      <c r="B88" s="682" t="s">
        <v>818</v>
      </c>
      <c r="C88" s="3163" t="s">
        <v>3215</v>
      </c>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713">
        <v>100</v>
      </c>
      <c r="D89" s="680">
        <f t="shared" ref="D89:M89" si="17">C89+$K30</f>
        <v>103</v>
      </c>
      <c r="E89" s="680">
        <f t="shared" si="17"/>
        <v>106</v>
      </c>
      <c r="F89" s="680">
        <f t="shared" si="17"/>
        <v>109</v>
      </c>
      <c r="G89" s="680">
        <f t="shared" si="17"/>
        <v>112</v>
      </c>
      <c r="H89" s="680">
        <f t="shared" si="17"/>
        <v>115</v>
      </c>
      <c r="I89" s="680">
        <f t="shared" si="17"/>
        <v>118</v>
      </c>
      <c r="J89" s="680">
        <f t="shared" si="17"/>
        <v>121</v>
      </c>
      <c r="K89" s="680">
        <f t="shared" si="17"/>
        <v>124</v>
      </c>
      <c r="L89" s="680">
        <f t="shared" si="17"/>
        <v>127</v>
      </c>
      <c r="M89" s="680">
        <f t="shared" si="17"/>
        <v>130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9"/>
      <c r="B90" s="674" t="s">
        <v>819</v>
      </c>
      <c r="C90" s="709" t="str">
        <f>C91&amp;"(含)"&amp;"-"&amp;D91</f>
        <v>0-30(含)-</v>
      </c>
      <c r="D90" s="709" t="str">
        <f t="shared" ref="D90:L90" si="18">D91&amp;"(含)"&amp;"-"&amp;E91</f>
        <v>(含)-</v>
      </c>
      <c r="E90" s="709" t="str">
        <f t="shared" si="18"/>
        <v>(含)-</v>
      </c>
      <c r="F90" s="709" t="str">
        <f t="shared" si="18"/>
        <v>(含)-</v>
      </c>
      <c r="G90" s="709" t="str">
        <f t="shared" si="18"/>
        <v>(含)-</v>
      </c>
      <c r="H90" s="709" t="str">
        <f t="shared" si="18"/>
        <v>(含)-</v>
      </c>
      <c r="I90" s="709" t="str">
        <f t="shared" si="18"/>
        <v>(含)-</v>
      </c>
      <c r="J90" s="709" t="str">
        <f t="shared" si="18"/>
        <v>(含)-</v>
      </c>
      <c r="K90" s="709" t="str">
        <f t="shared" si="18"/>
        <v>(含)-</v>
      </c>
      <c r="L90" s="709" t="str">
        <f t="shared" si="18"/>
        <v>(含)-</v>
      </c>
      <c r="M90" s="712"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9"/>
      <c r="B91" s="682"/>
      <c r="C91" s="731" t="s">
        <v>3216</v>
      </c>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8"/>
      <c r="B92" s="679"/>
      <c r="C92" s="693">
        <v>100</v>
      </c>
      <c r="D92" s="672"/>
      <c r="E92" s="672"/>
      <c r="F92" s="672"/>
      <c r="G92" s="672"/>
      <c r="H92" s="672"/>
      <c r="I92" s="672"/>
      <c r="J92" s="672"/>
      <c r="K92" s="672"/>
      <c r="L92" s="672"/>
      <c r="M92" s="673"/>
      <c r="N92" s="2168"/>
      <c r="O92" s="2168"/>
      <c r="P92" s="2169"/>
      <c r="Q92" s="2170"/>
      <c r="R92" s="2171"/>
      <c r="S92" s="2171"/>
      <c r="T92" s="2171"/>
      <c r="U92" s="2171"/>
      <c r="V92" s="2171"/>
      <c r="W92" s="2171"/>
      <c r="X92" s="2171"/>
      <c r="Y92" s="2171"/>
      <c r="Z92" s="2171"/>
      <c r="AA92" s="2171"/>
      <c r="AB92" s="2171"/>
      <c r="AC92" s="2171"/>
    </row>
    <row r="93" spans="1:29" ht="15" thickTop="1">
      <c r="A93" s="736"/>
      <c r="B93" s="674" t="s">
        <v>820</v>
      </c>
      <c r="C93" s="3175" t="s">
        <v>3217</v>
      </c>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19">C94-$K32</f>
        <v>97</v>
      </c>
      <c r="E94" s="680">
        <f t="shared" si="19"/>
        <v>94</v>
      </c>
      <c r="F94" s="680">
        <f t="shared" si="19"/>
        <v>91</v>
      </c>
      <c r="G94" s="680">
        <f t="shared" si="19"/>
        <v>88</v>
      </c>
      <c r="H94" s="680">
        <f t="shared" si="19"/>
        <v>85</v>
      </c>
      <c r="I94" s="680">
        <f t="shared" si="19"/>
        <v>82</v>
      </c>
      <c r="J94" s="680">
        <f t="shared" si="19"/>
        <v>79</v>
      </c>
      <c r="K94" s="680">
        <f t="shared" si="19"/>
        <v>76</v>
      </c>
      <c r="L94" s="680">
        <f t="shared" si="19"/>
        <v>73</v>
      </c>
      <c r="M94" s="681">
        <f t="shared" si="19"/>
        <v>70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821</v>
      </c>
      <c r="C95" s="3163" t="s">
        <v>3218</v>
      </c>
      <c r="D95" s="599"/>
      <c r="E95" s="599"/>
      <c r="F95" s="599"/>
      <c r="G95" s="599"/>
      <c r="H95" s="599"/>
      <c r="I95" s="599"/>
      <c r="J95" s="599"/>
      <c r="K95" s="667"/>
      <c r="L95" s="668"/>
      <c r="M95" s="669"/>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C96-$K33</f>
        <v>97</v>
      </c>
      <c r="E96" s="680">
        <f>D96-$K33</f>
        <v>94</v>
      </c>
      <c r="F96" s="680">
        <f>E96-$K33</f>
        <v>91</v>
      </c>
      <c r="G96" s="680">
        <f>F96-$K33</f>
        <v>88</v>
      </c>
      <c r="H96" s="680"/>
      <c r="I96" s="680"/>
      <c r="J96" s="680"/>
      <c r="K96" s="680"/>
      <c r="L96" s="680"/>
      <c r="M96" s="681"/>
      <c r="N96" s="2167"/>
      <c r="O96" s="2167"/>
      <c r="P96" s="2166"/>
      <c r="Q96" s="2159"/>
      <c r="R96" s="2146"/>
      <c r="S96" s="2146"/>
      <c r="T96" s="2146"/>
      <c r="U96" s="2146"/>
      <c r="V96" s="2146"/>
      <c r="W96" s="2146"/>
      <c r="X96" s="2146"/>
      <c r="Y96" s="2146"/>
      <c r="Z96" s="2146"/>
      <c r="AA96" s="2146"/>
      <c r="AB96" s="2146"/>
      <c r="AC96" s="2146"/>
    </row>
    <row r="97" spans="1:29" ht="15" thickTop="1">
      <c r="A97" s="736"/>
      <c r="B97" s="916">
        <f>B34</f>
        <v>111</v>
      </c>
      <c r="C97" s="542"/>
      <c r="D97" s="542"/>
      <c r="E97" s="542"/>
      <c r="F97" s="542"/>
      <c r="G97" s="689"/>
      <c r="H97" s="690"/>
      <c r="I97" s="690"/>
      <c r="J97" s="690"/>
      <c r="K97" s="690"/>
      <c r="L97" s="691"/>
      <c r="M97" s="692"/>
      <c r="N97" s="2167"/>
      <c r="O97" s="2167"/>
      <c r="P97" s="2206"/>
      <c r="Q97" s="2207"/>
      <c r="R97" s="2146"/>
      <c r="S97" s="2146"/>
      <c r="T97" s="2146"/>
      <c r="U97" s="2146"/>
      <c r="V97" s="2146"/>
      <c r="W97" s="2146"/>
      <c r="X97" s="2146"/>
      <c r="Y97" s="2146"/>
      <c r="Z97" s="2146"/>
      <c r="AA97" s="2146"/>
      <c r="AB97" s="2146"/>
      <c r="AC97" s="2146"/>
    </row>
    <row r="98" spans="1:29" ht="15.75" thickBot="1">
      <c r="A98" s="670"/>
      <c r="B98" s="679"/>
      <c r="C98" s="693"/>
      <c r="D98" s="672"/>
      <c r="E98" s="672"/>
      <c r="F98" s="672"/>
      <c r="G98" s="693"/>
      <c r="H98" s="694"/>
      <c r="I98" s="694"/>
      <c r="J98" s="694"/>
      <c r="K98" s="694"/>
      <c r="L98" s="694"/>
      <c r="M98" s="695"/>
      <c r="N98" s="2167"/>
      <c r="O98" s="2167"/>
      <c r="P98" s="2166"/>
      <c r="Q98" s="2159"/>
      <c r="R98" s="2146"/>
      <c r="S98" s="2146"/>
      <c r="T98" s="2146"/>
      <c r="U98" s="2146"/>
      <c r="V98" s="2146"/>
      <c r="W98" s="2146"/>
      <c r="X98" s="2146"/>
      <c r="Y98" s="2146"/>
      <c r="Z98" s="2146"/>
      <c r="AA98" s="2146"/>
      <c r="AB98" s="2146"/>
      <c r="AC98" s="2146"/>
    </row>
    <row r="99" spans="1:29" s="1338" customFormat="1" ht="15" thickTop="1">
      <c r="A99" s="729"/>
      <c r="B99" s="674">
        <f>B35</f>
        <v>111</v>
      </c>
      <c r="C99" s="542"/>
      <c r="D99" s="542"/>
      <c r="E99" s="542"/>
      <c r="F99" s="542"/>
      <c r="G99" s="689"/>
      <c r="H99" s="690"/>
      <c r="I99" s="690"/>
      <c r="J99" s="690"/>
      <c r="K99" s="690"/>
      <c r="L99" s="691"/>
      <c r="M99" s="692"/>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8"/>
      <c r="B100" s="671"/>
      <c r="C100" s="693"/>
      <c r="D100" s="672"/>
      <c r="E100" s="672"/>
      <c r="F100" s="672"/>
      <c r="G100" s="693"/>
      <c r="H100" s="694"/>
      <c r="I100" s="694"/>
      <c r="J100" s="694"/>
      <c r="K100" s="694"/>
      <c r="L100" s="694"/>
      <c r="M100" s="695"/>
      <c r="N100" s="2168"/>
      <c r="O100" s="2168"/>
      <c r="P100" s="2169"/>
      <c r="Q100" s="2170"/>
      <c r="R100" s="2171"/>
      <c r="S100" s="2171"/>
      <c r="T100" s="2171"/>
      <c r="U100" s="2171"/>
      <c r="V100" s="2171"/>
      <c r="W100" s="2171"/>
      <c r="X100" s="2171"/>
      <c r="Y100" s="2171"/>
      <c r="Z100" s="2171"/>
      <c r="AA100" s="2171"/>
      <c r="AB100" s="2171"/>
      <c r="AC100" s="2171"/>
    </row>
    <row r="101" spans="1:29" ht="15" thickTop="1">
      <c r="A101" s="736"/>
      <c r="B101" s="674">
        <f>B36</f>
        <v>111</v>
      </c>
      <c r="C101" s="689"/>
      <c r="D101" s="689"/>
      <c r="E101" s="689"/>
      <c r="F101" s="689"/>
      <c r="G101" s="689"/>
      <c r="H101" s="690"/>
      <c r="I101" s="690"/>
      <c r="J101" s="690"/>
      <c r="K101" s="690"/>
      <c r="L101" s="691"/>
      <c r="M101" s="69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93"/>
      <c r="D102" s="693"/>
      <c r="E102" s="693"/>
      <c r="F102" s="693"/>
      <c r="G102" s="693"/>
      <c r="H102" s="694"/>
      <c r="I102" s="694"/>
      <c r="J102" s="694"/>
      <c r="K102" s="694"/>
      <c r="L102" s="694"/>
      <c r="M102" s="695"/>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922"/>
      <c r="C1" s="506" t="s">
        <v>793</v>
      </c>
      <c r="D1" s="850"/>
      <c r="E1" s="508"/>
      <c r="F1" s="2831"/>
      <c r="G1" s="1601" t="s">
        <v>794</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795</v>
      </c>
      <c r="B2" s="851"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11" t="s">
        <v>796</v>
      </c>
      <c r="B3" s="512" t="e">
        <f>C37</f>
        <v>#DIV/0!</v>
      </c>
      <c r="C3" s="853" t="s">
        <v>797</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0"/>
    </row>
    <row r="4" spans="1:29" ht="15">
      <c r="A4" s="514" t="s">
        <v>798</v>
      </c>
      <c r="B4" s="515"/>
      <c r="C4" s="3265" t="s">
        <v>799</v>
      </c>
      <c r="D4" s="3266"/>
      <c r="E4" s="3267" t="s">
        <v>800</v>
      </c>
      <c r="F4" s="3268"/>
      <c r="G4" s="3265" t="s">
        <v>801</v>
      </c>
      <c r="H4" s="3266"/>
      <c r="I4" s="3265" t="s">
        <v>802</v>
      </c>
      <c r="J4" s="3266"/>
      <c r="K4" s="516" t="s">
        <v>803</v>
      </c>
      <c r="L4" s="2134"/>
      <c r="M4" s="2135"/>
      <c r="N4" s="2135"/>
      <c r="O4" s="2135"/>
      <c r="P4" s="3269" t="s">
        <v>804</v>
      </c>
      <c r="Q4" s="3270"/>
      <c r="R4" s="3255" t="s">
        <v>800</v>
      </c>
      <c r="S4" s="3256"/>
      <c r="T4" s="3255" t="s">
        <v>801</v>
      </c>
      <c r="U4" s="3256"/>
      <c r="V4" s="3254" t="s">
        <v>802</v>
      </c>
      <c r="W4" s="3254"/>
      <c r="X4" s="1567"/>
      <c r="Y4" s="3255" t="s">
        <v>804</v>
      </c>
      <c r="Z4" s="3256"/>
      <c r="AA4" s="3261" t="s">
        <v>800</v>
      </c>
      <c r="AB4" s="3262" t="s">
        <v>801</v>
      </c>
      <c r="AC4" s="3261" t="s">
        <v>802</v>
      </c>
    </row>
    <row r="5" spans="1:29" ht="15">
      <c r="A5" s="517"/>
      <c r="B5" s="518"/>
      <c r="C5" s="3275" t="s">
        <v>2937</v>
      </c>
      <c r="D5" s="3276"/>
      <c r="E5" s="3436" t="s">
        <v>2938</v>
      </c>
      <c r="F5" s="3437"/>
      <c r="G5" s="3275" t="s">
        <v>2939</v>
      </c>
      <c r="H5" s="3276"/>
      <c r="I5" s="3275" t="s">
        <v>2940</v>
      </c>
      <c r="J5" s="3276"/>
      <c r="K5" s="516"/>
      <c r="L5" s="2134"/>
      <c r="M5" s="2135"/>
      <c r="N5" s="2135"/>
      <c r="O5" s="2135"/>
      <c r="P5" s="3271"/>
      <c r="Q5" s="3272"/>
      <c r="R5" s="3257"/>
      <c r="S5" s="3258"/>
      <c r="T5" s="3257"/>
      <c r="U5" s="3258"/>
      <c r="V5" s="3254"/>
      <c r="W5" s="3254"/>
      <c r="X5" s="1567"/>
      <c r="Y5" s="3257"/>
      <c r="Z5" s="3258"/>
      <c r="AA5" s="3262"/>
      <c r="AB5" s="3262"/>
      <c r="AC5" s="3262"/>
    </row>
    <row r="6" spans="1:29" ht="15.75" thickBot="1">
      <c r="A6" s="519"/>
      <c r="B6" s="520"/>
      <c r="C6" s="3281" t="s">
        <v>2941</v>
      </c>
      <c r="D6" s="3282"/>
      <c r="E6" s="3434" t="s">
        <v>2941</v>
      </c>
      <c r="F6" s="3435"/>
      <c r="G6" s="3281" t="s">
        <v>2941</v>
      </c>
      <c r="H6" s="3282"/>
      <c r="I6" s="3281" t="s">
        <v>2941</v>
      </c>
      <c r="J6" s="3282"/>
      <c r="K6" s="516" t="s">
        <v>529</v>
      </c>
      <c r="L6" s="2134"/>
      <c r="M6" s="2135"/>
      <c r="N6" s="2135"/>
      <c r="O6" s="2135"/>
      <c r="P6" s="3273"/>
      <c r="Q6" s="3274"/>
      <c r="R6" s="3257"/>
      <c r="S6" s="3258"/>
      <c r="T6" s="3259"/>
      <c r="U6" s="3260"/>
      <c r="V6" s="3254"/>
      <c r="W6" s="3254"/>
      <c r="X6" s="1567"/>
      <c r="Y6" s="3259"/>
      <c r="Z6" s="3260"/>
      <c r="AA6" s="3263"/>
      <c r="AB6" s="3263"/>
      <c r="AC6" s="3263"/>
    </row>
    <row r="7" spans="1:29" s="1219" customFormat="1" ht="15.75" thickBot="1">
      <c r="A7" s="2936"/>
      <c r="B7" s="2943" t="s">
        <v>530</v>
      </c>
      <c r="C7" s="521">
        <f>'数据-取费表'!B2</f>
        <v>43187</v>
      </c>
      <c r="D7" s="522">
        <v>100</v>
      </c>
      <c r="E7" s="523"/>
      <c r="F7" s="524">
        <f>SUMIF(46:46,YEAR(E7)&amp;"-"&amp;MONTH(E7),47:47)</f>
        <v>0</v>
      </c>
      <c r="G7" s="525"/>
      <c r="H7" s="522">
        <f>SUMIF(46:46,YEAR(G7)&amp;"-"&amp;MONTH(G7),47:47)</f>
        <v>0</v>
      </c>
      <c r="I7" s="525"/>
      <c r="J7" s="522">
        <f>SUMIF(46:46,YEAR(I7)&amp;"-"&amp;MONTH(I7),47:47)</f>
        <v>0</v>
      </c>
      <c r="K7" s="526"/>
      <c r="L7" s="2136"/>
      <c r="M7" s="2137"/>
      <c r="N7" s="2137"/>
      <c r="O7" s="2137"/>
      <c r="P7" s="3251" t="s">
        <v>531</v>
      </c>
      <c r="Q7" s="3264"/>
      <c r="R7" s="1568" t="s">
        <v>8</v>
      </c>
      <c r="S7" s="1569">
        <f t="shared" ref="S7:S14" si="0">F7</f>
        <v>0</v>
      </c>
      <c r="T7" s="1568" t="s">
        <v>8</v>
      </c>
      <c r="U7" s="1569">
        <f t="shared" ref="U7:U14" si="1">H7</f>
        <v>0</v>
      </c>
      <c r="V7" s="1568" t="s">
        <v>8</v>
      </c>
      <c r="W7" s="1569">
        <f t="shared" ref="W7:W14" si="2">J7</f>
        <v>0</v>
      </c>
      <c r="X7" s="1570"/>
      <c r="Y7" s="3251" t="s">
        <v>531</v>
      </c>
      <c r="Z7" s="3252"/>
      <c r="AA7" s="1571" t="e">
        <f>D7/F7</f>
        <v>#DIV/0!</v>
      </c>
      <c r="AB7" s="1571" t="e">
        <f>D7/H7</f>
        <v>#DIV/0!</v>
      </c>
      <c r="AC7" s="1571" t="e">
        <f>D7/J7</f>
        <v>#DIV/0!</v>
      </c>
    </row>
    <row r="8" spans="1:29" s="1219" customFormat="1" ht="15.75" thickBot="1">
      <c r="A8" s="2937"/>
      <c r="B8" s="2944" t="s">
        <v>532</v>
      </c>
      <c r="C8" s="527" t="s">
        <v>577</v>
      </c>
      <c r="D8" s="522">
        <v>100</v>
      </c>
      <c r="E8" s="527"/>
      <c r="F8" s="524">
        <f>SUMIF(49:49,E8,50:50)-SUMIF(49:49,C8,50:50)+100</f>
        <v>0</v>
      </c>
      <c r="G8" s="527"/>
      <c r="H8" s="522">
        <f>SUMIF(49:49,G8,50:50)-SUMIF(49:49,C8,50:50)+100</f>
        <v>0</v>
      </c>
      <c r="I8" s="527"/>
      <c r="J8" s="522">
        <f>SUMIF(49:49,I8,50:50)-SUMIF(49:49,C8,50:50)+100</f>
        <v>0</v>
      </c>
      <c r="K8" s="526"/>
      <c r="L8" s="2136"/>
      <c r="M8" s="2137"/>
      <c r="N8" s="2137"/>
      <c r="O8" s="2137"/>
      <c r="P8" s="3251" t="s">
        <v>534</v>
      </c>
      <c r="Q8" s="3252"/>
      <c r="R8" s="1568" t="s">
        <v>8</v>
      </c>
      <c r="S8" s="1569">
        <f t="shared" si="0"/>
        <v>0</v>
      </c>
      <c r="T8" s="1568" t="s">
        <v>8</v>
      </c>
      <c r="U8" s="1569">
        <f t="shared" si="1"/>
        <v>0</v>
      </c>
      <c r="V8" s="1568" t="s">
        <v>8</v>
      </c>
      <c r="W8" s="1569">
        <f t="shared" si="2"/>
        <v>0</v>
      </c>
      <c r="X8" s="1570"/>
      <c r="Y8" s="3251" t="s">
        <v>534</v>
      </c>
      <c r="Z8" s="3252"/>
      <c r="AA8" s="1571" t="e">
        <f t="shared" ref="AA8:AA34" si="3">D8/F8</f>
        <v>#DIV/0!</v>
      </c>
      <c r="AB8" s="1571" t="e">
        <f t="shared" ref="AB8:AB34" si="4">D8/H8</f>
        <v>#DIV/0!</v>
      </c>
      <c r="AC8" s="1571" t="e">
        <f t="shared" ref="AC8:AC34" si="5">D8/J8</f>
        <v>#DIV/0!</v>
      </c>
    </row>
    <row r="9" spans="1:29" s="1219" customFormat="1" ht="15">
      <c r="A9" s="2938"/>
      <c r="B9" s="2945" t="s">
        <v>2764</v>
      </c>
      <c r="C9" s="858"/>
      <c r="D9" s="253">
        <v>100</v>
      </c>
      <c r="E9" s="861"/>
      <c r="F9" s="253">
        <f>SUMIF(51:51,E9,52:52)-SUMIF(51:51,C9,52:52)+100</f>
        <v>100</v>
      </c>
      <c r="G9" s="861"/>
      <c r="H9" s="253">
        <f>SUMIF(51:51,G9,52:52)-SUMIF(51:51,C9,52:52)+100</f>
        <v>100</v>
      </c>
      <c r="I9" s="861"/>
      <c r="J9" s="253">
        <f>SUMIF(51:51,I9,52:52)-SUMIF(51:51,C9,52:52)+100</f>
        <v>100</v>
      </c>
      <c r="K9" s="526"/>
      <c r="L9" s="2136"/>
      <c r="M9" s="2137"/>
      <c r="N9" s="2137"/>
      <c r="O9" s="2138"/>
      <c r="P9" s="3241" t="s">
        <v>536</v>
      </c>
      <c r="Q9" s="1150" t="str">
        <f t="shared" ref="Q9:Q14" si="6">B9</f>
        <v>用途</v>
      </c>
      <c r="R9" s="1568" t="s">
        <v>8</v>
      </c>
      <c r="S9" s="1569">
        <f t="shared" si="0"/>
        <v>100</v>
      </c>
      <c r="T9" s="1568" t="s">
        <v>8</v>
      </c>
      <c r="U9" s="1569">
        <f t="shared" si="1"/>
        <v>100</v>
      </c>
      <c r="V9" s="1568" t="s">
        <v>8</v>
      </c>
      <c r="W9" s="1569">
        <f t="shared" si="2"/>
        <v>100</v>
      </c>
      <c r="X9" s="1570"/>
      <c r="Y9" s="3253" t="s">
        <v>537</v>
      </c>
      <c r="Z9" s="1149" t="str">
        <f t="shared" ref="Z9:Z14" si="7">Q9</f>
        <v>用途</v>
      </c>
      <c r="AA9" s="1571">
        <f t="shared" si="3"/>
        <v>1</v>
      </c>
      <c r="AB9" s="1571">
        <f t="shared" si="4"/>
        <v>1</v>
      </c>
      <c r="AC9" s="1571">
        <f t="shared" si="5"/>
        <v>1</v>
      </c>
    </row>
    <row r="10" spans="1:29" s="1337" customFormat="1" ht="27">
      <c r="A10" s="2939"/>
      <c r="B10" s="2944" t="s">
        <v>2765</v>
      </c>
      <c r="C10" s="862"/>
      <c r="D10" s="254">
        <v>100</v>
      </c>
      <c r="E10" s="862"/>
      <c r="F10" s="254">
        <f>SUMIF(53:53,E10,54:54)-SUMIF(53:53,C10,54:54)+100</f>
        <v>100</v>
      </c>
      <c r="G10" s="863"/>
      <c r="H10" s="254">
        <f>SUMIF(53:53,G10,54:54)-SUMIF(53:53,C10,54:54)+100</f>
        <v>100</v>
      </c>
      <c r="I10" s="862"/>
      <c r="J10" s="254">
        <f>SUMIF(53:53,I10,54:54)-SUMIF(53:53,C10,54:54)+100</f>
        <v>100</v>
      </c>
      <c r="K10" s="585"/>
      <c r="L10" s="2139"/>
      <c r="M10" s="2179"/>
      <c r="N10" s="2179"/>
      <c r="O10" s="2140"/>
      <c r="P10" s="3241"/>
      <c r="Q10" s="1150" t="str">
        <f t="shared" si="6"/>
        <v>土地使用年限（年）</v>
      </c>
      <c r="R10" s="1568" t="s">
        <v>8</v>
      </c>
      <c r="S10" s="1569">
        <f t="shared" si="0"/>
        <v>100</v>
      </c>
      <c r="T10" s="1568" t="s">
        <v>8</v>
      </c>
      <c r="U10" s="1569">
        <f t="shared" si="1"/>
        <v>100</v>
      </c>
      <c r="V10" s="1568" t="s">
        <v>8</v>
      </c>
      <c r="W10" s="1569">
        <f t="shared" si="2"/>
        <v>100</v>
      </c>
      <c r="X10" s="1570"/>
      <c r="Y10" s="3253"/>
      <c r="Z10" s="1149" t="str">
        <f t="shared" si="7"/>
        <v>土地使用年限（年）</v>
      </c>
      <c r="AA10" s="1571">
        <f t="shared" si="3"/>
        <v>1</v>
      </c>
      <c r="AB10" s="1571">
        <f t="shared" si="4"/>
        <v>1</v>
      </c>
      <c r="AC10" s="1571">
        <f t="shared" si="5"/>
        <v>1</v>
      </c>
    </row>
    <row r="11" spans="1:29" ht="15">
      <c r="A11" s="2941"/>
      <c r="B11" s="2947">
        <v>111</v>
      </c>
      <c r="C11" s="530"/>
      <c r="D11" s="254">
        <v>100</v>
      </c>
      <c r="E11" s="879"/>
      <c r="F11" s="254">
        <f>SUMIF(55:55,E11,56:56)-SUMIF(55:55,C11,56:56)+100</f>
        <v>100</v>
      </c>
      <c r="G11" s="879"/>
      <c r="H11" s="254">
        <f>SUMIF(55:55,G11,56:56)-SUMIF(55:55,C11,56:56)+100</f>
        <v>100</v>
      </c>
      <c r="I11" s="879"/>
      <c r="J11" s="254">
        <f>SUMIF(55:55,I11,56:56)-SUMIF(55:55,C11,56:56)+100</f>
        <v>100</v>
      </c>
      <c r="K11" s="582"/>
      <c r="L11" s="2141"/>
      <c r="M11" s="2135"/>
      <c r="N11" s="2135"/>
      <c r="O11" s="2142"/>
      <c r="P11" s="3241"/>
      <c r="Q11" s="1150">
        <f t="shared" si="6"/>
        <v>111</v>
      </c>
      <c r="R11" s="1568" t="s">
        <v>8</v>
      </c>
      <c r="S11" s="1569">
        <f t="shared" si="0"/>
        <v>100</v>
      </c>
      <c r="T11" s="1568" t="s">
        <v>8</v>
      </c>
      <c r="U11" s="1569">
        <f t="shared" si="1"/>
        <v>100</v>
      </c>
      <c r="V11" s="1568" t="s">
        <v>8</v>
      </c>
      <c r="W11" s="1569">
        <f t="shared" si="2"/>
        <v>100</v>
      </c>
      <c r="X11" s="1570"/>
      <c r="Y11" s="3253"/>
      <c r="Z11" s="1149">
        <f t="shared" si="7"/>
        <v>111</v>
      </c>
      <c r="AA11" s="1571">
        <f t="shared" si="3"/>
        <v>1</v>
      </c>
      <c r="AB11" s="1571">
        <f t="shared" si="4"/>
        <v>1</v>
      </c>
      <c r="AC11" s="1571">
        <f t="shared" si="5"/>
        <v>1</v>
      </c>
    </row>
    <row r="12" spans="1:29" s="1219" customFormat="1" ht="15">
      <c r="A12" s="2941"/>
      <c r="B12" s="2947">
        <v>111</v>
      </c>
      <c r="C12" s="530"/>
      <c r="D12" s="539">
        <v>100</v>
      </c>
      <c r="E12" s="879"/>
      <c r="F12" s="254">
        <f>SUMIF(57:57,E12,58:58)-SUMIF(57:57,C12,58:58)+100</f>
        <v>100</v>
      </c>
      <c r="G12" s="879"/>
      <c r="H12" s="254">
        <f>SUMIF(57:57,G12,58:58)-SUMIF(57:57,C12,58:58)+100</f>
        <v>100</v>
      </c>
      <c r="I12" s="879"/>
      <c r="J12" s="254">
        <f>SUMIF(57:57,I12,58:58)-SUMIF(57:57,C12,58:58)+100</f>
        <v>100</v>
      </c>
      <c r="K12" s="582"/>
      <c r="L12" s="2136"/>
      <c r="M12" s="2137"/>
      <c r="N12" s="2137"/>
      <c r="O12" s="2138"/>
      <c r="P12" s="3241"/>
      <c r="Q12" s="1150">
        <f t="shared" si="6"/>
        <v>111</v>
      </c>
      <c r="R12" s="1568" t="s">
        <v>8</v>
      </c>
      <c r="S12" s="1569">
        <f t="shared" si="0"/>
        <v>100</v>
      </c>
      <c r="T12" s="1568" t="s">
        <v>8</v>
      </c>
      <c r="U12" s="1569">
        <f t="shared" si="1"/>
        <v>100</v>
      </c>
      <c r="V12" s="1568" t="s">
        <v>8</v>
      </c>
      <c r="W12" s="1569">
        <f t="shared" si="2"/>
        <v>100</v>
      </c>
      <c r="X12" s="1570"/>
      <c r="Y12" s="3253"/>
      <c r="Z12" s="1149">
        <f t="shared" si="7"/>
        <v>111</v>
      </c>
      <c r="AA12" s="1571">
        <f>D12/F12</f>
        <v>1</v>
      </c>
      <c r="AB12" s="1571">
        <f>D12/H12</f>
        <v>1</v>
      </c>
      <c r="AC12" s="1571">
        <f>D12/J12</f>
        <v>1</v>
      </c>
    </row>
    <row r="13" spans="1:29" ht="15.75" thickBot="1">
      <c r="A13" s="2942"/>
      <c r="B13" s="2948">
        <v>111</v>
      </c>
      <c r="C13" s="540"/>
      <c r="D13" s="541">
        <v>100</v>
      </c>
      <c r="E13" s="879"/>
      <c r="F13" s="254">
        <f>SUMIF(59:59,E13,60:60)-SUMIF(59:59,C13,60:60)+100</f>
        <v>100</v>
      </c>
      <c r="G13" s="879"/>
      <c r="H13" s="541">
        <f>SUMIF(59:59,G13,60:60)-SUMIF(59:59,C13,60:60)+100</f>
        <v>100</v>
      </c>
      <c r="I13" s="879"/>
      <c r="J13" s="541">
        <f>SUMIF(59:59,I13,60:60)-SUMIF(59:59,C13,60:60)+100</f>
        <v>100</v>
      </c>
      <c r="K13" s="582"/>
      <c r="L13" s="2143"/>
      <c r="M13" s="2135"/>
      <c r="N13" s="2135"/>
      <c r="O13" s="2142"/>
      <c r="P13" s="3241"/>
      <c r="Q13" s="1150">
        <f t="shared" si="6"/>
        <v>111</v>
      </c>
      <c r="R13" s="1568" t="s">
        <v>8</v>
      </c>
      <c r="S13" s="1569">
        <f t="shared" si="0"/>
        <v>100</v>
      </c>
      <c r="T13" s="1568" t="s">
        <v>8</v>
      </c>
      <c r="U13" s="1569">
        <f t="shared" si="1"/>
        <v>100</v>
      </c>
      <c r="V13" s="1568" t="s">
        <v>8</v>
      </c>
      <c r="W13" s="1569">
        <f t="shared" si="2"/>
        <v>100</v>
      </c>
      <c r="X13" s="1570"/>
      <c r="Y13" s="3253"/>
      <c r="Z13" s="1149">
        <f t="shared" si="7"/>
        <v>111</v>
      </c>
      <c r="AA13" s="1571">
        <f t="shared" si="3"/>
        <v>1</v>
      </c>
      <c r="AB13" s="1571">
        <f t="shared" si="4"/>
        <v>1</v>
      </c>
      <c r="AC13" s="1571">
        <f t="shared" si="5"/>
        <v>1</v>
      </c>
    </row>
    <row r="14" spans="1:29" ht="85.5">
      <c r="A14" s="2934" t="s">
        <v>2762</v>
      </c>
      <c r="B14" s="165" t="s">
        <v>544</v>
      </c>
      <c r="C14" s="920"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7"/>
      <c r="L14" s="2143"/>
      <c r="M14" s="2135"/>
      <c r="N14" s="2135"/>
      <c r="O14" s="2142"/>
      <c r="P14" s="3246" t="s">
        <v>541</v>
      </c>
      <c r="Q14" s="1572" t="str">
        <f t="shared" si="6"/>
        <v>交通便捷度</v>
      </c>
      <c r="R14" s="1573" t="s">
        <v>8</v>
      </c>
      <c r="S14" s="1574">
        <f t="shared" si="0"/>
        <v>100</v>
      </c>
      <c r="T14" s="1573" t="s">
        <v>8</v>
      </c>
      <c r="U14" s="1574">
        <f t="shared" si="1"/>
        <v>100</v>
      </c>
      <c r="V14" s="1573" t="s">
        <v>8</v>
      </c>
      <c r="W14" s="1574">
        <f t="shared" si="2"/>
        <v>100</v>
      </c>
      <c r="X14" s="1567"/>
      <c r="Y14" s="3246" t="s">
        <v>541</v>
      </c>
      <c r="Z14" s="1575" t="str">
        <f t="shared" si="7"/>
        <v>交通便捷度</v>
      </c>
      <c r="AA14" s="1576">
        <f t="shared" si="3"/>
        <v>1</v>
      </c>
      <c r="AB14" s="1576">
        <f t="shared" si="4"/>
        <v>1</v>
      </c>
      <c r="AC14" s="1576">
        <f t="shared" si="5"/>
        <v>1</v>
      </c>
    </row>
    <row r="15" spans="1:29" ht="15">
      <c r="A15" s="533"/>
      <c r="B15" s="870"/>
      <c r="C15" s="577"/>
      <c r="D15" s="556"/>
      <c r="E15" s="577"/>
      <c r="F15" s="558"/>
      <c r="G15" s="577"/>
      <c r="H15" s="560"/>
      <c r="I15" s="577"/>
      <c r="J15" s="556"/>
      <c r="K15" s="898"/>
      <c r="L15" s="2143"/>
      <c r="M15" s="2135"/>
      <c r="N15" s="2135"/>
      <c r="O15" s="2142"/>
      <c r="P15" s="3247"/>
      <c r="Q15" s="1572"/>
      <c r="R15" s="1573"/>
      <c r="S15" s="1574"/>
      <c r="T15" s="1573"/>
      <c r="U15" s="1574"/>
      <c r="V15" s="1573"/>
      <c r="W15" s="1574"/>
      <c r="X15" s="1567"/>
      <c r="Y15" s="3247"/>
      <c r="Z15" s="1575"/>
      <c r="AA15" s="1576">
        <v>1</v>
      </c>
      <c r="AB15" s="1576">
        <v>1</v>
      </c>
      <c r="AC15" s="1576">
        <v>1</v>
      </c>
    </row>
    <row r="16" spans="1:29" ht="42.75">
      <c r="A16" s="533"/>
      <c r="B16" s="2625" t="s">
        <v>2552</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7"/>
      <c r="L16" s="2143"/>
      <c r="M16" s="2135"/>
      <c r="N16" s="2135"/>
      <c r="O16" s="2142"/>
      <c r="P16" s="3247"/>
      <c r="Q16" s="1572" t="str">
        <f>B16</f>
        <v>公共配套设施</v>
      </c>
      <c r="R16" s="1573" t="s">
        <v>8</v>
      </c>
      <c r="S16" s="1574">
        <f>F16</f>
        <v>100</v>
      </c>
      <c r="T16" s="1573" t="s">
        <v>8</v>
      </c>
      <c r="U16" s="1574">
        <f>H16</f>
        <v>100</v>
      </c>
      <c r="V16" s="1573" t="s">
        <v>8</v>
      </c>
      <c r="W16" s="1574">
        <f>J16</f>
        <v>100</v>
      </c>
      <c r="X16" s="1567"/>
      <c r="Y16" s="3247"/>
      <c r="Z16" s="1575" t="str">
        <f>Q16</f>
        <v>公共配套设施</v>
      </c>
      <c r="AA16" s="1576">
        <f t="shared" si="3"/>
        <v>1</v>
      </c>
      <c r="AB16" s="1576">
        <f t="shared" si="4"/>
        <v>1</v>
      </c>
      <c r="AC16" s="1576">
        <f t="shared" si="5"/>
        <v>1</v>
      </c>
    </row>
    <row r="17" spans="1:29" ht="15">
      <c r="A17" s="533"/>
      <c r="B17" s="567"/>
      <c r="C17" s="874"/>
      <c r="D17" s="556"/>
      <c r="E17" s="577"/>
      <c r="F17" s="558"/>
      <c r="G17" s="577"/>
      <c r="H17" s="556"/>
      <c r="I17" s="577"/>
      <c r="J17" s="556"/>
      <c r="K17" s="898"/>
      <c r="L17" s="2143"/>
      <c r="M17" s="2135"/>
      <c r="N17" s="2135"/>
      <c r="O17" s="2142"/>
      <c r="P17" s="3247"/>
      <c r="Q17" s="1572"/>
      <c r="R17" s="1573"/>
      <c r="S17" s="1574"/>
      <c r="T17" s="1573"/>
      <c r="U17" s="1574"/>
      <c r="V17" s="1573"/>
      <c r="W17" s="1574"/>
      <c r="X17" s="1567"/>
      <c r="Y17" s="3247"/>
      <c r="Z17" s="1575"/>
      <c r="AA17" s="1576">
        <v>1</v>
      </c>
      <c r="AB17" s="1576">
        <v>1</v>
      </c>
      <c r="AC17" s="1576">
        <v>1</v>
      </c>
    </row>
    <row r="18" spans="1:29" ht="28.5">
      <c r="A18" s="533"/>
      <c r="B18" s="2613" t="s">
        <v>2564</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7"/>
      <c r="L18" s="2143"/>
      <c r="M18" s="2135"/>
      <c r="N18" s="2135"/>
      <c r="O18" s="2142"/>
      <c r="P18" s="3247"/>
      <c r="Q18" s="2601" t="str">
        <f>B18</f>
        <v>基础设施水平</v>
      </c>
      <c r="R18" s="1573" t="s">
        <v>8</v>
      </c>
      <c r="S18" s="1574">
        <f>F18</f>
        <v>100</v>
      </c>
      <c r="T18" s="1573" t="s">
        <v>8</v>
      </c>
      <c r="U18" s="1574">
        <f>H18</f>
        <v>100</v>
      </c>
      <c r="V18" s="1573" t="s">
        <v>8</v>
      </c>
      <c r="W18" s="1574">
        <f>J18</f>
        <v>100</v>
      </c>
      <c r="X18" s="2603"/>
      <c r="Y18" s="3247"/>
      <c r="Z18" s="2602" t="str">
        <f>Q18</f>
        <v>基础设施水平</v>
      </c>
      <c r="AA18" s="1576">
        <f>D18/F18</f>
        <v>1</v>
      </c>
      <c r="AB18" s="1576">
        <f>D18/H18</f>
        <v>1</v>
      </c>
      <c r="AC18" s="1576">
        <f>D18/J18</f>
        <v>1</v>
      </c>
    </row>
    <row r="19" spans="1:29" ht="15">
      <c r="A19" s="533"/>
      <c r="B19" s="579"/>
      <c r="C19" s="874"/>
      <c r="D19" s="560"/>
      <c r="E19" s="874"/>
      <c r="F19" s="564"/>
      <c r="G19" s="874"/>
      <c r="H19" s="556"/>
      <c r="I19" s="577"/>
      <c r="J19" s="556"/>
      <c r="K19" s="2624"/>
      <c r="L19" s="2143"/>
      <c r="M19" s="2135"/>
      <c r="N19" s="2135"/>
      <c r="O19" s="2142"/>
      <c r="P19" s="3247"/>
      <c r="Q19" s="2601"/>
      <c r="R19" s="1573"/>
      <c r="S19" s="1574"/>
      <c r="T19" s="1573"/>
      <c r="U19" s="1574"/>
      <c r="V19" s="1573"/>
      <c r="W19" s="1574"/>
      <c r="X19" s="2603"/>
      <c r="Y19" s="3247"/>
      <c r="Z19" s="2602"/>
      <c r="AA19" s="1576">
        <v>1</v>
      </c>
      <c r="AB19" s="1576">
        <v>1</v>
      </c>
      <c r="AC19" s="1576">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7"/>
      <c r="L20" s="2143"/>
      <c r="M20" s="2135"/>
      <c r="N20" s="2135"/>
      <c r="O20" s="2142"/>
      <c r="P20" s="3247"/>
      <c r="Q20" s="1572" t="str">
        <f>B20</f>
        <v>自然及人文环境</v>
      </c>
      <c r="R20" s="1573" t="s">
        <v>8</v>
      </c>
      <c r="S20" s="1574">
        <f>F20</f>
        <v>100</v>
      </c>
      <c r="T20" s="1573" t="s">
        <v>8</v>
      </c>
      <c r="U20" s="1574">
        <f>H20</f>
        <v>100</v>
      </c>
      <c r="V20" s="1573" t="s">
        <v>8</v>
      </c>
      <c r="W20" s="1574">
        <f>J20</f>
        <v>100</v>
      </c>
      <c r="X20" s="1567"/>
      <c r="Y20" s="3247"/>
      <c r="Z20" s="1575" t="str">
        <f>Q20</f>
        <v>自然及人文环境</v>
      </c>
      <c r="AA20" s="1576">
        <f t="shared" si="3"/>
        <v>1</v>
      </c>
      <c r="AB20" s="1576">
        <f t="shared" si="4"/>
        <v>1</v>
      </c>
      <c r="AC20" s="1576">
        <f t="shared" si="5"/>
        <v>1</v>
      </c>
    </row>
    <row r="21" spans="1:29" ht="15">
      <c r="A21" s="533"/>
      <c r="B21" s="596"/>
      <c r="C21" s="577"/>
      <c r="D21" s="556"/>
      <c r="E21" s="577"/>
      <c r="F21" s="558"/>
      <c r="G21" s="577"/>
      <c r="H21" s="556"/>
      <c r="I21" s="577"/>
      <c r="J21" s="556"/>
      <c r="K21" s="898"/>
      <c r="L21" s="2143"/>
      <c r="M21" s="2135"/>
      <c r="N21" s="2135"/>
      <c r="O21" s="2142"/>
      <c r="P21" s="3247"/>
      <c r="Q21" s="1572"/>
      <c r="R21" s="1573"/>
      <c r="S21" s="1574"/>
      <c r="T21" s="1573"/>
      <c r="U21" s="1574"/>
      <c r="V21" s="1573"/>
      <c r="W21" s="1574"/>
      <c r="X21" s="1567"/>
      <c r="Y21" s="3247"/>
      <c r="Z21" s="1575"/>
      <c r="AA21" s="1576">
        <v>1</v>
      </c>
      <c r="AB21" s="1576">
        <v>1</v>
      </c>
      <c r="AC21" s="1576">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3"/>
      <c r="M22" s="2135"/>
      <c r="N22" s="2135"/>
      <c r="O22" s="2142"/>
      <c r="P22" s="3247"/>
      <c r="Q22" s="1572" t="str">
        <f>B22</f>
        <v>楼层</v>
      </c>
      <c r="R22" s="1573" t="s">
        <v>8</v>
      </c>
      <c r="S22" s="1574">
        <f>F22</f>
        <v>100</v>
      </c>
      <c r="T22" s="1573" t="s">
        <v>8</v>
      </c>
      <c r="U22" s="1574">
        <f>H22</f>
        <v>100</v>
      </c>
      <c r="V22" s="1573" t="s">
        <v>8</v>
      </c>
      <c r="W22" s="1574">
        <f>J22</f>
        <v>100</v>
      </c>
      <c r="X22" s="1567"/>
      <c r="Y22" s="3247"/>
      <c r="Z22" s="1575" t="str">
        <f>Q22</f>
        <v>楼层</v>
      </c>
      <c r="AA22" s="1576">
        <f t="shared" si="3"/>
        <v>1</v>
      </c>
      <c r="AB22" s="1576">
        <f t="shared" si="4"/>
        <v>1</v>
      </c>
      <c r="AC22" s="1576">
        <f t="shared" si="5"/>
        <v>1</v>
      </c>
    </row>
    <row r="23" spans="1:29" ht="15">
      <c r="A23" s="517"/>
      <c r="B23" s="538">
        <v>111</v>
      </c>
      <c r="C23" s="530"/>
      <c r="D23" s="541">
        <v>100</v>
      </c>
      <c r="E23" s="540"/>
      <c r="F23" s="576">
        <f>SUMIF(71:71,E23,72:72)-SUMIF(71:71,C23,72:72)+100</f>
        <v>100</v>
      </c>
      <c r="G23" s="540"/>
      <c r="H23" s="541">
        <f>SUMIF(71:71,G23,72:72)-SUMIF(71:71,C23,72:72)+100</f>
        <v>100</v>
      </c>
      <c r="I23" s="540"/>
      <c r="J23" s="541">
        <f>SUMIF(71:71,I23,72:72)-SUMIF(71:71,C23,72:72)+100</f>
        <v>100</v>
      </c>
      <c r="K23" s="582"/>
      <c r="L23" s="2143"/>
      <c r="M23" s="2135"/>
      <c r="N23" s="2135"/>
      <c r="O23" s="2142"/>
      <c r="P23" s="3247"/>
      <c r="Q23" s="1572">
        <f>B23</f>
        <v>111</v>
      </c>
      <c r="R23" s="1573" t="s">
        <v>8</v>
      </c>
      <c r="S23" s="1574">
        <f>F23</f>
        <v>100</v>
      </c>
      <c r="T23" s="1573" t="s">
        <v>8</v>
      </c>
      <c r="U23" s="1574">
        <f>H23</f>
        <v>100</v>
      </c>
      <c r="V23" s="1573" t="s">
        <v>8</v>
      </c>
      <c r="W23" s="1574">
        <f>J23</f>
        <v>100</v>
      </c>
      <c r="X23" s="1567"/>
      <c r="Y23" s="3247"/>
      <c r="Z23" s="1575">
        <f>Q23</f>
        <v>111</v>
      </c>
      <c r="AA23" s="1576">
        <f t="shared" si="3"/>
        <v>1</v>
      </c>
      <c r="AB23" s="1576">
        <f t="shared" si="4"/>
        <v>1</v>
      </c>
      <c r="AC23" s="1576">
        <f t="shared" si="5"/>
        <v>1</v>
      </c>
    </row>
    <row r="24" spans="1:29" ht="15">
      <c r="A24" s="533"/>
      <c r="B24" s="538">
        <v>111</v>
      </c>
      <c r="C24" s="530"/>
      <c r="D24" s="541">
        <v>100</v>
      </c>
      <c r="E24" s="540"/>
      <c r="F24" s="576">
        <f>SUMIF(73:73,E24,74:74)-SUMIF(73:73,C24,74:74)+100</f>
        <v>100</v>
      </c>
      <c r="G24" s="540"/>
      <c r="H24" s="541">
        <f>SUMIF(73:73,G24,74:74)-SUMIF(73:73,C24,74:74)+100</f>
        <v>100</v>
      </c>
      <c r="I24" s="540"/>
      <c r="J24" s="541">
        <f>SUMIF(73:73,I24,74:74)-SUMIF(73:73,C24,74:74)+100</f>
        <v>100</v>
      </c>
      <c r="K24" s="582"/>
      <c r="L24" s="2143"/>
      <c r="M24" s="2135"/>
      <c r="N24" s="2135"/>
      <c r="O24" s="2142"/>
      <c r="P24" s="3247"/>
      <c r="Q24" s="1572">
        <f t="shared" ref="Q24:Q34" si="8">B24</f>
        <v>111</v>
      </c>
      <c r="R24" s="1573" t="s">
        <v>8</v>
      </c>
      <c r="S24" s="1574">
        <f>F24</f>
        <v>100</v>
      </c>
      <c r="T24" s="1573" t="s">
        <v>8</v>
      </c>
      <c r="U24" s="1574">
        <f>H24</f>
        <v>100</v>
      </c>
      <c r="V24" s="1573" t="s">
        <v>8</v>
      </c>
      <c r="W24" s="1574">
        <f>J24</f>
        <v>100</v>
      </c>
      <c r="X24" s="1567"/>
      <c r="Y24" s="3247"/>
      <c r="Z24" s="1575">
        <f>Q24</f>
        <v>111</v>
      </c>
      <c r="AA24" s="1576">
        <f t="shared" si="3"/>
        <v>1</v>
      </c>
      <c r="AB24" s="1576">
        <f t="shared" si="4"/>
        <v>1</v>
      </c>
      <c r="AC24" s="1576">
        <f t="shared" si="5"/>
        <v>1</v>
      </c>
    </row>
    <row r="25" spans="1:29" s="1219" customFormat="1" ht="15.75" thickBot="1">
      <c r="A25" s="537"/>
      <c r="B25" s="538">
        <v>111</v>
      </c>
      <c r="C25" s="939"/>
      <c r="D25" s="940">
        <v>100</v>
      </c>
      <c r="E25" s="939"/>
      <c r="F25" s="941">
        <f>SUMIF(75:75,E25,76:76)-SUMIF(75:75,C25,76:76)+100</f>
        <v>100</v>
      </c>
      <c r="G25" s="939"/>
      <c r="H25" s="940">
        <f>SUMIF(75:75,G25,76:76)-SUMIF(75:75,C25,76:76)+100</f>
        <v>100</v>
      </c>
      <c r="I25" s="939"/>
      <c r="J25" s="940">
        <f>SUMIF(75:75,I25,76:76)-SUMIF(75:75,C25,76:76)+100</f>
        <v>100</v>
      </c>
      <c r="K25" s="582"/>
      <c r="L25" s="2136"/>
      <c r="M25" s="2137"/>
      <c r="N25" s="2137"/>
      <c r="O25" s="2138"/>
      <c r="P25" s="3247"/>
      <c r="Q25" s="1150">
        <f t="shared" si="8"/>
        <v>111</v>
      </c>
      <c r="R25" s="1568" t="s">
        <v>8</v>
      </c>
      <c r="S25" s="1569">
        <f>F25</f>
        <v>100</v>
      </c>
      <c r="T25" s="1568" t="s">
        <v>8</v>
      </c>
      <c r="U25" s="1569">
        <f>H25</f>
        <v>100</v>
      </c>
      <c r="V25" s="1568" t="s">
        <v>8</v>
      </c>
      <c r="W25" s="1569">
        <f>J25</f>
        <v>100</v>
      </c>
      <c r="X25" s="1570"/>
      <c r="Y25" s="3247"/>
      <c r="Z25" s="1149">
        <f>Q25</f>
        <v>111</v>
      </c>
      <c r="AA25" s="1576">
        <f>D25/F25</f>
        <v>1</v>
      </c>
      <c r="AB25" s="1576">
        <f>D25/H25</f>
        <v>1</v>
      </c>
      <c r="AC25" s="1576">
        <f>D25/J25</f>
        <v>1</v>
      </c>
    </row>
    <row r="26" spans="1:29" ht="15">
      <c r="A26" s="2931" t="s">
        <v>2763</v>
      </c>
      <c r="B26" s="171" t="s">
        <v>809</v>
      </c>
      <c r="C26" s="915"/>
      <c r="D26" s="598">
        <v>100</v>
      </c>
      <c r="E26" s="915"/>
      <c r="F26" s="942">
        <f>SUMIF(77:77,E26,78:78)-SUMIF(77:77,C26,78:78)+100</f>
        <v>100</v>
      </c>
      <c r="G26" s="915"/>
      <c r="H26" s="598">
        <f>SUMIF(77:77,G26,78:78)-SUMIF(77:77,C26,78:78)+100</f>
        <v>100</v>
      </c>
      <c r="I26" s="915"/>
      <c r="J26" s="598">
        <f>SUMIF(77:77,I26,78:78)-SUMIF(77:77,C26,78:78)+100</f>
        <v>100</v>
      </c>
      <c r="K26" s="585"/>
      <c r="L26" s="2143"/>
      <c r="M26" s="2135"/>
      <c r="N26" s="2135"/>
      <c r="O26" s="2142"/>
      <c r="P26" s="3248" t="s">
        <v>822</v>
      </c>
      <c r="Q26" s="1572" t="str">
        <f t="shared" si="8"/>
        <v>公共部分装修</v>
      </c>
      <c r="R26" s="1573" t="s">
        <v>8</v>
      </c>
      <c r="S26" s="1574">
        <f t="shared" ref="S26:S34" si="9">F26</f>
        <v>100</v>
      </c>
      <c r="T26" s="1573" t="s">
        <v>8</v>
      </c>
      <c r="U26" s="1574">
        <f t="shared" ref="U26:U34" si="10">H26</f>
        <v>100</v>
      </c>
      <c r="V26" s="1573" t="s">
        <v>8</v>
      </c>
      <c r="W26" s="1574">
        <f t="shared" ref="W26:W34" si="11">J26</f>
        <v>100</v>
      </c>
      <c r="X26" s="1567"/>
      <c r="Y26" s="3249" t="s">
        <v>822</v>
      </c>
      <c r="Z26" s="1575" t="str">
        <f t="shared" ref="Z26:Z34" si="12">Q26</f>
        <v>公共部分装修</v>
      </c>
      <c r="AA26" s="1576">
        <f t="shared" si="3"/>
        <v>1</v>
      </c>
      <c r="AB26" s="1576">
        <f t="shared" si="4"/>
        <v>1</v>
      </c>
      <c r="AC26" s="1576">
        <f t="shared" si="5"/>
        <v>1</v>
      </c>
    </row>
    <row r="27" spans="1:29" s="1338" customFormat="1" ht="15">
      <c r="A27" s="604"/>
      <c r="B27" s="529" t="s">
        <v>810</v>
      </c>
      <c r="C27" s="882"/>
      <c r="D27" s="254">
        <v>100</v>
      </c>
      <c r="E27" s="883"/>
      <c r="F27" s="576" t="e">
        <f>LOOKUP(E27,80:80,81:81)-LOOKUP(C27,80:80,81:81)+100</f>
        <v>#N/A</v>
      </c>
      <c r="G27" s="884"/>
      <c r="H27" s="541" t="e">
        <f>LOOKUP(G27,80:80,81:81)-LOOKUP(C27,80:80,81:81)+100</f>
        <v>#N/A</v>
      </c>
      <c r="I27" s="884"/>
      <c r="J27" s="541" t="e">
        <f>LOOKUP(I27,80:80,81:81)-LOOKUP(C27,80:80,81:81)+100</f>
        <v>#N/A</v>
      </c>
      <c r="K27" s="585"/>
      <c r="L27" s="2141"/>
      <c r="M27" s="2172"/>
      <c r="N27" s="2172"/>
      <c r="O27" s="2144"/>
      <c r="P27" s="3249"/>
      <c r="Q27" s="1605" t="str">
        <f t="shared" si="8"/>
        <v>成新率</v>
      </c>
      <c r="R27" s="1577" t="s">
        <v>8</v>
      </c>
      <c r="S27" s="1578" t="e">
        <f t="shared" si="9"/>
        <v>#N/A</v>
      </c>
      <c r="T27" s="1577" t="s">
        <v>8</v>
      </c>
      <c r="U27" s="1578" t="e">
        <f t="shared" si="10"/>
        <v>#N/A</v>
      </c>
      <c r="V27" s="1577" t="s">
        <v>8</v>
      </c>
      <c r="W27" s="1578" t="e">
        <f t="shared" si="11"/>
        <v>#N/A</v>
      </c>
      <c r="X27" s="1579"/>
      <c r="Y27" s="3249"/>
      <c r="Z27" s="1580" t="str">
        <f t="shared" si="12"/>
        <v>成新率</v>
      </c>
      <c r="AA27" s="1576" t="e">
        <f t="shared" si="3"/>
        <v>#N/A</v>
      </c>
      <c r="AB27" s="1576" t="e">
        <f t="shared" si="4"/>
        <v>#N/A</v>
      </c>
      <c r="AC27" s="1576" t="e">
        <f t="shared" si="5"/>
        <v>#N/A</v>
      </c>
    </row>
    <row r="28" spans="1:29" ht="15">
      <c r="A28" s="595"/>
      <c r="B28" s="529" t="s">
        <v>811</v>
      </c>
      <c r="C28" s="575"/>
      <c r="D28" s="541">
        <v>100</v>
      </c>
      <c r="E28" s="575"/>
      <c r="F28" s="576">
        <f>SUMIF(82:82,E28,83:83)-SUMIF(82:82,C28,83:83)+100</f>
        <v>100</v>
      </c>
      <c r="G28" s="575"/>
      <c r="H28" s="541">
        <f>SUMIF(82:82,G28,83:83)-SUMIF(82:82,C28,83:83)+100</f>
        <v>100</v>
      </c>
      <c r="I28" s="575"/>
      <c r="J28" s="541">
        <f>SUMIF(82:82,I28,83:83)-SUMIF(82:82,C28,83:83)+100</f>
        <v>100</v>
      </c>
      <c r="K28" s="585"/>
      <c r="L28" s="2143"/>
      <c r="M28" s="2135"/>
      <c r="N28" s="2135"/>
      <c r="O28" s="2142"/>
      <c r="P28" s="3249"/>
      <c r="Q28" s="1572" t="str">
        <f t="shared" si="8"/>
        <v>物业等级</v>
      </c>
      <c r="R28" s="1573" t="s">
        <v>8</v>
      </c>
      <c r="S28" s="1574">
        <f t="shared" si="9"/>
        <v>100</v>
      </c>
      <c r="T28" s="1573" t="s">
        <v>8</v>
      </c>
      <c r="U28" s="1574">
        <f t="shared" si="10"/>
        <v>100</v>
      </c>
      <c r="V28" s="1573" t="s">
        <v>8</v>
      </c>
      <c r="W28" s="1574">
        <f t="shared" si="11"/>
        <v>100</v>
      </c>
      <c r="X28" s="1567"/>
      <c r="Y28" s="3249"/>
      <c r="Z28" s="1575" t="str">
        <f t="shared" si="12"/>
        <v>物业等级</v>
      </c>
      <c r="AA28" s="1576">
        <f t="shared" si="3"/>
        <v>1</v>
      </c>
      <c r="AB28" s="1576">
        <f t="shared" si="4"/>
        <v>1</v>
      </c>
      <c r="AC28" s="1576">
        <f t="shared" si="5"/>
        <v>1</v>
      </c>
    </row>
    <row r="29" spans="1:29" ht="15">
      <c r="A29" s="595"/>
      <c r="B29" s="529" t="s">
        <v>823</v>
      </c>
      <c r="C29" s="931"/>
      <c r="D29" s="541">
        <v>100</v>
      </c>
      <c r="E29" s="931"/>
      <c r="F29" s="576">
        <f>SUMIF(84:84,E29,85:85)-SUMIF(84:84,C29,85:85)+100</f>
        <v>100</v>
      </c>
      <c r="G29" s="931"/>
      <c r="H29" s="541">
        <f>SUMIF(84:84,G29,85:85)-SUMIF(84:84,C29,85:85)+100</f>
        <v>100</v>
      </c>
      <c r="I29" s="931"/>
      <c r="J29" s="541">
        <f>SUMIF(84:84,I29,85:85)-SUMIF(84:84,C29,85:85)+100</f>
        <v>100</v>
      </c>
      <c r="K29" s="585"/>
      <c r="L29" s="2143"/>
      <c r="M29" s="2135"/>
      <c r="N29" s="2135"/>
      <c r="O29" s="2142"/>
      <c r="P29" s="3249"/>
      <c r="Q29" s="1572" t="str">
        <f t="shared" si="8"/>
        <v>有无电梯</v>
      </c>
      <c r="R29" s="1573" t="s">
        <v>8</v>
      </c>
      <c r="S29" s="1574">
        <f t="shared" si="9"/>
        <v>100</v>
      </c>
      <c r="T29" s="1573" t="s">
        <v>8</v>
      </c>
      <c r="U29" s="1574">
        <f t="shared" si="10"/>
        <v>100</v>
      </c>
      <c r="V29" s="1573" t="s">
        <v>8</v>
      </c>
      <c r="W29" s="1574">
        <f t="shared" si="11"/>
        <v>100</v>
      </c>
      <c r="X29" s="1567"/>
      <c r="Y29" s="3249"/>
      <c r="Z29" s="1575" t="str">
        <f t="shared" si="12"/>
        <v>有无电梯</v>
      </c>
      <c r="AA29" s="1576">
        <f t="shared" si="3"/>
        <v>1</v>
      </c>
      <c r="AB29" s="1576">
        <f t="shared" si="4"/>
        <v>1</v>
      </c>
      <c r="AC29" s="1576">
        <f t="shared" si="5"/>
        <v>1</v>
      </c>
    </row>
    <row r="30" spans="1:29" ht="15">
      <c r="A30" s="595"/>
      <c r="B30" s="529" t="s">
        <v>824</v>
      </c>
      <c r="C30" s="879"/>
      <c r="D30" s="541">
        <v>100</v>
      </c>
      <c r="E30" s="879"/>
      <c r="F30" s="576" t="e">
        <f>LOOKUP(E30,87:87,88:88)-LOOKUP(C30,87:87,88:88)+100</f>
        <v>#N/A</v>
      </c>
      <c r="G30" s="879"/>
      <c r="H30" s="541" t="e">
        <f>LOOKUP(G30,87:87,88:88)-LOOKUP(C30,87:87,88:88)+100</f>
        <v>#N/A</v>
      </c>
      <c r="I30" s="879"/>
      <c r="J30" s="541" t="e">
        <f>LOOKUP(I30,87:87,88:88)-LOOKUP(C30,87:87,88:88)+100</f>
        <v>#N/A</v>
      </c>
      <c r="K30" s="582"/>
      <c r="L30" s="2143"/>
      <c r="M30" s="2135"/>
      <c r="N30" s="2135"/>
      <c r="O30" s="2142"/>
      <c r="P30" s="3249"/>
      <c r="Q30" s="1572" t="str">
        <f t="shared" si="8"/>
        <v>建筑面积</v>
      </c>
      <c r="R30" s="1573" t="s">
        <v>8</v>
      </c>
      <c r="S30" s="1574" t="e">
        <f t="shared" si="9"/>
        <v>#N/A</v>
      </c>
      <c r="T30" s="1573" t="s">
        <v>8</v>
      </c>
      <c r="U30" s="1574" t="e">
        <f t="shared" si="10"/>
        <v>#N/A</v>
      </c>
      <c r="V30" s="1573" t="s">
        <v>8</v>
      </c>
      <c r="W30" s="1574" t="e">
        <f t="shared" si="11"/>
        <v>#N/A</v>
      </c>
      <c r="X30" s="1567"/>
      <c r="Y30" s="3249"/>
      <c r="Z30" s="1575" t="str">
        <f t="shared" si="12"/>
        <v>建筑面积</v>
      </c>
      <c r="AA30" s="1576" t="e">
        <f t="shared" si="3"/>
        <v>#N/A</v>
      </c>
      <c r="AB30" s="1576" t="e">
        <f t="shared" si="4"/>
        <v>#N/A</v>
      </c>
      <c r="AC30" s="1576" t="e">
        <f t="shared" si="5"/>
        <v>#N/A</v>
      </c>
    </row>
    <row r="31" spans="1:29" s="1219" customFormat="1" ht="15">
      <c r="A31" s="601"/>
      <c r="B31" s="529" t="s">
        <v>825</v>
      </c>
      <c r="C31" s="931"/>
      <c r="D31" s="254">
        <v>100</v>
      </c>
      <c r="E31" s="931"/>
      <c r="F31" s="576">
        <f>SUMIF(89:89,E31,90:90)-SUMIF(89:89,C31,90:90)+100</f>
        <v>100</v>
      </c>
      <c r="G31" s="931"/>
      <c r="H31" s="541">
        <f>SUMIF(89:89,G31,90:90)-SUMIF(89:89,C31,90:90)+100</f>
        <v>100</v>
      </c>
      <c r="I31" s="931"/>
      <c r="J31" s="541">
        <f>SUMIF(89:89,I31,90:90)-SUMIF(89:89,C31,90:90)+100</f>
        <v>100</v>
      </c>
      <c r="K31" s="585"/>
      <c r="L31" s="2136"/>
      <c r="M31" s="2137"/>
      <c r="N31" s="2137"/>
      <c r="O31" s="2138"/>
      <c r="P31" s="3249"/>
      <c r="Q31" s="1150" t="str">
        <f t="shared" si="8"/>
        <v>是否封闭</v>
      </c>
      <c r="R31" s="1568" t="s">
        <v>8</v>
      </c>
      <c r="S31" s="1569">
        <f t="shared" si="9"/>
        <v>100</v>
      </c>
      <c r="T31" s="1568" t="s">
        <v>8</v>
      </c>
      <c r="U31" s="1569">
        <f t="shared" si="10"/>
        <v>100</v>
      </c>
      <c r="V31" s="1568" t="s">
        <v>8</v>
      </c>
      <c r="W31" s="1569">
        <f t="shared" si="11"/>
        <v>100</v>
      </c>
      <c r="X31" s="1570"/>
      <c r="Y31" s="3249"/>
      <c r="Z31" s="1149" t="str">
        <f t="shared" si="12"/>
        <v>是否封闭</v>
      </c>
      <c r="AA31" s="1571">
        <f t="shared" si="3"/>
        <v>1</v>
      </c>
      <c r="AB31" s="1571">
        <f t="shared" si="4"/>
        <v>1</v>
      </c>
      <c r="AC31" s="1571">
        <f t="shared" si="5"/>
        <v>1</v>
      </c>
    </row>
    <row r="32" spans="1:29" ht="15">
      <c r="A32" s="595"/>
      <c r="B32" s="538">
        <v>111</v>
      </c>
      <c r="C32" s="530"/>
      <c r="D32" s="541">
        <v>100</v>
      </c>
      <c r="E32" s="879"/>
      <c r="F32" s="576">
        <f>SUMIF(91:91,E32,92:92)-SUMIF(91:91,C32,92:92)+100</f>
        <v>100</v>
      </c>
      <c r="G32" s="879"/>
      <c r="H32" s="541">
        <f>SUMIF(91:91,G32,92:92)-SUMIF(91:91,C32,92:92)+100</f>
        <v>100</v>
      </c>
      <c r="I32" s="879"/>
      <c r="J32" s="541">
        <f>SUMIF(91:91,I32,92:92)-SUMIF(91:91,C32,92:92)+100</f>
        <v>100</v>
      </c>
      <c r="K32" s="582"/>
      <c r="L32" s="2143"/>
      <c r="M32" s="2135"/>
      <c r="N32" s="2135"/>
      <c r="O32" s="2142"/>
      <c r="P32" s="3249" t="s">
        <v>551</v>
      </c>
      <c r="Q32" s="1572">
        <f t="shared" si="8"/>
        <v>111</v>
      </c>
      <c r="R32" s="1573" t="s">
        <v>8</v>
      </c>
      <c r="S32" s="1574">
        <f t="shared" si="9"/>
        <v>100</v>
      </c>
      <c r="T32" s="1573" t="s">
        <v>8</v>
      </c>
      <c r="U32" s="1574">
        <f t="shared" si="10"/>
        <v>100</v>
      </c>
      <c r="V32" s="1573" t="s">
        <v>8</v>
      </c>
      <c r="W32" s="1574">
        <f t="shared" si="11"/>
        <v>100</v>
      </c>
      <c r="X32" s="1567"/>
      <c r="Y32" s="3249" t="s">
        <v>551</v>
      </c>
      <c r="Z32" s="1575">
        <f t="shared" si="12"/>
        <v>111</v>
      </c>
      <c r="AA32" s="1576">
        <f t="shared" si="3"/>
        <v>1</v>
      </c>
      <c r="AB32" s="1576">
        <f t="shared" si="4"/>
        <v>1</v>
      </c>
      <c r="AC32" s="1576">
        <f t="shared" si="5"/>
        <v>1</v>
      </c>
    </row>
    <row r="33" spans="1:29" ht="15">
      <c r="A33" s="595"/>
      <c r="B33" s="538">
        <v>111</v>
      </c>
      <c r="C33" s="530"/>
      <c r="D33" s="541">
        <v>100</v>
      </c>
      <c r="E33" s="879"/>
      <c r="F33" s="576">
        <f>SUMIF(93:93,E33,94:94)-SUMIF(93:93,C33,94:94)+100</f>
        <v>100</v>
      </c>
      <c r="G33" s="879"/>
      <c r="H33" s="541">
        <f>SUMIF(93:93,G33,94:94)-SUMIF(93:93,C33,94:94)+100</f>
        <v>100</v>
      </c>
      <c r="I33" s="879"/>
      <c r="J33" s="541">
        <f>SUMIF(93:93,I33,94:94)-SUMIF(93:93,C33,94:94)+100</f>
        <v>100</v>
      </c>
      <c r="K33" s="582"/>
      <c r="L33" s="2143"/>
      <c r="M33" s="2135"/>
      <c r="N33" s="2135"/>
      <c r="O33" s="2142"/>
      <c r="P33" s="3249"/>
      <c r="Q33" s="1572">
        <f t="shared" si="8"/>
        <v>111</v>
      </c>
      <c r="R33" s="1573" t="s">
        <v>8</v>
      </c>
      <c r="S33" s="1574">
        <f t="shared" si="9"/>
        <v>100</v>
      </c>
      <c r="T33" s="1573" t="s">
        <v>8</v>
      </c>
      <c r="U33" s="1574">
        <f t="shared" si="10"/>
        <v>100</v>
      </c>
      <c r="V33" s="1573" t="s">
        <v>8</v>
      </c>
      <c r="W33" s="1574">
        <f t="shared" si="11"/>
        <v>100</v>
      </c>
      <c r="X33" s="1567"/>
      <c r="Y33" s="3249"/>
      <c r="Z33" s="1575">
        <f t="shared" si="12"/>
        <v>111</v>
      </c>
      <c r="AA33" s="1576">
        <f t="shared" si="3"/>
        <v>1</v>
      </c>
      <c r="AB33" s="1576">
        <f t="shared" si="4"/>
        <v>1</v>
      </c>
      <c r="AC33" s="1576">
        <f t="shared" si="5"/>
        <v>1</v>
      </c>
    </row>
    <row r="34" spans="1:29" ht="15.75" thickBot="1">
      <c r="A34" s="885"/>
      <c r="B34" s="545">
        <v>111</v>
      </c>
      <c r="C34" s="546"/>
      <c r="D34" s="547">
        <v>100</v>
      </c>
      <c r="E34" s="943"/>
      <c r="F34" s="867">
        <f>SUMIF(95:95,E34,96:96)-SUMIF(95:95,C34,96:96)+100</f>
        <v>100</v>
      </c>
      <c r="G34" s="943"/>
      <c r="H34" s="547">
        <f>SUMIF(95:95,G34,96:96)-SUMIF(95:95,C34,96:96)+100</f>
        <v>100</v>
      </c>
      <c r="I34" s="943"/>
      <c r="J34" s="547">
        <f>SUMIF(95:95,I34,96:96)-SUMIF(95:95,C34,96:96)+100</f>
        <v>100</v>
      </c>
      <c r="K34" s="582"/>
      <c r="L34" s="2143"/>
      <c r="M34" s="2135"/>
      <c r="N34" s="2135"/>
      <c r="O34" s="2142"/>
      <c r="P34" s="3249"/>
      <c r="Q34" s="1572">
        <f t="shared" si="8"/>
        <v>111</v>
      </c>
      <c r="R34" s="1573" t="s">
        <v>8</v>
      </c>
      <c r="S34" s="1574">
        <f t="shared" si="9"/>
        <v>100</v>
      </c>
      <c r="T34" s="1573" t="s">
        <v>8</v>
      </c>
      <c r="U34" s="1574">
        <f t="shared" si="10"/>
        <v>100</v>
      </c>
      <c r="V34" s="1573" t="s">
        <v>8</v>
      </c>
      <c r="W34" s="1574">
        <f t="shared" si="11"/>
        <v>100</v>
      </c>
      <c r="X34" s="1567"/>
      <c r="Y34" s="3249"/>
      <c r="Z34" s="1575">
        <f t="shared" si="12"/>
        <v>111</v>
      </c>
      <c r="AA34" s="1576">
        <f t="shared" si="3"/>
        <v>1</v>
      </c>
      <c r="AB34" s="1576">
        <f t="shared" si="4"/>
        <v>1</v>
      </c>
      <c r="AC34" s="1576">
        <f t="shared" si="5"/>
        <v>1</v>
      </c>
    </row>
    <row r="35" spans="1:29" ht="15">
      <c r="A35" s="608" t="s">
        <v>737</v>
      </c>
      <c r="B35" s="886"/>
      <c r="C35" s="2649" t="s">
        <v>1</v>
      </c>
      <c r="D35" s="2650"/>
      <c r="E35" s="2651"/>
      <c r="F35" s="2652"/>
      <c r="G35" s="2653"/>
      <c r="H35" s="2654"/>
      <c r="I35" s="2651"/>
      <c r="J35" s="2654"/>
      <c r="K35" s="1611"/>
      <c r="L35" s="2145"/>
      <c r="M35" s="2146"/>
      <c r="N35" s="2135"/>
      <c r="O35" s="2146"/>
      <c r="P35" s="3241" t="str">
        <f>A35</f>
        <v>成交单价（元/平方米）</v>
      </c>
      <c r="Q35" s="3241"/>
      <c r="R35" s="3242">
        <f>E35</f>
        <v>0</v>
      </c>
      <c r="S35" s="3242"/>
      <c r="T35" s="3242">
        <f>G35</f>
        <v>0</v>
      </c>
      <c r="U35" s="3242"/>
      <c r="V35" s="3242">
        <f>I35</f>
        <v>0</v>
      </c>
      <c r="W35" s="3242"/>
      <c r="X35" s="1559"/>
      <c r="Y35" s="1581"/>
      <c r="Z35" s="1559"/>
      <c r="AA35" s="1559"/>
      <c r="AB35" s="1559"/>
      <c r="AC35" s="1559"/>
    </row>
    <row r="36" spans="1:29" ht="15.75" thickBot="1">
      <c r="A36" s="616" t="s">
        <v>2768</v>
      </c>
      <c r="B36" s="887"/>
      <c r="C36" s="2655" t="e">
        <f>R37</f>
        <v>#DIV/0!</v>
      </c>
      <c r="D36" s="2656"/>
      <c r="E36" s="2657" t="e">
        <f>R36</f>
        <v>#DIV/0!</v>
      </c>
      <c r="F36" s="2657"/>
      <c r="G36" s="2655" t="e">
        <f>T36</f>
        <v>#DIV/0!</v>
      </c>
      <c r="H36" s="2656"/>
      <c r="I36" s="2657" t="e">
        <f>V36</f>
        <v>#DIV/0!</v>
      </c>
      <c r="J36" s="2656"/>
      <c r="K36" s="1612"/>
      <c r="L36" s="2145"/>
      <c r="M36" s="2146"/>
      <c r="N36" s="2135"/>
      <c r="O36" s="2146"/>
      <c r="P36" s="3241" t="str">
        <f>A36</f>
        <v>比较价格（元/平方米）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1559"/>
      <c r="Y36" s="1559"/>
      <c r="Z36" s="1559"/>
      <c r="AA36" s="1559"/>
      <c r="AB36" s="1559"/>
      <c r="AC36" s="1559"/>
    </row>
    <row r="37" spans="1:29" ht="15.75" thickBot="1">
      <c r="A37" s="622" t="s">
        <v>2943</v>
      </c>
      <c r="B37" s="623"/>
      <c r="C37" s="2658" t="e">
        <f>R37</f>
        <v>#DIV/0!</v>
      </c>
      <c r="D37" s="2658"/>
      <c r="E37" s="2658"/>
      <c r="F37" s="2658"/>
      <c r="G37" s="2658"/>
      <c r="H37" s="2658"/>
      <c r="I37" s="2658"/>
      <c r="J37" s="2658"/>
      <c r="K37" s="1613"/>
      <c r="L37" s="2145"/>
      <c r="M37" s="2146"/>
      <c r="N37" s="2146"/>
      <c r="O37" s="2146"/>
      <c r="P37" s="3243" t="str">
        <f>A37</f>
        <v>估价对象XX用房的比较价格（楼面单价，元/平方米）</v>
      </c>
      <c r="Q37" s="3244"/>
      <c r="R37" s="3245" t="e">
        <f>IF(F1="售价",ROUND(AVERAGE(R36:V36),0),ROUND(AVERAGE(R36:V36),1))</f>
        <v>#DIV/0!</v>
      </c>
      <c r="S37" s="3245"/>
      <c r="T37" s="3245"/>
      <c r="U37" s="3245"/>
      <c r="V37" s="3245"/>
      <c r="W37" s="324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6" t="s">
        <v>530</v>
      </c>
      <c r="B46" s="647"/>
      <c r="C46" s="2826" t="str">
        <f>YEAR(C7)&amp;"-"&amp;MONTH(C7)</f>
        <v>2018-3</v>
      </c>
      <c r="D46" s="2828">
        <f>EDATE(C46,-1)</f>
        <v>43132</v>
      </c>
      <c r="E46" s="2828">
        <f t="shared" ref="E46:O46" si="13">EDATE(D46,-1)</f>
        <v>43101</v>
      </c>
      <c r="F46" s="2828">
        <f t="shared" si="13"/>
        <v>43070</v>
      </c>
      <c r="G46" s="2828">
        <f t="shared" si="13"/>
        <v>43040</v>
      </c>
      <c r="H46" s="2828">
        <f t="shared" si="13"/>
        <v>43009</v>
      </c>
      <c r="I46" s="2828">
        <f t="shared" si="13"/>
        <v>42979</v>
      </c>
      <c r="J46" s="2828">
        <f t="shared" si="13"/>
        <v>42948</v>
      </c>
      <c r="K46" s="2828">
        <f t="shared" si="13"/>
        <v>42917</v>
      </c>
      <c r="L46" s="2828">
        <f t="shared" si="13"/>
        <v>42887</v>
      </c>
      <c r="M46" s="2828">
        <f t="shared" si="13"/>
        <v>42856</v>
      </c>
      <c r="N46" s="2828">
        <f t="shared" si="13"/>
        <v>42826</v>
      </c>
      <c r="O46" s="2828">
        <f t="shared" si="13"/>
        <v>42795</v>
      </c>
      <c r="P46" s="2161"/>
      <c r="Q46" s="2162"/>
      <c r="R46" s="2162"/>
      <c r="S46" s="2162"/>
      <c r="T46" s="2162"/>
      <c r="U46" s="2162"/>
      <c r="V46" s="2162"/>
      <c r="W46" s="2162"/>
      <c r="X46" s="2162"/>
      <c r="Y46" s="2162"/>
      <c r="Z46" s="2162"/>
      <c r="AA46" s="2162"/>
      <c r="AB46" s="2162"/>
      <c r="AC46" s="2162"/>
    </row>
    <row r="47" spans="1:29" s="1219" customFormat="1" ht="15">
      <c r="A47" s="648"/>
      <c r="B47" s="649"/>
      <c r="C47" s="650">
        <v>100</v>
      </c>
      <c r="D47" s="651"/>
      <c r="E47" s="651"/>
      <c r="F47" s="651"/>
      <c r="G47" s="651"/>
      <c r="H47" s="651"/>
      <c r="I47" s="651"/>
      <c r="J47" s="651"/>
      <c r="K47" s="651"/>
      <c r="L47" s="651"/>
      <c r="M47" s="652"/>
      <c r="N47" s="651"/>
      <c r="O47" s="653"/>
      <c r="P47" s="2159"/>
      <c r="Q47" s="1994"/>
      <c r="R47" s="1994"/>
      <c r="S47" s="1994"/>
      <c r="T47" s="1994"/>
      <c r="U47" s="1994"/>
      <c r="V47" s="1994"/>
      <c r="W47" s="1994"/>
      <c r="X47" s="1994"/>
      <c r="Y47" s="1994"/>
      <c r="Z47" s="1994"/>
      <c r="AA47" s="1994"/>
      <c r="AB47" s="1994"/>
      <c r="AC47" s="1994"/>
    </row>
    <row r="48" spans="1:29" s="1219" customFormat="1" ht="15.75" thickBot="1">
      <c r="A48" s="654" t="s">
        <v>576</v>
      </c>
      <c r="B48" s="655"/>
      <c r="C48" s="656"/>
      <c r="D48" s="657"/>
      <c r="E48" s="657"/>
      <c r="F48" s="657"/>
      <c r="G48" s="657"/>
      <c r="H48" s="657"/>
      <c r="I48" s="657"/>
      <c r="J48" s="657"/>
      <c r="K48" s="657"/>
      <c r="L48" s="657"/>
      <c r="M48" s="658"/>
      <c r="N48" s="657"/>
      <c r="O48" s="659"/>
      <c r="P48" s="2159"/>
      <c r="Q48" s="2159"/>
      <c r="R48" s="1994"/>
      <c r="S48" s="1994"/>
      <c r="T48" s="1994"/>
      <c r="U48" s="1994"/>
      <c r="V48" s="1994"/>
      <c r="W48" s="1994"/>
      <c r="X48" s="1994"/>
      <c r="Y48" s="1994"/>
      <c r="Z48" s="1994"/>
      <c r="AA48" s="1994"/>
      <c r="AB48" s="1994"/>
      <c r="AC48" s="1994"/>
    </row>
    <row r="49" spans="1:29" s="1219" customFormat="1" ht="15">
      <c r="A49" s="660" t="s">
        <v>532</v>
      </c>
      <c r="B49" s="649"/>
      <c r="C49" s="661" t="s">
        <v>577</v>
      </c>
      <c r="D49" s="662"/>
      <c r="E49" s="662"/>
      <c r="F49" s="662"/>
      <c r="G49" s="662"/>
      <c r="H49" s="662"/>
      <c r="I49" s="662"/>
      <c r="J49" s="662"/>
      <c r="K49" s="662"/>
      <c r="L49" s="663"/>
      <c r="M49" s="664"/>
      <c r="N49" s="2163"/>
      <c r="O49" s="2163"/>
      <c r="P49" s="2164"/>
      <c r="Q49" s="2159"/>
      <c r="R49" s="1994"/>
      <c r="S49" s="1994"/>
      <c r="T49" s="1994"/>
      <c r="U49" s="1994"/>
      <c r="V49" s="1994"/>
      <c r="W49" s="1994"/>
      <c r="X49" s="1994"/>
      <c r="Y49" s="1994"/>
      <c r="Z49" s="1994"/>
      <c r="AA49" s="1994"/>
      <c r="AB49" s="1994"/>
      <c r="AC49" s="1994"/>
    </row>
    <row r="50" spans="1:29" s="1219" customFormat="1" ht="15.75" thickBot="1">
      <c r="A50" s="660"/>
      <c r="B50" s="649"/>
      <c r="C50" s="650">
        <v>100</v>
      </c>
      <c r="D50" s="651"/>
      <c r="E50" s="651"/>
      <c r="F50" s="651"/>
      <c r="G50" s="651"/>
      <c r="H50" s="651"/>
      <c r="I50" s="651"/>
      <c r="J50" s="651"/>
      <c r="K50" s="651"/>
      <c r="L50" s="651"/>
      <c r="M50" s="653"/>
      <c r="N50" s="2163"/>
      <c r="O50" s="2163"/>
      <c r="P50" s="2159"/>
      <c r="Q50" s="2159"/>
      <c r="R50" s="1994"/>
      <c r="S50" s="1994"/>
      <c r="T50" s="1994"/>
      <c r="U50" s="1994"/>
      <c r="V50" s="1994"/>
      <c r="W50" s="1994"/>
      <c r="X50" s="1994"/>
      <c r="Y50" s="1994"/>
      <c r="Z50" s="1994"/>
      <c r="AA50" s="1994"/>
      <c r="AB50" s="1994"/>
      <c r="AC50" s="1994"/>
    </row>
    <row r="51" spans="1:29">
      <c r="A51" s="665" t="s">
        <v>578</v>
      </c>
      <c r="B51" s="666" t="s">
        <v>535</v>
      </c>
      <c r="C51" s="705">
        <f>C9</f>
        <v>0</v>
      </c>
      <c r="D51" s="599"/>
      <c r="E51" s="599"/>
      <c r="F51" s="599"/>
      <c r="G51" s="599"/>
      <c r="H51" s="599"/>
      <c r="I51" s="599"/>
      <c r="J51" s="599"/>
      <c r="K51" s="667"/>
      <c r="L51" s="668"/>
      <c r="M51" s="669"/>
      <c r="N51" s="2165"/>
      <c r="O51" s="2165"/>
      <c r="P51" s="2166"/>
      <c r="Q51" s="2159"/>
      <c r="R51" s="2146"/>
      <c r="S51" s="2146"/>
      <c r="T51" s="2146"/>
      <c r="U51" s="2146"/>
      <c r="V51" s="2146"/>
      <c r="W51" s="2146"/>
      <c r="X51" s="2146"/>
      <c r="Y51" s="2146"/>
      <c r="Z51" s="2146"/>
      <c r="AA51" s="2146"/>
      <c r="AB51" s="2146"/>
      <c r="AC51" s="2146"/>
    </row>
    <row r="52" spans="1:29" ht="15.75" thickBot="1">
      <c r="A52" s="670"/>
      <c r="B52" s="671"/>
      <c r="C52" s="672">
        <v>100</v>
      </c>
      <c r="D52" s="672"/>
      <c r="E52" s="672"/>
      <c r="F52" s="672"/>
      <c r="G52" s="672"/>
      <c r="H52" s="672"/>
      <c r="I52" s="672"/>
      <c r="J52" s="672"/>
      <c r="K52" s="672"/>
      <c r="L52" s="672"/>
      <c r="M52" s="673"/>
      <c r="N52" s="2167"/>
      <c r="O52" s="2167"/>
      <c r="P52" s="2166"/>
      <c r="Q52" s="2159"/>
      <c r="R52" s="2146"/>
      <c r="S52" s="2146"/>
      <c r="T52" s="2146"/>
      <c r="U52" s="2146"/>
      <c r="V52" s="2146"/>
      <c r="W52" s="2146"/>
      <c r="X52" s="2146"/>
      <c r="Y52" s="2146"/>
      <c r="Z52" s="2146"/>
      <c r="AA52" s="2146"/>
      <c r="AB52" s="2146"/>
      <c r="AC52" s="2146"/>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5"/>
      <c r="O53" s="2165"/>
      <c r="P53" s="2166"/>
      <c r="Q53" s="2159"/>
      <c r="R53" s="2146"/>
      <c r="S53" s="2146"/>
      <c r="T53" s="2146"/>
      <c r="U53" s="2146"/>
      <c r="V53" s="2146"/>
      <c r="W53" s="2146"/>
      <c r="X53" s="2146"/>
      <c r="Y53" s="2146"/>
      <c r="Z53" s="2146"/>
      <c r="AA53" s="2146"/>
      <c r="AB53" s="2146"/>
      <c r="AC53" s="2146"/>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7"/>
      <c r="O54" s="2167"/>
      <c r="P54" s="2166"/>
      <c r="Q54" s="2159"/>
      <c r="R54" s="2146"/>
      <c r="S54" s="2146"/>
      <c r="T54" s="2146"/>
      <c r="U54" s="2146"/>
      <c r="V54" s="2146"/>
      <c r="W54" s="2146"/>
      <c r="X54" s="2146"/>
      <c r="Y54" s="2146"/>
      <c r="Z54" s="2146"/>
      <c r="AA54" s="2146"/>
      <c r="AB54" s="2146"/>
      <c r="AC54" s="2146"/>
    </row>
    <row r="55" spans="1:29" ht="15.75" thickTop="1">
      <c r="A55" s="670"/>
      <c r="B55" s="934">
        <f>B11</f>
        <v>111</v>
      </c>
      <c r="C55" s="542"/>
      <c r="D55" s="542"/>
      <c r="E55" s="542"/>
      <c r="F55" s="542"/>
      <c r="G55" s="542"/>
      <c r="H55" s="542"/>
      <c r="I55" s="542"/>
      <c r="J55" s="542"/>
      <c r="K55" s="685"/>
      <c r="L55" s="686"/>
      <c r="M55" s="687"/>
      <c r="N55" s="2165"/>
      <c r="O55" s="2165"/>
      <c r="P55" s="2166"/>
      <c r="Q55" s="2159"/>
      <c r="R55" s="2146"/>
      <c r="S55" s="2146"/>
      <c r="T55" s="2146"/>
      <c r="U55" s="2146"/>
      <c r="V55" s="2146"/>
      <c r="W55" s="2146"/>
      <c r="X55" s="2146"/>
      <c r="Y55" s="2146"/>
      <c r="Z55" s="2146"/>
      <c r="AA55" s="2146"/>
      <c r="AB55" s="2146"/>
      <c r="AC55" s="2146"/>
    </row>
    <row r="56" spans="1:29" ht="15.75" thickBot="1">
      <c r="A56" s="670"/>
      <c r="B56" s="671"/>
      <c r="C56" s="693"/>
      <c r="D56" s="672"/>
      <c r="E56" s="672"/>
      <c r="F56" s="672"/>
      <c r="G56" s="672"/>
      <c r="H56" s="672"/>
      <c r="I56" s="672"/>
      <c r="J56" s="672"/>
      <c r="K56" s="672"/>
      <c r="L56" s="672"/>
      <c r="M56" s="673"/>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8"/>
      <c r="B57" s="674">
        <f>B12</f>
        <v>111</v>
      </c>
      <c r="C57" s="542"/>
      <c r="D57" s="542"/>
      <c r="E57" s="542"/>
      <c r="F57" s="542"/>
      <c r="G57" s="689"/>
      <c r="H57" s="690"/>
      <c r="I57" s="690"/>
      <c r="J57" s="690"/>
      <c r="K57" s="690"/>
      <c r="L57" s="691"/>
      <c r="M57" s="692"/>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8"/>
      <c r="B58" s="679"/>
      <c r="C58" s="693"/>
      <c r="D58" s="672"/>
      <c r="E58" s="672"/>
      <c r="F58" s="672"/>
      <c r="G58" s="672"/>
      <c r="H58" s="672"/>
      <c r="I58" s="672"/>
      <c r="J58" s="672"/>
      <c r="K58" s="672"/>
      <c r="L58" s="672"/>
      <c r="M58" s="673"/>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8"/>
      <c r="B59" s="674">
        <f>B13</f>
        <v>111</v>
      </c>
      <c r="C59" s="542"/>
      <c r="D59" s="542"/>
      <c r="E59" s="542"/>
      <c r="F59" s="542"/>
      <c r="G59" s="689"/>
      <c r="H59" s="690"/>
      <c r="I59" s="690"/>
      <c r="J59" s="690"/>
      <c r="K59" s="690"/>
      <c r="L59" s="691"/>
      <c r="M59" s="692"/>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8"/>
      <c r="B60" s="679"/>
      <c r="C60" s="693"/>
      <c r="D60" s="693"/>
      <c r="E60" s="693"/>
      <c r="F60" s="693"/>
      <c r="G60" s="693"/>
      <c r="H60" s="694"/>
      <c r="I60" s="694"/>
      <c r="J60" s="694"/>
      <c r="K60" s="694"/>
      <c r="L60" s="694"/>
      <c r="M60" s="695"/>
      <c r="N60" s="2168"/>
      <c r="O60" s="2168"/>
      <c r="P60" s="2169"/>
      <c r="Q60" s="2170"/>
      <c r="R60" s="2171"/>
      <c r="S60" s="2171"/>
      <c r="T60" s="2171"/>
      <c r="U60" s="2171"/>
      <c r="V60" s="2171"/>
      <c r="W60" s="2171"/>
      <c r="X60" s="2171"/>
      <c r="Y60" s="2171"/>
      <c r="Z60" s="2171"/>
      <c r="AA60" s="2171"/>
      <c r="AB60" s="2171"/>
      <c r="AC60" s="2171"/>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5"/>
      <c r="O61" s="2165"/>
      <c r="P61" s="2175"/>
      <c r="Q61" s="2159"/>
      <c r="R61" s="2146"/>
      <c r="S61" s="2146"/>
      <c r="T61" s="2146"/>
      <c r="U61" s="2146"/>
      <c r="V61" s="2146"/>
      <c r="W61" s="2146"/>
      <c r="X61" s="2146"/>
      <c r="Y61" s="2146"/>
      <c r="Z61" s="2146"/>
      <c r="AA61" s="2146"/>
      <c r="AB61" s="2146"/>
      <c r="AC61" s="2146"/>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7"/>
      <c r="O62" s="2167"/>
      <c r="P62" s="2166"/>
      <c r="Q62" s="2159"/>
      <c r="R62" s="2146"/>
      <c r="S62" s="2146"/>
      <c r="T62" s="2146"/>
      <c r="U62" s="2146"/>
      <c r="V62" s="2146"/>
      <c r="W62" s="2146"/>
      <c r="X62" s="2146"/>
      <c r="Y62" s="2146"/>
      <c r="Z62" s="2146"/>
      <c r="AA62" s="2146"/>
      <c r="AB62" s="2146"/>
      <c r="AC62" s="2146"/>
    </row>
    <row r="63" spans="1:29" ht="15.75" thickTop="1">
      <c r="A63" s="670"/>
      <c r="B63" s="1897" t="s">
        <v>2563</v>
      </c>
      <c r="C63" s="709" t="s">
        <v>580</v>
      </c>
      <c r="D63" s="709" t="s">
        <v>581</v>
      </c>
      <c r="E63" s="709" t="s">
        <v>582</v>
      </c>
      <c r="F63" s="709" t="s">
        <v>583</v>
      </c>
      <c r="G63" s="709" t="s">
        <v>584</v>
      </c>
      <c r="H63" s="675"/>
      <c r="I63" s="675"/>
      <c r="J63" s="675"/>
      <c r="K63" s="676"/>
      <c r="L63" s="677"/>
      <c r="M63" s="678"/>
      <c r="N63" s="2165"/>
      <c r="O63" s="2165"/>
      <c r="P63" s="2166"/>
      <c r="Q63" s="2159"/>
      <c r="R63" s="2146"/>
      <c r="S63" s="2146"/>
      <c r="T63" s="2146"/>
      <c r="U63" s="2146"/>
      <c r="V63" s="2146"/>
      <c r="W63" s="2146"/>
      <c r="X63" s="2146"/>
      <c r="Y63" s="2146"/>
      <c r="Z63" s="2146"/>
      <c r="AA63" s="2146"/>
      <c r="AB63" s="2146"/>
      <c r="AC63" s="2146"/>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2619" t="s">
        <v>2564</v>
      </c>
      <c r="C65" s="2620" t="s">
        <v>2565</v>
      </c>
      <c r="D65" s="2620" t="s">
        <v>2566</v>
      </c>
      <c r="E65" s="2620" t="s">
        <v>2567</v>
      </c>
      <c r="F65" s="2620" t="s">
        <v>2568</v>
      </c>
      <c r="G65" s="2620" t="s">
        <v>2569</v>
      </c>
      <c r="H65" s="675"/>
      <c r="I65" s="675"/>
      <c r="J65" s="675"/>
      <c r="K65" s="675"/>
      <c r="L65" s="675"/>
      <c r="M65" s="2623"/>
      <c r="N65" s="2167"/>
      <c r="O65" s="2167"/>
      <c r="P65" s="2166"/>
      <c r="Q65" s="2159"/>
      <c r="R65" s="2146"/>
      <c r="S65" s="2146"/>
      <c r="T65" s="2146"/>
      <c r="U65" s="2146"/>
      <c r="V65" s="2146"/>
      <c r="W65" s="2146"/>
      <c r="X65" s="2146"/>
      <c r="Y65" s="2146"/>
      <c r="Z65" s="2146"/>
      <c r="AA65" s="2146"/>
      <c r="AB65" s="2146"/>
      <c r="AC65" s="2146"/>
    </row>
    <row r="66" spans="1:29" ht="15.75" thickBot="1">
      <c r="A66" s="670"/>
      <c r="B66" s="682"/>
      <c r="C66" s="680">
        <v>100</v>
      </c>
      <c r="D66" s="680">
        <f>C66-$K18</f>
        <v>100</v>
      </c>
      <c r="E66" s="680">
        <f>D66-$K18</f>
        <v>100</v>
      </c>
      <c r="F66" s="680">
        <f>E66-$K18</f>
        <v>100</v>
      </c>
      <c r="G66" s="680">
        <f>F66-$K18</f>
        <v>100</v>
      </c>
      <c r="H66" s="934"/>
      <c r="I66" s="934"/>
      <c r="J66" s="934"/>
      <c r="K66" s="934"/>
      <c r="L66" s="934"/>
      <c r="M66" s="560"/>
      <c r="N66" s="2167"/>
      <c r="O66" s="2167"/>
      <c r="P66" s="2166"/>
      <c r="Q66" s="2159"/>
      <c r="R66" s="2146"/>
      <c r="S66" s="2146"/>
      <c r="T66" s="2146"/>
      <c r="U66" s="2146"/>
      <c r="V66" s="2146"/>
      <c r="W66" s="2146"/>
      <c r="X66" s="2146"/>
      <c r="Y66" s="2146"/>
      <c r="Z66" s="2146"/>
      <c r="AA66" s="2146"/>
      <c r="AB66" s="2146"/>
      <c r="AC66" s="2146"/>
    </row>
    <row r="67" spans="1:29" ht="15.75" thickTop="1">
      <c r="A67" s="670"/>
      <c r="B67" s="674" t="s">
        <v>745</v>
      </c>
      <c r="C67" s="709" t="s">
        <v>580</v>
      </c>
      <c r="D67" s="709" t="s">
        <v>581</v>
      </c>
      <c r="E67" s="709" t="s">
        <v>582</v>
      </c>
      <c r="F67" s="709" t="s">
        <v>583</v>
      </c>
      <c r="G67" s="709" t="s">
        <v>584</v>
      </c>
      <c r="H67" s="675"/>
      <c r="I67" s="675"/>
      <c r="J67" s="675"/>
      <c r="K67" s="676"/>
      <c r="L67" s="677"/>
      <c r="M67" s="678"/>
      <c r="N67" s="2165"/>
      <c r="O67" s="2165"/>
      <c r="P67" s="2166"/>
      <c r="Q67" s="2159"/>
      <c r="R67" s="2146"/>
      <c r="S67" s="2146"/>
      <c r="T67" s="2146"/>
      <c r="U67" s="2146"/>
      <c r="V67" s="2146"/>
      <c r="W67" s="2146"/>
      <c r="X67" s="2146"/>
      <c r="Y67" s="2146"/>
      <c r="Z67" s="2146"/>
      <c r="AA67" s="2146"/>
      <c r="AB67" s="2146"/>
      <c r="AC67" s="2146"/>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746</v>
      </c>
      <c r="C69" s="689"/>
      <c r="D69" s="689"/>
      <c r="E69" s="689"/>
      <c r="F69" s="689"/>
      <c r="G69" s="689"/>
      <c r="H69" s="719"/>
      <c r="I69" s="719"/>
      <c r="J69" s="719"/>
      <c r="K69" s="720"/>
      <c r="L69" s="721"/>
      <c r="M69" s="722"/>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C70-$K22</f>
        <v>100</v>
      </c>
      <c r="E70" s="680"/>
      <c r="F70" s="680"/>
      <c r="G70" s="680"/>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s="1219" customFormat="1" ht="15.75" thickTop="1">
      <c r="A71" s="710"/>
      <c r="B71" s="674">
        <f>B23</f>
        <v>111</v>
      </c>
      <c r="C71" s="542"/>
      <c r="D71" s="542"/>
      <c r="E71" s="542"/>
      <c r="F71" s="542"/>
      <c r="G71" s="689"/>
      <c r="H71" s="689"/>
      <c r="I71" s="689"/>
      <c r="J71" s="689"/>
      <c r="K71" s="689"/>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10"/>
      <c r="B72" s="679"/>
      <c r="C72" s="693"/>
      <c r="D72" s="672"/>
      <c r="E72" s="672"/>
      <c r="F72" s="672"/>
      <c r="G72" s="672"/>
      <c r="H72" s="672"/>
      <c r="I72" s="672"/>
      <c r="J72" s="672"/>
      <c r="K72" s="672"/>
      <c r="L72" s="672"/>
      <c r="M72" s="673"/>
      <c r="N72" s="2167"/>
      <c r="O72" s="2167"/>
      <c r="P72" s="2166"/>
      <c r="Q72" s="2159"/>
      <c r="R72" s="1994"/>
      <c r="S72" s="1994"/>
      <c r="T72" s="1994"/>
      <c r="U72" s="1994"/>
      <c r="V72" s="1994"/>
      <c r="W72" s="1994"/>
      <c r="X72" s="1994"/>
      <c r="Y72" s="1994"/>
      <c r="Z72" s="1994"/>
      <c r="AA72" s="1994"/>
      <c r="AB72" s="1994"/>
      <c r="AC72" s="1994"/>
    </row>
    <row r="73" spans="1:29" s="1219" customFormat="1" ht="15.75" thickTop="1">
      <c r="A73" s="710"/>
      <c r="B73" s="674">
        <f>B24</f>
        <v>111</v>
      </c>
      <c r="C73" s="542"/>
      <c r="D73" s="542"/>
      <c r="E73" s="542"/>
      <c r="F73" s="542"/>
      <c r="G73" s="689"/>
      <c r="H73" s="689"/>
      <c r="I73" s="689"/>
      <c r="J73" s="689"/>
      <c r="K73" s="689"/>
      <c r="L73" s="6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8"/>
      <c r="B75" s="674">
        <f>B25</f>
        <v>111</v>
      </c>
      <c r="C75" s="542"/>
      <c r="D75" s="542"/>
      <c r="E75" s="542"/>
      <c r="F75" s="542"/>
      <c r="G75" s="689"/>
      <c r="H75" s="690"/>
      <c r="I75" s="690"/>
      <c r="J75" s="690"/>
      <c r="K75" s="690"/>
      <c r="L75" s="691"/>
      <c r="M75" s="692"/>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8"/>
      <c r="B76" s="679"/>
      <c r="C76" s="693"/>
      <c r="D76" s="693"/>
      <c r="E76" s="693"/>
      <c r="F76" s="693"/>
      <c r="G76" s="672"/>
      <c r="H76" s="672"/>
      <c r="I76" s="672"/>
      <c r="J76" s="672"/>
      <c r="K76" s="672"/>
      <c r="L76" s="672"/>
      <c r="M76" s="673"/>
      <c r="N76" s="2168"/>
      <c r="O76" s="2168"/>
      <c r="P76" s="2169"/>
      <c r="Q76" s="2170"/>
      <c r="R76" s="2171"/>
      <c r="S76" s="2171"/>
      <c r="T76" s="2171"/>
      <c r="U76" s="2171"/>
      <c r="V76" s="2171"/>
      <c r="W76" s="2171"/>
      <c r="X76" s="2171"/>
      <c r="Y76" s="2171"/>
      <c r="Z76" s="2171"/>
      <c r="AA76" s="2171"/>
      <c r="AB76" s="2171"/>
      <c r="AC76" s="2171"/>
    </row>
    <row r="77" spans="1:29" ht="15" thickTop="1">
      <c r="A77" s="665" t="s">
        <v>552</v>
      </c>
      <c r="B77" s="666" t="s">
        <v>752</v>
      </c>
      <c r="C77" s="689"/>
      <c r="D77" s="68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9"/>
      <c r="C78" s="680">
        <v>100</v>
      </c>
      <c r="D78" s="680">
        <f t="shared" ref="D78:M78" si="14">C78-$K26</f>
        <v>100</v>
      </c>
      <c r="E78" s="680">
        <f t="shared" si="14"/>
        <v>100</v>
      </c>
      <c r="F78" s="680">
        <f t="shared" si="14"/>
        <v>100</v>
      </c>
      <c r="G78" s="680">
        <f t="shared" si="14"/>
        <v>100</v>
      </c>
      <c r="H78" s="680">
        <f t="shared" si="14"/>
        <v>100</v>
      </c>
      <c r="I78" s="680">
        <f t="shared" si="14"/>
        <v>100</v>
      </c>
      <c r="J78" s="680">
        <f t="shared" si="14"/>
        <v>100</v>
      </c>
      <c r="K78" s="680">
        <f t="shared" si="14"/>
        <v>100</v>
      </c>
      <c r="L78" s="680">
        <f t="shared" si="14"/>
        <v>100</v>
      </c>
      <c r="M78" s="681">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3"/>
      <c r="O79" s="2163"/>
      <c r="P79" s="2166"/>
      <c r="Q79" s="2159"/>
      <c r="R79" s="2146"/>
      <c r="S79" s="2146"/>
      <c r="T79" s="2146"/>
      <c r="U79" s="2146"/>
      <c r="V79" s="2146"/>
      <c r="W79" s="2146"/>
      <c r="X79" s="2146"/>
      <c r="Y79" s="2146"/>
      <c r="Z79" s="2146"/>
      <c r="AA79" s="2146"/>
      <c r="AB79" s="2146"/>
      <c r="AC79" s="2146"/>
    </row>
    <row r="80" spans="1:29" ht="15">
      <c r="A80" s="670"/>
      <c r="B80" s="682"/>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8"/>
      <c r="B81" s="679"/>
      <c r="C81" s="713">
        <v>100</v>
      </c>
      <c r="D81" s="680">
        <f t="shared" ref="D81:M81" si="15">C81+$K27</f>
        <v>100</v>
      </c>
      <c r="E81" s="680">
        <f t="shared" si="15"/>
        <v>100</v>
      </c>
      <c r="F81" s="680">
        <f t="shared" si="15"/>
        <v>100</v>
      </c>
      <c r="G81" s="680">
        <f t="shared" si="15"/>
        <v>100</v>
      </c>
      <c r="H81" s="680">
        <f t="shared" si="15"/>
        <v>100</v>
      </c>
      <c r="I81" s="680">
        <f t="shared" si="15"/>
        <v>100</v>
      </c>
      <c r="J81" s="680">
        <f t="shared" si="15"/>
        <v>100</v>
      </c>
      <c r="K81" s="680">
        <f t="shared" si="15"/>
        <v>100</v>
      </c>
      <c r="L81" s="680">
        <f t="shared" si="15"/>
        <v>100</v>
      </c>
      <c r="M81" s="680">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6"/>
      <c r="B82" s="682" t="s">
        <v>818</v>
      </c>
      <c r="C82" s="689"/>
      <c r="D82" s="689"/>
      <c r="E82" s="719"/>
      <c r="F82" s="719"/>
      <c r="G82" s="719"/>
      <c r="H82" s="719"/>
      <c r="I82" s="719"/>
      <c r="J82" s="719"/>
      <c r="K82" s="720"/>
      <c r="L82" s="721"/>
      <c r="M82" s="722"/>
      <c r="N82" s="2165"/>
      <c r="O82" s="2165"/>
      <c r="P82" s="2166"/>
      <c r="Q82" s="2159"/>
      <c r="R82" s="2146"/>
      <c r="S82" s="2146"/>
      <c r="T82" s="2146"/>
      <c r="U82" s="2146"/>
      <c r="V82" s="2146"/>
      <c r="W82" s="2146"/>
      <c r="X82" s="2146"/>
      <c r="Y82" s="2146"/>
      <c r="Z82" s="2146"/>
      <c r="AA82" s="2146"/>
      <c r="AB82" s="2146"/>
      <c r="AC82" s="2146"/>
    </row>
    <row r="83" spans="1:29" ht="15.75" thickBot="1">
      <c r="A83" s="670"/>
      <c r="B83" s="679"/>
      <c r="C83" s="680">
        <v>100</v>
      </c>
      <c r="D83" s="680">
        <f t="shared" ref="D83:M83" si="16">C83-$K28</f>
        <v>100</v>
      </c>
      <c r="E83" s="680">
        <f t="shared" si="16"/>
        <v>100</v>
      </c>
      <c r="F83" s="680">
        <f t="shared" si="16"/>
        <v>100</v>
      </c>
      <c r="G83" s="680">
        <f t="shared" si="16"/>
        <v>100</v>
      </c>
      <c r="H83" s="680">
        <f t="shared" si="16"/>
        <v>100</v>
      </c>
      <c r="I83" s="680">
        <f t="shared" si="16"/>
        <v>100</v>
      </c>
      <c r="J83" s="680">
        <f t="shared" si="16"/>
        <v>100</v>
      </c>
      <c r="K83" s="680">
        <f t="shared" si="16"/>
        <v>100</v>
      </c>
      <c r="L83" s="680">
        <f t="shared" si="16"/>
        <v>100</v>
      </c>
      <c r="M83" s="681">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6"/>
      <c r="B84" s="674" t="s">
        <v>826</v>
      </c>
      <c r="C84" s="689"/>
      <c r="D84" s="689"/>
      <c r="E84" s="689"/>
      <c r="F84" s="689"/>
      <c r="G84" s="689"/>
      <c r="H84" s="689"/>
      <c r="I84" s="719"/>
      <c r="J84" s="719"/>
      <c r="K84" s="720"/>
      <c r="L84" s="721"/>
      <c r="M84" s="722"/>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713">
        <v>100</v>
      </c>
      <c r="D85" s="680">
        <f t="shared" ref="D85:M85" si="17">C85+$K29</f>
        <v>100</v>
      </c>
      <c r="E85" s="680">
        <f t="shared" si="17"/>
        <v>100</v>
      </c>
      <c r="F85" s="680">
        <f t="shared" si="17"/>
        <v>100</v>
      </c>
      <c r="G85" s="680">
        <f t="shared" si="17"/>
        <v>100</v>
      </c>
      <c r="H85" s="680">
        <f t="shared" si="17"/>
        <v>100</v>
      </c>
      <c r="I85" s="680">
        <f t="shared" si="17"/>
        <v>100</v>
      </c>
      <c r="J85" s="680">
        <f t="shared" si="17"/>
        <v>100</v>
      </c>
      <c r="K85" s="680">
        <f t="shared" si="17"/>
        <v>100</v>
      </c>
      <c r="L85" s="680">
        <f t="shared" si="17"/>
        <v>100</v>
      </c>
      <c r="M85" s="680">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6"/>
      <c r="B86" s="682" t="s">
        <v>827</v>
      </c>
      <c r="C86" s="709" t="str">
        <f t="shared" ref="C86:L86" si="18">C87&amp;"(含)"&amp;"-"&amp;D87</f>
        <v>(含)-</v>
      </c>
      <c r="D86" s="709" t="str">
        <f t="shared" si="18"/>
        <v>(含)-</v>
      </c>
      <c r="E86" s="709" t="str">
        <f t="shared" si="18"/>
        <v>(含)-</v>
      </c>
      <c r="F86" s="709" t="str">
        <f t="shared" si="18"/>
        <v>(含)-</v>
      </c>
      <c r="G86" s="709" t="str">
        <f t="shared" si="18"/>
        <v>(含)-</v>
      </c>
      <c r="H86" s="709" t="str">
        <f t="shared" si="18"/>
        <v>(含)-</v>
      </c>
      <c r="I86" s="709" t="str">
        <f t="shared" si="18"/>
        <v>(含)-</v>
      </c>
      <c r="J86" s="709" t="str">
        <f t="shared" si="18"/>
        <v>(含)-</v>
      </c>
      <c r="K86" s="709" t="str">
        <f t="shared" si="18"/>
        <v>(含)-</v>
      </c>
      <c r="L86" s="709" t="str">
        <f t="shared" si="18"/>
        <v>(含)-</v>
      </c>
      <c r="M86" s="712" t="str">
        <f>M87&amp;"(含)"&amp;"-"&amp;P87</f>
        <v>(含)-</v>
      </c>
      <c r="N86" s="2165"/>
      <c r="O86" s="2165"/>
      <c r="P86" s="2166"/>
      <c r="Q86" s="2159"/>
      <c r="R86" s="2146"/>
      <c r="S86" s="2146"/>
      <c r="T86" s="2146"/>
      <c r="U86" s="2146"/>
      <c r="V86" s="2146"/>
      <c r="W86" s="2146"/>
      <c r="X86" s="2146"/>
      <c r="Y86" s="2146"/>
      <c r="Z86" s="2146"/>
      <c r="AA86" s="2146"/>
      <c r="AB86" s="2146"/>
      <c r="AC86" s="2146"/>
    </row>
    <row r="87" spans="1:29">
      <c r="A87" s="736"/>
      <c r="B87" s="682"/>
      <c r="C87" s="731"/>
      <c r="D87" s="731"/>
      <c r="E87" s="731"/>
      <c r="F87" s="731"/>
      <c r="G87" s="731"/>
      <c r="H87" s="731"/>
      <c r="I87" s="731"/>
      <c r="J87" s="732"/>
      <c r="K87" s="732"/>
      <c r="L87" s="733"/>
      <c r="M87" s="734"/>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93"/>
      <c r="D88" s="672"/>
      <c r="E88" s="672"/>
      <c r="F88" s="672"/>
      <c r="G88" s="672"/>
      <c r="H88" s="672"/>
      <c r="I88" s="672"/>
      <c r="J88" s="672"/>
      <c r="K88" s="672"/>
      <c r="L88" s="672"/>
      <c r="M88" s="672"/>
      <c r="N88" s="2167"/>
      <c r="O88" s="2167"/>
      <c r="P88" s="2166"/>
      <c r="Q88" s="2159"/>
      <c r="R88" s="2146"/>
      <c r="S88" s="2146"/>
      <c r="T88" s="2146"/>
      <c r="U88" s="2146"/>
      <c r="V88" s="2146"/>
      <c r="W88" s="2146"/>
      <c r="X88" s="2146"/>
      <c r="Y88" s="2146"/>
      <c r="Z88" s="2146"/>
      <c r="AA88" s="2146"/>
      <c r="AB88" s="2146"/>
      <c r="AC88" s="2146"/>
    </row>
    <row r="89" spans="1:29" s="1338" customFormat="1" ht="15" thickTop="1">
      <c r="A89" s="729"/>
      <c r="B89" s="674" t="s">
        <v>828</v>
      </c>
      <c r="C89" s="689"/>
      <c r="D89" s="689"/>
      <c r="E89" s="689"/>
      <c r="F89" s="689"/>
      <c r="G89" s="689"/>
      <c r="H89" s="689"/>
      <c r="I89" s="689"/>
      <c r="J89" s="689"/>
      <c r="K89" s="689"/>
      <c r="L89" s="689"/>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8"/>
      <c r="B90" s="679"/>
      <c r="C90" s="693"/>
      <c r="D90" s="672"/>
      <c r="E90" s="672"/>
      <c r="F90" s="672"/>
      <c r="G90" s="672"/>
      <c r="H90" s="672"/>
      <c r="I90" s="672"/>
      <c r="J90" s="672"/>
      <c r="K90" s="672"/>
      <c r="L90" s="672"/>
      <c r="M90" s="673"/>
      <c r="N90" s="2168"/>
      <c r="O90" s="2168"/>
      <c r="P90" s="2169"/>
      <c r="Q90" s="2170"/>
      <c r="R90" s="2171"/>
      <c r="S90" s="2171"/>
      <c r="T90" s="2171"/>
      <c r="U90" s="2171"/>
      <c r="V90" s="2171"/>
      <c r="W90" s="2171"/>
      <c r="X90" s="2171"/>
      <c r="Y90" s="2171"/>
      <c r="Z90" s="2171"/>
      <c r="AA90" s="2171"/>
      <c r="AB90" s="2171"/>
      <c r="AC90" s="2171"/>
    </row>
    <row r="91" spans="1:29" ht="15" thickTop="1">
      <c r="A91" s="736"/>
      <c r="B91" s="674">
        <f>B32</f>
        <v>111</v>
      </c>
      <c r="C91" s="542"/>
      <c r="D91" s="542"/>
      <c r="E91" s="542"/>
      <c r="F91" s="542"/>
      <c r="G91" s="689"/>
      <c r="H91" s="690"/>
      <c r="I91" s="690"/>
      <c r="J91" s="690"/>
      <c r="K91" s="690"/>
      <c r="L91" s="691"/>
      <c r="M91" s="692"/>
      <c r="N91" s="2165"/>
      <c r="O91" s="2165"/>
      <c r="P91" s="2166"/>
      <c r="Q91" s="2159"/>
      <c r="R91" s="2146"/>
      <c r="S91" s="2146"/>
      <c r="T91" s="2146"/>
      <c r="U91" s="2146"/>
      <c r="V91" s="2146"/>
      <c r="W91" s="2146"/>
      <c r="X91" s="2146"/>
      <c r="Y91" s="2146"/>
      <c r="Z91" s="2146"/>
      <c r="AA91" s="2146"/>
      <c r="AB91" s="2146"/>
      <c r="AC91" s="2146"/>
    </row>
    <row r="92" spans="1:29" ht="15.75" thickBot="1">
      <c r="A92" s="670"/>
      <c r="B92" s="679"/>
      <c r="C92" s="693"/>
      <c r="D92" s="672"/>
      <c r="E92" s="672"/>
      <c r="F92" s="672"/>
      <c r="G92" s="693"/>
      <c r="H92" s="694"/>
      <c r="I92" s="694"/>
      <c r="J92" s="694"/>
      <c r="K92" s="694"/>
      <c r="L92" s="694"/>
      <c r="M92" s="695"/>
      <c r="N92" s="2167"/>
      <c r="O92" s="2167"/>
      <c r="P92" s="2166"/>
      <c r="Q92" s="2159"/>
      <c r="R92" s="2146"/>
      <c r="S92" s="2146"/>
      <c r="T92" s="2146"/>
      <c r="U92" s="2146"/>
      <c r="V92" s="2146"/>
      <c r="W92" s="2146"/>
      <c r="X92" s="2146"/>
      <c r="Y92" s="2146"/>
      <c r="Z92" s="2146"/>
      <c r="AA92" s="2146"/>
      <c r="AB92" s="2146"/>
      <c r="AC92" s="2146"/>
    </row>
    <row r="93" spans="1:29" ht="15" thickTop="1">
      <c r="A93" s="736"/>
      <c r="B93" s="674">
        <f>B33</f>
        <v>111</v>
      </c>
      <c r="C93" s="542"/>
      <c r="D93" s="542"/>
      <c r="E93" s="542"/>
      <c r="F93" s="542"/>
      <c r="G93" s="689"/>
      <c r="H93" s="690"/>
      <c r="I93" s="690"/>
      <c r="J93" s="690"/>
      <c r="K93" s="690"/>
      <c r="L93" s="691"/>
      <c r="M93" s="69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93"/>
      <c r="H94" s="694"/>
      <c r="I94" s="694"/>
      <c r="J94" s="694"/>
      <c r="K94" s="694"/>
      <c r="L94" s="694"/>
      <c r="M94" s="695"/>
      <c r="N94" s="2167"/>
      <c r="O94" s="2167"/>
      <c r="P94" s="2166"/>
      <c r="Q94" s="2159"/>
      <c r="R94" s="2146"/>
      <c r="S94" s="2146"/>
      <c r="T94" s="2146"/>
      <c r="U94" s="2146"/>
      <c r="V94" s="2146"/>
      <c r="W94" s="2146"/>
      <c r="X94" s="2146"/>
      <c r="Y94" s="2146"/>
      <c r="Z94" s="2146"/>
      <c r="AA94" s="2146"/>
      <c r="AB94" s="2146"/>
      <c r="AC94" s="2146"/>
    </row>
    <row r="95" spans="1:29" ht="15" thickTop="1">
      <c r="A95" s="736"/>
      <c r="B95" s="916">
        <f>B34</f>
        <v>111</v>
      </c>
      <c r="C95" s="542"/>
      <c r="D95" s="542"/>
      <c r="E95" s="542"/>
      <c r="F95" s="542"/>
      <c r="G95" s="689"/>
      <c r="H95" s="690"/>
      <c r="I95" s="690"/>
      <c r="J95" s="690"/>
      <c r="K95" s="690"/>
      <c r="L95" s="691"/>
      <c r="M95" s="692"/>
      <c r="N95" s="2167"/>
      <c r="O95" s="2167"/>
      <c r="P95" s="2206"/>
      <c r="Q95" s="2207"/>
      <c r="R95" s="2146"/>
      <c r="S95" s="2146"/>
      <c r="T95" s="2146"/>
      <c r="U95" s="2146"/>
      <c r="V95" s="2146"/>
      <c r="W95" s="2146"/>
      <c r="X95" s="2146"/>
      <c r="Y95" s="2146"/>
      <c r="Z95" s="2146"/>
      <c r="AA95" s="2146"/>
      <c r="AB95" s="2146"/>
      <c r="AC95" s="2146"/>
    </row>
    <row r="96" spans="1:29" ht="15.75" thickBot="1">
      <c r="A96" s="670"/>
      <c r="B96" s="679"/>
      <c r="C96" s="693"/>
      <c r="D96" s="693"/>
      <c r="E96" s="693"/>
      <c r="F96" s="693"/>
      <c r="G96" s="693"/>
      <c r="H96" s="694"/>
      <c r="I96" s="694"/>
      <c r="J96" s="694"/>
      <c r="K96" s="694"/>
      <c r="L96" s="694"/>
      <c r="M96" s="695"/>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7"/>
      <c r="B1" s="2235" t="s">
        <v>2306</v>
      </c>
      <c r="C1" s="3515" t="s">
        <v>2307</v>
      </c>
      <c r="D1" s="3516"/>
      <c r="E1" s="3516"/>
      <c r="F1" s="3516"/>
      <c r="G1" s="3516"/>
      <c r="H1" s="3516"/>
      <c r="I1" s="3516"/>
      <c r="J1" s="3516"/>
      <c r="K1" s="3516"/>
      <c r="L1" s="3516"/>
      <c r="M1" s="3516"/>
      <c r="N1" s="3516"/>
      <c r="O1" s="3516"/>
      <c r="P1" s="3516"/>
      <c r="Q1" s="3516"/>
      <c r="R1" s="3516"/>
      <c r="S1" s="3517"/>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2936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2935</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2934</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2933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2932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3"/>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829</v>
      </c>
      <c r="B20" s="776">
        <f>S22</f>
        <v>0</v>
      </c>
      <c r="C20" s="1991"/>
      <c r="D20" s="1991"/>
      <c r="E20" s="1991"/>
      <c r="F20" s="1991"/>
      <c r="G20" s="1991"/>
      <c r="H20" s="1991"/>
      <c r="I20" s="1991"/>
      <c r="J20" s="1991"/>
      <c r="K20" s="1991"/>
      <c r="L20" s="1991"/>
      <c r="M20" s="1991"/>
      <c r="N20" s="1991"/>
      <c r="O20" s="1991"/>
      <c r="P20" s="1991"/>
      <c r="Q20" s="1991"/>
      <c r="R20" s="2226"/>
      <c r="S20" s="2029"/>
    </row>
    <row r="21" spans="1:45" ht="15.75">
      <c r="A21" s="959" t="s">
        <v>830</v>
      </c>
      <c r="B21" s="776" t="e">
        <f>R22</f>
        <v>#DIV/0!</v>
      </c>
      <c r="C21" s="1991"/>
      <c r="D21" s="1991"/>
      <c r="E21" s="1991"/>
      <c r="F21" s="1991"/>
      <c r="G21" s="1991"/>
      <c r="H21" s="1991"/>
      <c r="I21" s="1991"/>
      <c r="J21" s="1991"/>
      <c r="K21" s="1991"/>
      <c r="L21" s="1991"/>
      <c r="M21" s="1991"/>
      <c r="N21" s="1991"/>
      <c r="O21" s="1991"/>
      <c r="P21" s="1991"/>
      <c r="Q21" s="1991"/>
      <c r="R21" s="2226"/>
      <c r="S21" s="2029"/>
    </row>
    <row r="22" spans="1:45">
      <c r="A22" s="800" t="s">
        <v>831</v>
      </c>
      <c r="B22" s="52">
        <f>SUM(B24:B10000)</f>
        <v>0</v>
      </c>
      <c r="C22" s="3512" t="s">
        <v>20</v>
      </c>
      <c r="D22" s="3513"/>
      <c r="E22" s="3513"/>
      <c r="F22" s="3513"/>
      <c r="G22" s="3513"/>
      <c r="H22" s="3513"/>
      <c r="I22" s="3513"/>
      <c r="J22" s="3513"/>
      <c r="K22" s="3513"/>
      <c r="L22" s="3513"/>
      <c r="M22" s="3513"/>
      <c r="N22" s="3513"/>
      <c r="O22" s="3513"/>
      <c r="P22" s="3513"/>
      <c r="Q22" s="3514"/>
      <c r="R22" s="492" t="e">
        <f>ROUND(S22*10000/B22,0)</f>
        <v>#DIV/0!</v>
      </c>
      <c r="S22" s="52">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92">
        <f>IF(B25="",0,ROUND($R$24*C25*E25*G25*I25*K25*M25*O25*Q25,0))</f>
        <v>0</v>
      </c>
      <c r="S25" s="800">
        <f t="shared" si="6"/>
        <v>0</v>
      </c>
    </row>
    <row r="26" spans="1:45">
      <c r="A26" s="964"/>
      <c r="B26" s="136"/>
      <c r="C26" s="52">
        <f t="shared" ref="C26:C89" si="7">IF(B26="",1,(LOOKUP(B26,$3:$3,$4:$4)-LOOKUP($B$24,$3:$3,$4:$4)+100)/100)</f>
        <v>1</v>
      </c>
      <c r="D26" s="962"/>
      <c r="E26" s="52">
        <f t="shared" ref="E26:E89" si="8">(SUMIF($5:$5,D26,$6:$6)-SUMIF($5:$5,$D$24,$6:$6)+100)/100</f>
        <v>1</v>
      </c>
      <c r="F26" s="962"/>
      <c r="G26" s="52">
        <f t="shared" ref="G26:G89" si="9">(SUMIF($7:$7,F26,$8:$8)-SUMIF($7:$7,$F$24,$8:$8)+100)/100</f>
        <v>1</v>
      </c>
      <c r="H26" s="962"/>
      <c r="I26" s="52">
        <f t="shared" ref="I26:I89" si="10">(SUMIF($9:$9,H26,$10:$10)-SUMIF($9:$9,$H$24,$10:$10)+100)/100</f>
        <v>1</v>
      </c>
      <c r="J26" s="962"/>
      <c r="K26" s="52">
        <f t="shared" ref="K26:K89" si="11">(SUMIF($11:$11,J26,$12:$12)-SUMIF($11:$11,$J$24,$12:$12)+100)/100</f>
        <v>1</v>
      </c>
      <c r="L26" s="962"/>
      <c r="M26" s="52">
        <f t="shared" ref="M26:M89" si="12">(SUMIF($13:$13,L26,$14:$14)-SUMIF($13:$13,$L$24,$14:$14)+100)/100</f>
        <v>1</v>
      </c>
      <c r="N26" s="962"/>
      <c r="O26" s="52">
        <f t="shared" ref="O26:O89" si="13">(SUMIF($15:$15,N26,$16:$16)-SUMIF($15:$15,$N$24,$16:$16)+100)/100</f>
        <v>1</v>
      </c>
      <c r="P26" s="962"/>
      <c r="Q26" s="52">
        <f t="shared" ref="Q26:Q89" si="14">(SUMIF($17:$17,P26,$18:$18)-SUMIF($17:$17,$P$24,$18:$18)+100)/100</f>
        <v>1</v>
      </c>
      <c r="R26" s="492">
        <f t="shared" ref="R26:R89" si="15">IF(B26="",0,ROUND($R$24*C26*E26*G26*I26*K26*M26*O26*Q26,0))</f>
        <v>0</v>
      </c>
      <c r="S26" s="800">
        <f t="shared" si="6"/>
        <v>0</v>
      </c>
    </row>
    <row r="27" spans="1:45">
      <c r="A27" s="964"/>
      <c r="B27" s="136"/>
      <c r="C27" s="52">
        <f t="shared" si="7"/>
        <v>1</v>
      </c>
      <c r="D27" s="962"/>
      <c r="E27" s="52">
        <f t="shared" si="8"/>
        <v>1</v>
      </c>
      <c r="F27" s="962"/>
      <c r="G27" s="52">
        <f t="shared" si="9"/>
        <v>1</v>
      </c>
      <c r="H27" s="962"/>
      <c r="I27" s="52">
        <f t="shared" si="10"/>
        <v>1</v>
      </c>
      <c r="J27" s="962"/>
      <c r="K27" s="52">
        <f t="shared" si="11"/>
        <v>1</v>
      </c>
      <c r="L27" s="962"/>
      <c r="M27" s="52">
        <f t="shared" si="12"/>
        <v>1</v>
      </c>
      <c r="N27" s="962"/>
      <c r="O27" s="52">
        <f t="shared" si="13"/>
        <v>1</v>
      </c>
      <c r="P27" s="962"/>
      <c r="Q27" s="52">
        <f t="shared" si="14"/>
        <v>1</v>
      </c>
      <c r="R27" s="492">
        <f t="shared" si="15"/>
        <v>0</v>
      </c>
      <c r="S27" s="800">
        <f t="shared" si="6"/>
        <v>0</v>
      </c>
    </row>
    <row r="28" spans="1:45">
      <c r="A28" s="964"/>
      <c r="B28" s="136"/>
      <c r="C28" s="52">
        <f t="shared" si="7"/>
        <v>1</v>
      </c>
      <c r="D28" s="962"/>
      <c r="E28" s="52">
        <f t="shared" si="8"/>
        <v>1</v>
      </c>
      <c r="F28" s="962"/>
      <c r="G28" s="52">
        <f t="shared" si="9"/>
        <v>1</v>
      </c>
      <c r="H28" s="962"/>
      <c r="I28" s="52">
        <f t="shared" si="10"/>
        <v>1</v>
      </c>
      <c r="J28" s="962"/>
      <c r="K28" s="52">
        <f t="shared" si="11"/>
        <v>1</v>
      </c>
      <c r="L28" s="962"/>
      <c r="M28" s="52">
        <f t="shared" si="12"/>
        <v>1</v>
      </c>
      <c r="N28" s="962"/>
      <c r="O28" s="52">
        <f t="shared" si="13"/>
        <v>1</v>
      </c>
      <c r="P28" s="962"/>
      <c r="Q28" s="52">
        <f t="shared" si="14"/>
        <v>1</v>
      </c>
      <c r="R28" s="492">
        <f t="shared" si="15"/>
        <v>0</v>
      </c>
      <c r="S28" s="800">
        <f t="shared" si="6"/>
        <v>0</v>
      </c>
    </row>
    <row r="29" spans="1:45">
      <c r="A29" s="964"/>
      <c r="B29" s="136"/>
      <c r="C29" s="52">
        <f t="shared" si="7"/>
        <v>1</v>
      </c>
      <c r="D29" s="962"/>
      <c r="E29" s="52">
        <f t="shared" si="8"/>
        <v>1</v>
      </c>
      <c r="F29" s="962"/>
      <c r="G29" s="52">
        <f t="shared" si="9"/>
        <v>1</v>
      </c>
      <c r="H29" s="962"/>
      <c r="I29" s="52">
        <f t="shared" si="10"/>
        <v>1</v>
      </c>
      <c r="J29" s="962"/>
      <c r="K29" s="52">
        <f t="shared" si="11"/>
        <v>1</v>
      </c>
      <c r="L29" s="962"/>
      <c r="M29" s="52">
        <f t="shared" si="12"/>
        <v>1</v>
      </c>
      <c r="N29" s="962"/>
      <c r="O29" s="52">
        <f t="shared" si="13"/>
        <v>1</v>
      </c>
      <c r="P29" s="962"/>
      <c r="Q29" s="52">
        <f t="shared" si="14"/>
        <v>1</v>
      </c>
      <c r="R29" s="492">
        <f t="shared" si="15"/>
        <v>0</v>
      </c>
      <c r="S29" s="800">
        <f t="shared" si="6"/>
        <v>0</v>
      </c>
    </row>
    <row r="30" spans="1:45">
      <c r="A30" s="964"/>
      <c r="B30" s="136"/>
      <c r="C30" s="52">
        <f t="shared" si="7"/>
        <v>1</v>
      </c>
      <c r="D30" s="962"/>
      <c r="E30" s="52">
        <f t="shared" si="8"/>
        <v>1</v>
      </c>
      <c r="F30" s="962"/>
      <c r="G30" s="52">
        <f t="shared" si="9"/>
        <v>1</v>
      </c>
      <c r="H30" s="962"/>
      <c r="I30" s="52">
        <f t="shared" si="10"/>
        <v>1</v>
      </c>
      <c r="J30" s="962"/>
      <c r="K30" s="52">
        <f t="shared" si="11"/>
        <v>1</v>
      </c>
      <c r="L30" s="962"/>
      <c r="M30" s="52">
        <f t="shared" si="12"/>
        <v>1</v>
      </c>
      <c r="N30" s="962"/>
      <c r="O30" s="52">
        <f t="shared" si="13"/>
        <v>1</v>
      </c>
      <c r="P30" s="962"/>
      <c r="Q30" s="52">
        <f t="shared" si="14"/>
        <v>1</v>
      </c>
      <c r="R30" s="492">
        <f t="shared" si="15"/>
        <v>0</v>
      </c>
      <c r="S30" s="800">
        <f t="shared" si="6"/>
        <v>0</v>
      </c>
    </row>
    <row r="31" spans="1:45">
      <c r="A31" s="964"/>
      <c r="B31" s="136"/>
      <c r="C31" s="52">
        <f t="shared" si="7"/>
        <v>1</v>
      </c>
      <c r="D31" s="962"/>
      <c r="E31" s="52">
        <f t="shared" si="8"/>
        <v>1</v>
      </c>
      <c r="F31" s="962"/>
      <c r="G31" s="52">
        <f t="shared" si="9"/>
        <v>1</v>
      </c>
      <c r="H31" s="962"/>
      <c r="I31" s="52">
        <f t="shared" si="10"/>
        <v>1</v>
      </c>
      <c r="J31" s="962"/>
      <c r="K31" s="52">
        <f t="shared" si="11"/>
        <v>1</v>
      </c>
      <c r="L31" s="962"/>
      <c r="M31" s="52">
        <f t="shared" si="12"/>
        <v>1</v>
      </c>
      <c r="N31" s="962"/>
      <c r="O31" s="52">
        <f t="shared" si="13"/>
        <v>1</v>
      </c>
      <c r="P31" s="962"/>
      <c r="Q31" s="52">
        <f t="shared" si="14"/>
        <v>1</v>
      </c>
      <c r="R31" s="492">
        <f t="shared" si="15"/>
        <v>0</v>
      </c>
      <c r="S31" s="800">
        <f t="shared" si="6"/>
        <v>0</v>
      </c>
    </row>
    <row r="32" spans="1:45">
      <c r="A32" s="964"/>
      <c r="B32" s="136"/>
      <c r="C32" s="52">
        <f t="shared" si="7"/>
        <v>1</v>
      </c>
      <c r="D32" s="962"/>
      <c r="E32" s="52">
        <f t="shared" si="8"/>
        <v>1</v>
      </c>
      <c r="F32" s="962"/>
      <c r="G32" s="52">
        <f t="shared" si="9"/>
        <v>1</v>
      </c>
      <c r="H32" s="962"/>
      <c r="I32" s="52">
        <f t="shared" si="10"/>
        <v>1</v>
      </c>
      <c r="J32" s="962"/>
      <c r="K32" s="52">
        <f t="shared" si="11"/>
        <v>1</v>
      </c>
      <c r="L32" s="962"/>
      <c r="M32" s="52">
        <f t="shared" si="12"/>
        <v>1</v>
      </c>
      <c r="N32" s="962"/>
      <c r="O32" s="52">
        <f t="shared" si="13"/>
        <v>1</v>
      </c>
      <c r="P32" s="962"/>
      <c r="Q32" s="52">
        <f t="shared" si="14"/>
        <v>1</v>
      </c>
      <c r="R32" s="492">
        <f t="shared" si="15"/>
        <v>0</v>
      </c>
      <c r="S32" s="800">
        <f t="shared" si="6"/>
        <v>0</v>
      </c>
    </row>
    <row r="33" spans="1:19">
      <c r="A33" s="964"/>
      <c r="B33" s="136"/>
      <c r="C33" s="52">
        <f t="shared" si="7"/>
        <v>1</v>
      </c>
      <c r="D33" s="962"/>
      <c r="E33" s="52">
        <f t="shared" si="8"/>
        <v>1</v>
      </c>
      <c r="F33" s="962"/>
      <c r="G33" s="52">
        <f t="shared" si="9"/>
        <v>1</v>
      </c>
      <c r="H33" s="962"/>
      <c r="I33" s="52">
        <f t="shared" si="10"/>
        <v>1</v>
      </c>
      <c r="J33" s="962"/>
      <c r="K33" s="52">
        <f t="shared" si="11"/>
        <v>1</v>
      </c>
      <c r="L33" s="962"/>
      <c r="M33" s="52">
        <f t="shared" si="12"/>
        <v>1</v>
      </c>
      <c r="N33" s="962"/>
      <c r="O33" s="52">
        <f t="shared" si="13"/>
        <v>1</v>
      </c>
      <c r="P33" s="962"/>
      <c r="Q33" s="52">
        <f t="shared" si="14"/>
        <v>1</v>
      </c>
      <c r="R33" s="492">
        <f t="shared" si="15"/>
        <v>0</v>
      </c>
      <c r="S33" s="800">
        <f t="shared" si="6"/>
        <v>0</v>
      </c>
    </row>
    <row r="34" spans="1:19">
      <c r="A34" s="964"/>
      <c r="B34" s="136"/>
      <c r="C34" s="52">
        <f t="shared" si="7"/>
        <v>1</v>
      </c>
      <c r="D34" s="962"/>
      <c r="E34" s="52">
        <f t="shared" si="8"/>
        <v>1</v>
      </c>
      <c r="F34" s="962"/>
      <c r="G34" s="52">
        <f t="shared" si="9"/>
        <v>1</v>
      </c>
      <c r="H34" s="962"/>
      <c r="I34" s="52">
        <f t="shared" si="10"/>
        <v>1</v>
      </c>
      <c r="J34" s="962"/>
      <c r="K34" s="52">
        <f t="shared" si="11"/>
        <v>1</v>
      </c>
      <c r="L34" s="962"/>
      <c r="M34" s="52">
        <f t="shared" si="12"/>
        <v>1</v>
      </c>
      <c r="N34" s="962"/>
      <c r="O34" s="52">
        <f t="shared" si="13"/>
        <v>1</v>
      </c>
      <c r="P34" s="962"/>
      <c r="Q34" s="52">
        <f t="shared" si="14"/>
        <v>1</v>
      </c>
      <c r="R34" s="492">
        <f t="shared" si="15"/>
        <v>0</v>
      </c>
      <c r="S34" s="800">
        <f t="shared" si="6"/>
        <v>0</v>
      </c>
    </row>
    <row r="35" spans="1:19">
      <c r="A35" s="964"/>
      <c r="B35" s="136"/>
      <c r="C35" s="52">
        <f t="shared" si="7"/>
        <v>1</v>
      </c>
      <c r="D35" s="962"/>
      <c r="E35" s="52">
        <f t="shared" si="8"/>
        <v>1</v>
      </c>
      <c r="F35" s="962"/>
      <c r="G35" s="52">
        <f t="shared" si="9"/>
        <v>1</v>
      </c>
      <c r="H35" s="962"/>
      <c r="I35" s="52">
        <f t="shared" si="10"/>
        <v>1</v>
      </c>
      <c r="J35" s="962"/>
      <c r="K35" s="52">
        <f t="shared" si="11"/>
        <v>1</v>
      </c>
      <c r="L35" s="962"/>
      <c r="M35" s="52">
        <f t="shared" si="12"/>
        <v>1</v>
      </c>
      <c r="N35" s="962"/>
      <c r="O35" s="52">
        <f t="shared" si="13"/>
        <v>1</v>
      </c>
      <c r="P35" s="962"/>
      <c r="Q35" s="52">
        <f t="shared" si="14"/>
        <v>1</v>
      </c>
      <c r="R35" s="492">
        <f t="shared" si="15"/>
        <v>0</v>
      </c>
      <c r="S35" s="800">
        <f t="shared" si="6"/>
        <v>0</v>
      </c>
    </row>
    <row r="36" spans="1:19">
      <c r="A36" s="964"/>
      <c r="B36" s="136"/>
      <c r="C36" s="52">
        <f t="shared" si="7"/>
        <v>1</v>
      </c>
      <c r="D36" s="962"/>
      <c r="E36" s="52">
        <f t="shared" si="8"/>
        <v>1</v>
      </c>
      <c r="F36" s="962"/>
      <c r="G36" s="52">
        <f t="shared" si="9"/>
        <v>1</v>
      </c>
      <c r="H36" s="962"/>
      <c r="I36" s="52">
        <f t="shared" si="10"/>
        <v>1</v>
      </c>
      <c r="J36" s="962"/>
      <c r="K36" s="52">
        <f t="shared" si="11"/>
        <v>1</v>
      </c>
      <c r="L36" s="962"/>
      <c r="M36" s="52">
        <f t="shared" si="12"/>
        <v>1</v>
      </c>
      <c r="N36" s="962"/>
      <c r="O36" s="52">
        <f t="shared" si="13"/>
        <v>1</v>
      </c>
      <c r="P36" s="962"/>
      <c r="Q36" s="52">
        <f t="shared" si="14"/>
        <v>1</v>
      </c>
      <c r="R36" s="492">
        <f t="shared" si="15"/>
        <v>0</v>
      </c>
      <c r="S36" s="800">
        <f t="shared" si="6"/>
        <v>0</v>
      </c>
    </row>
    <row r="37" spans="1:19">
      <c r="A37" s="964"/>
      <c r="B37" s="136"/>
      <c r="C37" s="52">
        <f t="shared" si="7"/>
        <v>1</v>
      </c>
      <c r="D37" s="962"/>
      <c r="E37" s="52">
        <f t="shared" si="8"/>
        <v>1</v>
      </c>
      <c r="F37" s="962"/>
      <c r="G37" s="52">
        <f t="shared" si="9"/>
        <v>1</v>
      </c>
      <c r="H37" s="962"/>
      <c r="I37" s="52">
        <f t="shared" si="10"/>
        <v>1</v>
      </c>
      <c r="J37" s="962"/>
      <c r="K37" s="52">
        <f t="shared" si="11"/>
        <v>1</v>
      </c>
      <c r="L37" s="962"/>
      <c r="M37" s="52">
        <f t="shared" si="12"/>
        <v>1</v>
      </c>
      <c r="N37" s="962"/>
      <c r="O37" s="52">
        <f t="shared" si="13"/>
        <v>1</v>
      </c>
      <c r="P37" s="962"/>
      <c r="Q37" s="52">
        <f t="shared" si="14"/>
        <v>1</v>
      </c>
      <c r="R37" s="492">
        <f t="shared" si="15"/>
        <v>0</v>
      </c>
      <c r="S37" s="800">
        <f t="shared" si="6"/>
        <v>0</v>
      </c>
    </row>
    <row r="38" spans="1:19">
      <c r="A38" s="964"/>
      <c r="B38" s="136"/>
      <c r="C38" s="52">
        <f t="shared" si="7"/>
        <v>1</v>
      </c>
      <c r="D38" s="962"/>
      <c r="E38" s="52">
        <f t="shared" si="8"/>
        <v>1</v>
      </c>
      <c r="F38" s="962"/>
      <c r="G38" s="52">
        <f t="shared" si="9"/>
        <v>1</v>
      </c>
      <c r="H38" s="962"/>
      <c r="I38" s="52">
        <f t="shared" si="10"/>
        <v>1</v>
      </c>
      <c r="J38" s="962"/>
      <c r="K38" s="52">
        <f t="shared" si="11"/>
        <v>1</v>
      </c>
      <c r="L38" s="962"/>
      <c r="M38" s="52">
        <f t="shared" si="12"/>
        <v>1</v>
      </c>
      <c r="N38" s="962"/>
      <c r="O38" s="52">
        <f t="shared" si="13"/>
        <v>1</v>
      </c>
      <c r="P38" s="962"/>
      <c r="Q38" s="52">
        <f t="shared" si="14"/>
        <v>1</v>
      </c>
      <c r="R38" s="492">
        <f t="shared" si="15"/>
        <v>0</v>
      </c>
      <c r="S38" s="800">
        <f t="shared" si="6"/>
        <v>0</v>
      </c>
    </row>
    <row r="39" spans="1:19">
      <c r="A39" s="964"/>
      <c r="B39" s="136"/>
      <c r="C39" s="52">
        <f t="shared" si="7"/>
        <v>1</v>
      </c>
      <c r="D39" s="962"/>
      <c r="E39" s="52">
        <f t="shared" si="8"/>
        <v>1</v>
      </c>
      <c r="F39" s="962"/>
      <c r="G39" s="52">
        <f t="shared" si="9"/>
        <v>1</v>
      </c>
      <c r="H39" s="962"/>
      <c r="I39" s="52">
        <f t="shared" si="10"/>
        <v>1</v>
      </c>
      <c r="J39" s="962"/>
      <c r="K39" s="52">
        <f t="shared" si="11"/>
        <v>1</v>
      </c>
      <c r="L39" s="962"/>
      <c r="M39" s="52">
        <f t="shared" si="12"/>
        <v>1</v>
      </c>
      <c r="N39" s="962"/>
      <c r="O39" s="52">
        <f t="shared" si="13"/>
        <v>1</v>
      </c>
      <c r="P39" s="962"/>
      <c r="Q39" s="52">
        <f t="shared" si="14"/>
        <v>1</v>
      </c>
      <c r="R39" s="492">
        <f t="shared" si="15"/>
        <v>0</v>
      </c>
      <c r="S39" s="800">
        <f t="shared" si="6"/>
        <v>0</v>
      </c>
    </row>
    <row r="40" spans="1:19">
      <c r="A40" s="964"/>
      <c r="B40" s="136"/>
      <c r="C40" s="52">
        <f t="shared" si="7"/>
        <v>1</v>
      </c>
      <c r="D40" s="962"/>
      <c r="E40" s="52">
        <f t="shared" si="8"/>
        <v>1</v>
      </c>
      <c r="F40" s="962"/>
      <c r="G40" s="52">
        <f t="shared" si="9"/>
        <v>1</v>
      </c>
      <c r="H40" s="962"/>
      <c r="I40" s="52">
        <f t="shared" si="10"/>
        <v>1</v>
      </c>
      <c r="J40" s="962"/>
      <c r="K40" s="52">
        <f t="shared" si="11"/>
        <v>1</v>
      </c>
      <c r="L40" s="962"/>
      <c r="M40" s="52">
        <f t="shared" si="12"/>
        <v>1</v>
      </c>
      <c r="N40" s="962"/>
      <c r="O40" s="52">
        <f t="shared" si="13"/>
        <v>1</v>
      </c>
      <c r="P40" s="962"/>
      <c r="Q40" s="52">
        <f t="shared" si="14"/>
        <v>1</v>
      </c>
      <c r="R40" s="492">
        <f t="shared" si="15"/>
        <v>0</v>
      </c>
      <c r="S40" s="800">
        <f t="shared" si="6"/>
        <v>0</v>
      </c>
    </row>
    <row r="41" spans="1:19">
      <c r="A41" s="964"/>
      <c r="B41" s="136"/>
      <c r="C41" s="52">
        <f t="shared" si="7"/>
        <v>1</v>
      </c>
      <c r="D41" s="962"/>
      <c r="E41" s="52">
        <f t="shared" si="8"/>
        <v>1</v>
      </c>
      <c r="F41" s="962"/>
      <c r="G41" s="52">
        <f t="shared" si="9"/>
        <v>1</v>
      </c>
      <c r="H41" s="962"/>
      <c r="I41" s="52">
        <f t="shared" si="10"/>
        <v>1</v>
      </c>
      <c r="J41" s="962"/>
      <c r="K41" s="52">
        <f t="shared" si="11"/>
        <v>1</v>
      </c>
      <c r="L41" s="962"/>
      <c r="M41" s="52">
        <f t="shared" si="12"/>
        <v>1</v>
      </c>
      <c r="N41" s="962"/>
      <c r="O41" s="52">
        <f t="shared" si="13"/>
        <v>1</v>
      </c>
      <c r="P41" s="962"/>
      <c r="Q41" s="52">
        <f t="shared" si="14"/>
        <v>1</v>
      </c>
      <c r="R41" s="492">
        <f t="shared" si="15"/>
        <v>0</v>
      </c>
      <c r="S41" s="800">
        <f t="shared" si="6"/>
        <v>0</v>
      </c>
    </row>
    <row r="42" spans="1:19">
      <c r="A42" s="964"/>
      <c r="B42" s="136"/>
      <c r="C42" s="52">
        <f t="shared" si="7"/>
        <v>1</v>
      </c>
      <c r="D42" s="962"/>
      <c r="E42" s="52">
        <f t="shared" si="8"/>
        <v>1</v>
      </c>
      <c r="F42" s="962"/>
      <c r="G42" s="52">
        <f t="shared" si="9"/>
        <v>1</v>
      </c>
      <c r="H42" s="962"/>
      <c r="I42" s="52">
        <f t="shared" si="10"/>
        <v>1</v>
      </c>
      <c r="J42" s="962"/>
      <c r="K42" s="52">
        <f t="shared" si="11"/>
        <v>1</v>
      </c>
      <c r="L42" s="962"/>
      <c r="M42" s="52">
        <f t="shared" si="12"/>
        <v>1</v>
      </c>
      <c r="N42" s="962"/>
      <c r="O42" s="52">
        <f t="shared" si="13"/>
        <v>1</v>
      </c>
      <c r="P42" s="962"/>
      <c r="Q42" s="52">
        <f t="shared" si="14"/>
        <v>1</v>
      </c>
      <c r="R42" s="492">
        <f t="shared" si="15"/>
        <v>0</v>
      </c>
      <c r="S42" s="800">
        <f t="shared" si="6"/>
        <v>0</v>
      </c>
    </row>
    <row r="43" spans="1:19">
      <c r="A43" s="964"/>
      <c r="B43" s="136"/>
      <c r="C43" s="52">
        <f t="shared" si="7"/>
        <v>1</v>
      </c>
      <c r="D43" s="962"/>
      <c r="E43" s="52">
        <f t="shared" si="8"/>
        <v>1</v>
      </c>
      <c r="F43" s="962"/>
      <c r="G43" s="52">
        <f t="shared" si="9"/>
        <v>1</v>
      </c>
      <c r="H43" s="962"/>
      <c r="I43" s="52">
        <f t="shared" si="10"/>
        <v>1</v>
      </c>
      <c r="J43" s="962"/>
      <c r="K43" s="52">
        <f t="shared" si="11"/>
        <v>1</v>
      </c>
      <c r="L43" s="962"/>
      <c r="M43" s="52">
        <f t="shared" si="12"/>
        <v>1</v>
      </c>
      <c r="N43" s="962"/>
      <c r="O43" s="52">
        <f t="shared" si="13"/>
        <v>1</v>
      </c>
      <c r="P43" s="962"/>
      <c r="Q43" s="52">
        <f t="shared" si="14"/>
        <v>1</v>
      </c>
      <c r="R43" s="492">
        <f t="shared" si="15"/>
        <v>0</v>
      </c>
      <c r="S43" s="800">
        <f t="shared" si="6"/>
        <v>0</v>
      </c>
    </row>
    <row r="44" spans="1:19">
      <c r="A44" s="964"/>
      <c r="B44" s="136"/>
      <c r="C44" s="52">
        <f t="shared" si="7"/>
        <v>1</v>
      </c>
      <c r="D44" s="962"/>
      <c r="E44" s="52">
        <f t="shared" si="8"/>
        <v>1</v>
      </c>
      <c r="F44" s="962"/>
      <c r="G44" s="52">
        <f t="shared" si="9"/>
        <v>1</v>
      </c>
      <c r="H44" s="962"/>
      <c r="I44" s="52">
        <f t="shared" si="10"/>
        <v>1</v>
      </c>
      <c r="J44" s="962"/>
      <c r="K44" s="52">
        <f t="shared" si="11"/>
        <v>1</v>
      </c>
      <c r="L44" s="962"/>
      <c r="M44" s="52">
        <f t="shared" si="12"/>
        <v>1</v>
      </c>
      <c r="N44" s="962"/>
      <c r="O44" s="52">
        <f t="shared" si="13"/>
        <v>1</v>
      </c>
      <c r="P44" s="962"/>
      <c r="Q44" s="52">
        <f t="shared" si="14"/>
        <v>1</v>
      </c>
      <c r="R44" s="492">
        <f t="shared" si="15"/>
        <v>0</v>
      </c>
      <c r="S44" s="800">
        <f t="shared" si="6"/>
        <v>0</v>
      </c>
    </row>
    <row r="45" spans="1:19">
      <c r="A45" s="964"/>
      <c r="B45" s="136"/>
      <c r="C45" s="52">
        <f t="shared" si="7"/>
        <v>1</v>
      </c>
      <c r="D45" s="962"/>
      <c r="E45" s="52">
        <f t="shared" si="8"/>
        <v>1</v>
      </c>
      <c r="F45" s="962"/>
      <c r="G45" s="52">
        <f t="shared" si="9"/>
        <v>1</v>
      </c>
      <c r="H45" s="962"/>
      <c r="I45" s="52">
        <f t="shared" si="10"/>
        <v>1</v>
      </c>
      <c r="J45" s="962"/>
      <c r="K45" s="52">
        <f t="shared" si="11"/>
        <v>1</v>
      </c>
      <c r="L45" s="962"/>
      <c r="M45" s="52">
        <f t="shared" si="12"/>
        <v>1</v>
      </c>
      <c r="N45" s="962"/>
      <c r="O45" s="52">
        <f t="shared" si="13"/>
        <v>1</v>
      </c>
      <c r="P45" s="962"/>
      <c r="Q45" s="52">
        <f t="shared" si="14"/>
        <v>1</v>
      </c>
      <c r="R45" s="492">
        <f t="shared" si="15"/>
        <v>0</v>
      </c>
      <c r="S45" s="800">
        <f t="shared" si="6"/>
        <v>0</v>
      </c>
    </row>
    <row r="46" spans="1:19">
      <c r="A46" s="964"/>
      <c r="B46" s="136"/>
      <c r="C46" s="52">
        <f t="shared" si="7"/>
        <v>1</v>
      </c>
      <c r="D46" s="962"/>
      <c r="E46" s="52">
        <f t="shared" si="8"/>
        <v>1</v>
      </c>
      <c r="F46" s="962"/>
      <c r="G46" s="52">
        <f t="shared" si="9"/>
        <v>1</v>
      </c>
      <c r="H46" s="962"/>
      <c r="I46" s="52">
        <f t="shared" si="10"/>
        <v>1</v>
      </c>
      <c r="J46" s="962"/>
      <c r="K46" s="52">
        <f t="shared" si="11"/>
        <v>1</v>
      </c>
      <c r="L46" s="962"/>
      <c r="M46" s="52">
        <f t="shared" si="12"/>
        <v>1</v>
      </c>
      <c r="N46" s="962"/>
      <c r="O46" s="52">
        <f t="shared" si="13"/>
        <v>1</v>
      </c>
      <c r="P46" s="962"/>
      <c r="Q46" s="52">
        <f t="shared" si="14"/>
        <v>1</v>
      </c>
      <c r="R46" s="492">
        <f t="shared" si="15"/>
        <v>0</v>
      </c>
      <c r="S46" s="800">
        <f t="shared" si="6"/>
        <v>0</v>
      </c>
    </row>
    <row r="47" spans="1:19">
      <c r="A47" s="964"/>
      <c r="B47" s="136"/>
      <c r="C47" s="52">
        <f t="shared" si="7"/>
        <v>1</v>
      </c>
      <c r="D47" s="962"/>
      <c r="E47" s="52">
        <f t="shared" si="8"/>
        <v>1</v>
      </c>
      <c r="F47" s="962"/>
      <c r="G47" s="52">
        <f t="shared" si="9"/>
        <v>1</v>
      </c>
      <c r="H47" s="962"/>
      <c r="I47" s="52">
        <f t="shared" si="10"/>
        <v>1</v>
      </c>
      <c r="J47" s="962"/>
      <c r="K47" s="52">
        <f t="shared" si="11"/>
        <v>1</v>
      </c>
      <c r="L47" s="962"/>
      <c r="M47" s="52">
        <f t="shared" si="12"/>
        <v>1</v>
      </c>
      <c r="N47" s="962"/>
      <c r="O47" s="52">
        <f t="shared" si="13"/>
        <v>1</v>
      </c>
      <c r="P47" s="962"/>
      <c r="Q47" s="52">
        <f t="shared" si="14"/>
        <v>1</v>
      </c>
      <c r="R47" s="492">
        <f t="shared" si="15"/>
        <v>0</v>
      </c>
      <c r="S47" s="800">
        <f t="shared" si="6"/>
        <v>0</v>
      </c>
    </row>
    <row r="48" spans="1:19">
      <c r="A48" s="964"/>
      <c r="B48" s="136"/>
      <c r="C48" s="52">
        <f t="shared" si="7"/>
        <v>1</v>
      </c>
      <c r="D48" s="962"/>
      <c r="E48" s="52">
        <f t="shared" si="8"/>
        <v>1</v>
      </c>
      <c r="F48" s="962"/>
      <c r="G48" s="52">
        <f t="shared" si="9"/>
        <v>1</v>
      </c>
      <c r="H48" s="962"/>
      <c r="I48" s="52">
        <f t="shared" si="10"/>
        <v>1</v>
      </c>
      <c r="J48" s="962"/>
      <c r="K48" s="52">
        <f t="shared" si="11"/>
        <v>1</v>
      </c>
      <c r="L48" s="962"/>
      <c r="M48" s="52">
        <f t="shared" si="12"/>
        <v>1</v>
      </c>
      <c r="N48" s="962"/>
      <c r="O48" s="52">
        <f t="shared" si="13"/>
        <v>1</v>
      </c>
      <c r="P48" s="962"/>
      <c r="Q48" s="52">
        <f t="shared" si="14"/>
        <v>1</v>
      </c>
      <c r="R48" s="492">
        <f t="shared" si="15"/>
        <v>0</v>
      </c>
      <c r="S48" s="800">
        <f t="shared" si="6"/>
        <v>0</v>
      </c>
    </row>
    <row r="49" spans="1:19">
      <c r="A49" s="964"/>
      <c r="B49" s="136"/>
      <c r="C49" s="52">
        <f t="shared" si="7"/>
        <v>1</v>
      </c>
      <c r="D49" s="962"/>
      <c r="E49" s="52">
        <f t="shared" si="8"/>
        <v>1</v>
      </c>
      <c r="F49" s="962"/>
      <c r="G49" s="52">
        <f t="shared" si="9"/>
        <v>1</v>
      </c>
      <c r="H49" s="962"/>
      <c r="I49" s="52">
        <f t="shared" si="10"/>
        <v>1</v>
      </c>
      <c r="J49" s="962"/>
      <c r="K49" s="52">
        <f t="shared" si="11"/>
        <v>1</v>
      </c>
      <c r="L49" s="962"/>
      <c r="M49" s="52">
        <f t="shared" si="12"/>
        <v>1</v>
      </c>
      <c r="N49" s="962"/>
      <c r="O49" s="52">
        <f t="shared" si="13"/>
        <v>1</v>
      </c>
      <c r="P49" s="962"/>
      <c r="Q49" s="52">
        <f t="shared" si="14"/>
        <v>1</v>
      </c>
      <c r="R49" s="492">
        <f t="shared" si="15"/>
        <v>0</v>
      </c>
      <c r="S49" s="800">
        <f t="shared" si="6"/>
        <v>0</v>
      </c>
    </row>
    <row r="50" spans="1:19">
      <c r="A50" s="964"/>
      <c r="B50" s="136"/>
      <c r="C50" s="52">
        <f t="shared" si="7"/>
        <v>1</v>
      </c>
      <c r="D50" s="962"/>
      <c r="E50" s="52">
        <f t="shared" si="8"/>
        <v>1</v>
      </c>
      <c r="F50" s="962"/>
      <c r="G50" s="52">
        <f t="shared" si="9"/>
        <v>1</v>
      </c>
      <c r="H50" s="962"/>
      <c r="I50" s="52">
        <f t="shared" si="10"/>
        <v>1</v>
      </c>
      <c r="J50" s="962"/>
      <c r="K50" s="52">
        <f t="shared" si="11"/>
        <v>1</v>
      </c>
      <c r="L50" s="962"/>
      <c r="M50" s="52">
        <f t="shared" si="12"/>
        <v>1</v>
      </c>
      <c r="N50" s="962"/>
      <c r="O50" s="52">
        <f t="shared" si="13"/>
        <v>1</v>
      </c>
      <c r="P50" s="962"/>
      <c r="Q50" s="52">
        <f t="shared" si="14"/>
        <v>1</v>
      </c>
      <c r="R50" s="492">
        <f t="shared" si="15"/>
        <v>0</v>
      </c>
      <c r="S50" s="800">
        <f t="shared" si="6"/>
        <v>0</v>
      </c>
    </row>
    <row r="51" spans="1:19">
      <c r="A51" s="964"/>
      <c r="B51" s="136"/>
      <c r="C51" s="52">
        <f t="shared" si="7"/>
        <v>1</v>
      </c>
      <c r="D51" s="962"/>
      <c r="E51" s="52">
        <f t="shared" si="8"/>
        <v>1</v>
      </c>
      <c r="F51" s="962"/>
      <c r="G51" s="52">
        <f t="shared" si="9"/>
        <v>1</v>
      </c>
      <c r="H51" s="962"/>
      <c r="I51" s="52">
        <f t="shared" si="10"/>
        <v>1</v>
      </c>
      <c r="J51" s="962"/>
      <c r="K51" s="52">
        <f t="shared" si="11"/>
        <v>1</v>
      </c>
      <c r="L51" s="962"/>
      <c r="M51" s="52">
        <f t="shared" si="12"/>
        <v>1</v>
      </c>
      <c r="N51" s="962"/>
      <c r="O51" s="52">
        <f t="shared" si="13"/>
        <v>1</v>
      </c>
      <c r="P51" s="962"/>
      <c r="Q51" s="52">
        <f t="shared" si="14"/>
        <v>1</v>
      </c>
      <c r="R51" s="492">
        <f t="shared" si="15"/>
        <v>0</v>
      </c>
      <c r="S51" s="800">
        <f t="shared" si="6"/>
        <v>0</v>
      </c>
    </row>
    <row r="52" spans="1:19">
      <c r="A52" s="964"/>
      <c r="B52" s="136"/>
      <c r="C52" s="52">
        <f t="shared" si="7"/>
        <v>1</v>
      </c>
      <c r="D52" s="962"/>
      <c r="E52" s="52">
        <f t="shared" si="8"/>
        <v>1</v>
      </c>
      <c r="F52" s="962"/>
      <c r="G52" s="52">
        <f t="shared" si="9"/>
        <v>1</v>
      </c>
      <c r="H52" s="962"/>
      <c r="I52" s="52">
        <f t="shared" si="10"/>
        <v>1</v>
      </c>
      <c r="J52" s="962"/>
      <c r="K52" s="52">
        <f t="shared" si="11"/>
        <v>1</v>
      </c>
      <c r="L52" s="962"/>
      <c r="M52" s="52">
        <f t="shared" si="12"/>
        <v>1</v>
      </c>
      <c r="N52" s="962"/>
      <c r="O52" s="52">
        <f t="shared" si="13"/>
        <v>1</v>
      </c>
      <c r="P52" s="962"/>
      <c r="Q52" s="52">
        <f t="shared" si="14"/>
        <v>1</v>
      </c>
      <c r="R52" s="492">
        <f t="shared" si="15"/>
        <v>0</v>
      </c>
      <c r="S52" s="800">
        <f t="shared" si="6"/>
        <v>0</v>
      </c>
    </row>
    <row r="53" spans="1:19">
      <c r="A53" s="964"/>
      <c r="B53" s="136"/>
      <c r="C53" s="52">
        <f t="shared" si="7"/>
        <v>1</v>
      </c>
      <c r="D53" s="962"/>
      <c r="E53" s="52">
        <f t="shared" si="8"/>
        <v>1</v>
      </c>
      <c r="F53" s="962"/>
      <c r="G53" s="52">
        <f t="shared" si="9"/>
        <v>1</v>
      </c>
      <c r="H53" s="962"/>
      <c r="I53" s="52">
        <f t="shared" si="10"/>
        <v>1</v>
      </c>
      <c r="J53" s="962"/>
      <c r="K53" s="52">
        <f t="shared" si="11"/>
        <v>1</v>
      </c>
      <c r="L53" s="962"/>
      <c r="M53" s="52">
        <f t="shared" si="12"/>
        <v>1</v>
      </c>
      <c r="N53" s="962"/>
      <c r="O53" s="52">
        <f t="shared" si="13"/>
        <v>1</v>
      </c>
      <c r="P53" s="962"/>
      <c r="Q53" s="52">
        <f t="shared" si="14"/>
        <v>1</v>
      </c>
      <c r="R53" s="492">
        <f t="shared" si="15"/>
        <v>0</v>
      </c>
      <c r="S53" s="800">
        <f t="shared" si="6"/>
        <v>0</v>
      </c>
    </row>
    <row r="54" spans="1:19">
      <c r="A54" s="964"/>
      <c r="B54" s="136"/>
      <c r="C54" s="52">
        <f t="shared" si="7"/>
        <v>1</v>
      </c>
      <c r="D54" s="962"/>
      <c r="E54" s="52">
        <f t="shared" si="8"/>
        <v>1</v>
      </c>
      <c r="F54" s="962"/>
      <c r="G54" s="52">
        <f t="shared" si="9"/>
        <v>1</v>
      </c>
      <c r="H54" s="962"/>
      <c r="I54" s="52">
        <f t="shared" si="10"/>
        <v>1</v>
      </c>
      <c r="J54" s="962"/>
      <c r="K54" s="52">
        <f t="shared" si="11"/>
        <v>1</v>
      </c>
      <c r="L54" s="962"/>
      <c r="M54" s="52">
        <f t="shared" si="12"/>
        <v>1</v>
      </c>
      <c r="N54" s="962"/>
      <c r="O54" s="52">
        <f t="shared" si="13"/>
        <v>1</v>
      </c>
      <c r="P54" s="962"/>
      <c r="Q54" s="52">
        <f t="shared" si="14"/>
        <v>1</v>
      </c>
      <c r="R54" s="492">
        <f t="shared" si="15"/>
        <v>0</v>
      </c>
      <c r="S54" s="800">
        <f t="shared" si="6"/>
        <v>0</v>
      </c>
    </row>
    <row r="55" spans="1:19">
      <c r="A55" s="964"/>
      <c r="B55" s="136"/>
      <c r="C55" s="52">
        <f t="shared" si="7"/>
        <v>1</v>
      </c>
      <c r="D55" s="962"/>
      <c r="E55" s="52">
        <f t="shared" si="8"/>
        <v>1</v>
      </c>
      <c r="F55" s="962"/>
      <c r="G55" s="52">
        <f t="shared" si="9"/>
        <v>1</v>
      </c>
      <c r="H55" s="962"/>
      <c r="I55" s="52">
        <f t="shared" si="10"/>
        <v>1</v>
      </c>
      <c r="J55" s="962"/>
      <c r="K55" s="52">
        <f t="shared" si="11"/>
        <v>1</v>
      </c>
      <c r="L55" s="962"/>
      <c r="M55" s="52">
        <f t="shared" si="12"/>
        <v>1</v>
      </c>
      <c r="N55" s="962"/>
      <c r="O55" s="52">
        <f t="shared" si="13"/>
        <v>1</v>
      </c>
      <c r="P55" s="962"/>
      <c r="Q55" s="52">
        <f t="shared" si="14"/>
        <v>1</v>
      </c>
      <c r="R55" s="492">
        <f t="shared" si="15"/>
        <v>0</v>
      </c>
      <c r="S55" s="800">
        <f t="shared" ref="S55:S77" si="16">ROUND(R55*B55/10000,0)</f>
        <v>0</v>
      </c>
    </row>
    <row r="56" spans="1:19">
      <c r="A56" s="964"/>
      <c r="B56" s="136"/>
      <c r="C56" s="52">
        <f t="shared" si="7"/>
        <v>1</v>
      </c>
      <c r="D56" s="962"/>
      <c r="E56" s="52">
        <f t="shared" si="8"/>
        <v>1</v>
      </c>
      <c r="F56" s="962"/>
      <c r="G56" s="52">
        <f t="shared" si="9"/>
        <v>1</v>
      </c>
      <c r="H56" s="962"/>
      <c r="I56" s="52">
        <f t="shared" si="10"/>
        <v>1</v>
      </c>
      <c r="J56" s="962"/>
      <c r="K56" s="52">
        <f t="shared" si="11"/>
        <v>1</v>
      </c>
      <c r="L56" s="962"/>
      <c r="M56" s="52">
        <f t="shared" si="12"/>
        <v>1</v>
      </c>
      <c r="N56" s="962"/>
      <c r="O56" s="52">
        <f t="shared" si="13"/>
        <v>1</v>
      </c>
      <c r="P56" s="962"/>
      <c r="Q56" s="52">
        <f t="shared" si="14"/>
        <v>1</v>
      </c>
      <c r="R56" s="492">
        <f t="shared" si="15"/>
        <v>0</v>
      </c>
      <c r="S56" s="800">
        <f t="shared" si="16"/>
        <v>0</v>
      </c>
    </row>
    <row r="57" spans="1:19">
      <c r="A57" s="964"/>
      <c r="B57" s="136"/>
      <c r="C57" s="52">
        <f t="shared" si="7"/>
        <v>1</v>
      </c>
      <c r="D57" s="962"/>
      <c r="E57" s="52">
        <f t="shared" si="8"/>
        <v>1</v>
      </c>
      <c r="F57" s="962"/>
      <c r="G57" s="52">
        <f t="shared" si="9"/>
        <v>1</v>
      </c>
      <c r="H57" s="962"/>
      <c r="I57" s="52">
        <f t="shared" si="10"/>
        <v>1</v>
      </c>
      <c r="J57" s="962"/>
      <c r="K57" s="52">
        <f t="shared" si="11"/>
        <v>1</v>
      </c>
      <c r="L57" s="962"/>
      <c r="M57" s="52">
        <f t="shared" si="12"/>
        <v>1</v>
      </c>
      <c r="N57" s="962"/>
      <c r="O57" s="52">
        <f t="shared" si="13"/>
        <v>1</v>
      </c>
      <c r="P57" s="962"/>
      <c r="Q57" s="52">
        <f t="shared" si="14"/>
        <v>1</v>
      </c>
      <c r="R57" s="492">
        <f t="shared" si="15"/>
        <v>0</v>
      </c>
      <c r="S57" s="800">
        <f t="shared" si="16"/>
        <v>0</v>
      </c>
    </row>
    <row r="58" spans="1:19">
      <c r="A58" s="964"/>
      <c r="B58" s="136"/>
      <c r="C58" s="52">
        <f t="shared" si="7"/>
        <v>1</v>
      </c>
      <c r="D58" s="962"/>
      <c r="E58" s="52">
        <f t="shared" si="8"/>
        <v>1</v>
      </c>
      <c r="F58" s="962"/>
      <c r="G58" s="52">
        <f t="shared" si="9"/>
        <v>1</v>
      </c>
      <c r="H58" s="962"/>
      <c r="I58" s="52">
        <f t="shared" si="10"/>
        <v>1</v>
      </c>
      <c r="J58" s="962"/>
      <c r="K58" s="52">
        <f t="shared" si="11"/>
        <v>1</v>
      </c>
      <c r="L58" s="962"/>
      <c r="M58" s="52">
        <f t="shared" si="12"/>
        <v>1</v>
      </c>
      <c r="N58" s="962"/>
      <c r="O58" s="52">
        <f t="shared" si="13"/>
        <v>1</v>
      </c>
      <c r="P58" s="962"/>
      <c r="Q58" s="52">
        <f t="shared" si="14"/>
        <v>1</v>
      </c>
      <c r="R58" s="492">
        <f t="shared" si="15"/>
        <v>0</v>
      </c>
      <c r="S58" s="800">
        <f t="shared" si="16"/>
        <v>0</v>
      </c>
    </row>
    <row r="59" spans="1:19">
      <c r="A59" s="964"/>
      <c r="B59" s="136"/>
      <c r="C59" s="52">
        <f t="shared" si="7"/>
        <v>1</v>
      </c>
      <c r="D59" s="962"/>
      <c r="E59" s="52">
        <f t="shared" si="8"/>
        <v>1</v>
      </c>
      <c r="F59" s="962"/>
      <c r="G59" s="52">
        <f t="shared" si="9"/>
        <v>1</v>
      </c>
      <c r="H59" s="962"/>
      <c r="I59" s="52">
        <f t="shared" si="10"/>
        <v>1</v>
      </c>
      <c r="J59" s="962"/>
      <c r="K59" s="52">
        <f t="shared" si="11"/>
        <v>1</v>
      </c>
      <c r="L59" s="962"/>
      <c r="M59" s="52">
        <f t="shared" si="12"/>
        <v>1</v>
      </c>
      <c r="N59" s="962"/>
      <c r="O59" s="52">
        <f t="shared" si="13"/>
        <v>1</v>
      </c>
      <c r="P59" s="962"/>
      <c r="Q59" s="52">
        <f t="shared" si="14"/>
        <v>1</v>
      </c>
      <c r="R59" s="492">
        <f t="shared" si="15"/>
        <v>0</v>
      </c>
      <c r="S59" s="800">
        <f t="shared" si="16"/>
        <v>0</v>
      </c>
    </row>
    <row r="60" spans="1:19">
      <c r="A60" s="964"/>
      <c r="B60" s="136"/>
      <c r="C60" s="52">
        <f t="shared" si="7"/>
        <v>1</v>
      </c>
      <c r="D60" s="962"/>
      <c r="E60" s="52">
        <f t="shared" si="8"/>
        <v>1</v>
      </c>
      <c r="F60" s="962"/>
      <c r="G60" s="52">
        <f t="shared" si="9"/>
        <v>1</v>
      </c>
      <c r="H60" s="962"/>
      <c r="I60" s="52">
        <f t="shared" si="10"/>
        <v>1</v>
      </c>
      <c r="J60" s="962"/>
      <c r="K60" s="52">
        <f t="shared" si="11"/>
        <v>1</v>
      </c>
      <c r="L60" s="962"/>
      <c r="M60" s="52">
        <f t="shared" si="12"/>
        <v>1</v>
      </c>
      <c r="N60" s="962"/>
      <c r="O60" s="52">
        <f t="shared" si="13"/>
        <v>1</v>
      </c>
      <c r="P60" s="962"/>
      <c r="Q60" s="52">
        <f t="shared" si="14"/>
        <v>1</v>
      </c>
      <c r="R60" s="492">
        <f t="shared" si="15"/>
        <v>0</v>
      </c>
      <c r="S60" s="800">
        <f t="shared" si="16"/>
        <v>0</v>
      </c>
    </row>
    <row r="61" spans="1:19">
      <c r="A61" s="964"/>
      <c r="B61" s="136"/>
      <c r="C61" s="52">
        <f t="shared" si="7"/>
        <v>1</v>
      </c>
      <c r="D61" s="962"/>
      <c r="E61" s="52">
        <f t="shared" si="8"/>
        <v>1</v>
      </c>
      <c r="F61" s="962"/>
      <c r="G61" s="52">
        <f t="shared" si="9"/>
        <v>1</v>
      </c>
      <c r="H61" s="962"/>
      <c r="I61" s="52">
        <f t="shared" si="10"/>
        <v>1</v>
      </c>
      <c r="J61" s="962"/>
      <c r="K61" s="52">
        <f t="shared" si="11"/>
        <v>1</v>
      </c>
      <c r="L61" s="962"/>
      <c r="M61" s="52">
        <f t="shared" si="12"/>
        <v>1</v>
      </c>
      <c r="N61" s="962"/>
      <c r="O61" s="52">
        <f t="shared" si="13"/>
        <v>1</v>
      </c>
      <c r="P61" s="962"/>
      <c r="Q61" s="52">
        <f t="shared" si="14"/>
        <v>1</v>
      </c>
      <c r="R61" s="492">
        <f t="shared" si="15"/>
        <v>0</v>
      </c>
      <c r="S61" s="800">
        <f t="shared" si="16"/>
        <v>0</v>
      </c>
    </row>
    <row r="62" spans="1:19">
      <c r="A62" s="964"/>
      <c r="B62" s="136"/>
      <c r="C62" s="52">
        <f t="shared" si="7"/>
        <v>1</v>
      </c>
      <c r="D62" s="962"/>
      <c r="E62" s="52">
        <f t="shared" si="8"/>
        <v>1</v>
      </c>
      <c r="F62" s="962"/>
      <c r="G62" s="52">
        <f t="shared" si="9"/>
        <v>1</v>
      </c>
      <c r="H62" s="962"/>
      <c r="I62" s="52">
        <f t="shared" si="10"/>
        <v>1</v>
      </c>
      <c r="J62" s="962"/>
      <c r="K62" s="52">
        <f t="shared" si="11"/>
        <v>1</v>
      </c>
      <c r="L62" s="962"/>
      <c r="M62" s="52">
        <f t="shared" si="12"/>
        <v>1</v>
      </c>
      <c r="N62" s="962"/>
      <c r="O62" s="52">
        <f t="shared" si="13"/>
        <v>1</v>
      </c>
      <c r="P62" s="962"/>
      <c r="Q62" s="52">
        <f t="shared" si="14"/>
        <v>1</v>
      </c>
      <c r="R62" s="492">
        <f t="shared" si="15"/>
        <v>0</v>
      </c>
      <c r="S62" s="800">
        <f t="shared" si="16"/>
        <v>0</v>
      </c>
    </row>
    <row r="63" spans="1:19">
      <c r="A63" s="964"/>
      <c r="B63" s="136"/>
      <c r="C63" s="52">
        <f t="shared" si="7"/>
        <v>1</v>
      </c>
      <c r="D63" s="962"/>
      <c r="E63" s="52">
        <f t="shared" si="8"/>
        <v>1</v>
      </c>
      <c r="F63" s="962"/>
      <c r="G63" s="52">
        <f t="shared" si="9"/>
        <v>1</v>
      </c>
      <c r="H63" s="962"/>
      <c r="I63" s="52">
        <f t="shared" si="10"/>
        <v>1</v>
      </c>
      <c r="J63" s="962"/>
      <c r="K63" s="52">
        <f t="shared" si="11"/>
        <v>1</v>
      </c>
      <c r="L63" s="962"/>
      <c r="M63" s="52">
        <f t="shared" si="12"/>
        <v>1</v>
      </c>
      <c r="N63" s="962"/>
      <c r="O63" s="52">
        <f t="shared" si="13"/>
        <v>1</v>
      </c>
      <c r="P63" s="962"/>
      <c r="Q63" s="52">
        <f t="shared" si="14"/>
        <v>1</v>
      </c>
      <c r="R63" s="492">
        <f t="shared" si="15"/>
        <v>0</v>
      </c>
      <c r="S63" s="800">
        <f t="shared" si="16"/>
        <v>0</v>
      </c>
    </row>
    <row r="64" spans="1:19">
      <c r="A64" s="964"/>
      <c r="B64" s="136"/>
      <c r="C64" s="52">
        <f t="shared" si="7"/>
        <v>1</v>
      </c>
      <c r="D64" s="962"/>
      <c r="E64" s="52">
        <f t="shared" si="8"/>
        <v>1</v>
      </c>
      <c r="F64" s="962"/>
      <c r="G64" s="52">
        <f t="shared" si="9"/>
        <v>1</v>
      </c>
      <c r="H64" s="962"/>
      <c r="I64" s="52">
        <f t="shared" si="10"/>
        <v>1</v>
      </c>
      <c r="J64" s="962"/>
      <c r="K64" s="52">
        <f t="shared" si="11"/>
        <v>1</v>
      </c>
      <c r="L64" s="962"/>
      <c r="M64" s="52">
        <f t="shared" si="12"/>
        <v>1</v>
      </c>
      <c r="N64" s="962"/>
      <c r="O64" s="52">
        <f t="shared" si="13"/>
        <v>1</v>
      </c>
      <c r="P64" s="962"/>
      <c r="Q64" s="52">
        <f t="shared" si="14"/>
        <v>1</v>
      </c>
      <c r="R64" s="492">
        <f t="shared" si="15"/>
        <v>0</v>
      </c>
      <c r="S64" s="800">
        <f t="shared" si="16"/>
        <v>0</v>
      </c>
    </row>
    <row r="65" spans="1:19">
      <c r="A65" s="964"/>
      <c r="B65" s="136"/>
      <c r="C65" s="52">
        <f t="shared" si="7"/>
        <v>1</v>
      </c>
      <c r="D65" s="962"/>
      <c r="E65" s="52">
        <f t="shared" si="8"/>
        <v>1</v>
      </c>
      <c r="F65" s="962"/>
      <c r="G65" s="52">
        <f t="shared" si="9"/>
        <v>1</v>
      </c>
      <c r="H65" s="962"/>
      <c r="I65" s="52">
        <f t="shared" si="10"/>
        <v>1</v>
      </c>
      <c r="J65" s="962"/>
      <c r="K65" s="52">
        <f t="shared" si="11"/>
        <v>1</v>
      </c>
      <c r="L65" s="962"/>
      <c r="M65" s="52">
        <f t="shared" si="12"/>
        <v>1</v>
      </c>
      <c r="N65" s="962"/>
      <c r="O65" s="52">
        <f t="shared" si="13"/>
        <v>1</v>
      </c>
      <c r="P65" s="962"/>
      <c r="Q65" s="52">
        <f t="shared" si="14"/>
        <v>1</v>
      </c>
      <c r="R65" s="492">
        <f t="shared" si="15"/>
        <v>0</v>
      </c>
      <c r="S65" s="800">
        <f t="shared" si="16"/>
        <v>0</v>
      </c>
    </row>
    <row r="66" spans="1:19">
      <c r="A66" s="964"/>
      <c r="B66" s="136"/>
      <c r="C66" s="52">
        <f t="shared" si="7"/>
        <v>1</v>
      </c>
      <c r="D66" s="962"/>
      <c r="E66" s="52">
        <f t="shared" si="8"/>
        <v>1</v>
      </c>
      <c r="F66" s="962"/>
      <c r="G66" s="52">
        <f t="shared" si="9"/>
        <v>1</v>
      </c>
      <c r="H66" s="962"/>
      <c r="I66" s="52">
        <f t="shared" si="10"/>
        <v>1</v>
      </c>
      <c r="J66" s="962"/>
      <c r="K66" s="52">
        <f t="shared" si="11"/>
        <v>1</v>
      </c>
      <c r="L66" s="962"/>
      <c r="M66" s="52">
        <f t="shared" si="12"/>
        <v>1</v>
      </c>
      <c r="N66" s="962"/>
      <c r="O66" s="52">
        <f t="shared" si="13"/>
        <v>1</v>
      </c>
      <c r="P66" s="962"/>
      <c r="Q66" s="52">
        <f t="shared" si="14"/>
        <v>1</v>
      </c>
      <c r="R66" s="492">
        <f t="shared" si="15"/>
        <v>0</v>
      </c>
      <c r="S66" s="800">
        <f t="shared" si="16"/>
        <v>0</v>
      </c>
    </row>
    <row r="67" spans="1:19">
      <c r="A67" s="964"/>
      <c r="B67" s="136"/>
      <c r="C67" s="52">
        <f t="shared" si="7"/>
        <v>1</v>
      </c>
      <c r="D67" s="962"/>
      <c r="E67" s="52">
        <f t="shared" si="8"/>
        <v>1</v>
      </c>
      <c r="F67" s="962"/>
      <c r="G67" s="52">
        <f t="shared" si="9"/>
        <v>1</v>
      </c>
      <c r="H67" s="962"/>
      <c r="I67" s="52">
        <f t="shared" si="10"/>
        <v>1</v>
      </c>
      <c r="J67" s="962"/>
      <c r="K67" s="52">
        <f t="shared" si="11"/>
        <v>1</v>
      </c>
      <c r="L67" s="962"/>
      <c r="M67" s="52">
        <f t="shared" si="12"/>
        <v>1</v>
      </c>
      <c r="N67" s="962"/>
      <c r="O67" s="52">
        <f t="shared" si="13"/>
        <v>1</v>
      </c>
      <c r="P67" s="962"/>
      <c r="Q67" s="52">
        <f t="shared" si="14"/>
        <v>1</v>
      </c>
      <c r="R67" s="492">
        <f t="shared" si="15"/>
        <v>0</v>
      </c>
      <c r="S67" s="800">
        <f t="shared" si="16"/>
        <v>0</v>
      </c>
    </row>
    <row r="68" spans="1:19">
      <c r="A68" s="964"/>
      <c r="B68" s="136"/>
      <c r="C68" s="52">
        <f t="shared" si="7"/>
        <v>1</v>
      </c>
      <c r="D68" s="962"/>
      <c r="E68" s="52">
        <f t="shared" si="8"/>
        <v>1</v>
      </c>
      <c r="F68" s="962"/>
      <c r="G68" s="52">
        <f t="shared" si="9"/>
        <v>1</v>
      </c>
      <c r="H68" s="962"/>
      <c r="I68" s="52">
        <f t="shared" si="10"/>
        <v>1</v>
      </c>
      <c r="J68" s="962"/>
      <c r="K68" s="52">
        <f t="shared" si="11"/>
        <v>1</v>
      </c>
      <c r="L68" s="962"/>
      <c r="M68" s="52">
        <f t="shared" si="12"/>
        <v>1</v>
      </c>
      <c r="N68" s="962"/>
      <c r="O68" s="52">
        <f t="shared" si="13"/>
        <v>1</v>
      </c>
      <c r="P68" s="962"/>
      <c r="Q68" s="52">
        <f t="shared" si="14"/>
        <v>1</v>
      </c>
      <c r="R68" s="492">
        <f t="shared" si="15"/>
        <v>0</v>
      </c>
      <c r="S68" s="800">
        <f t="shared" si="16"/>
        <v>0</v>
      </c>
    </row>
    <row r="69" spans="1:19">
      <c r="A69" s="964"/>
      <c r="B69" s="136"/>
      <c r="C69" s="52">
        <f t="shared" si="7"/>
        <v>1</v>
      </c>
      <c r="D69" s="962"/>
      <c r="E69" s="52">
        <f t="shared" si="8"/>
        <v>1</v>
      </c>
      <c r="F69" s="962"/>
      <c r="G69" s="52">
        <f t="shared" si="9"/>
        <v>1</v>
      </c>
      <c r="H69" s="962"/>
      <c r="I69" s="52">
        <f t="shared" si="10"/>
        <v>1</v>
      </c>
      <c r="J69" s="962"/>
      <c r="K69" s="52">
        <f t="shared" si="11"/>
        <v>1</v>
      </c>
      <c r="L69" s="962"/>
      <c r="M69" s="52">
        <f t="shared" si="12"/>
        <v>1</v>
      </c>
      <c r="N69" s="962"/>
      <c r="O69" s="52">
        <f t="shared" si="13"/>
        <v>1</v>
      </c>
      <c r="P69" s="962"/>
      <c r="Q69" s="52">
        <f t="shared" si="14"/>
        <v>1</v>
      </c>
      <c r="R69" s="492">
        <f t="shared" si="15"/>
        <v>0</v>
      </c>
      <c r="S69" s="800">
        <f t="shared" si="16"/>
        <v>0</v>
      </c>
    </row>
    <row r="70" spans="1:19">
      <c r="A70" s="964"/>
      <c r="B70" s="136"/>
      <c r="C70" s="52">
        <f t="shared" si="7"/>
        <v>1</v>
      </c>
      <c r="D70" s="962"/>
      <c r="E70" s="52">
        <f t="shared" si="8"/>
        <v>1</v>
      </c>
      <c r="F70" s="962"/>
      <c r="G70" s="52">
        <f t="shared" si="9"/>
        <v>1</v>
      </c>
      <c r="H70" s="962"/>
      <c r="I70" s="52">
        <f t="shared" si="10"/>
        <v>1</v>
      </c>
      <c r="J70" s="962"/>
      <c r="K70" s="52">
        <f t="shared" si="11"/>
        <v>1</v>
      </c>
      <c r="L70" s="962"/>
      <c r="M70" s="52">
        <f t="shared" si="12"/>
        <v>1</v>
      </c>
      <c r="N70" s="962"/>
      <c r="O70" s="52">
        <f t="shared" si="13"/>
        <v>1</v>
      </c>
      <c r="P70" s="962"/>
      <c r="Q70" s="52">
        <f t="shared" si="14"/>
        <v>1</v>
      </c>
      <c r="R70" s="492">
        <f t="shared" si="15"/>
        <v>0</v>
      </c>
      <c r="S70" s="800">
        <f t="shared" si="16"/>
        <v>0</v>
      </c>
    </row>
    <row r="71" spans="1:19">
      <c r="A71" s="964"/>
      <c r="B71" s="136"/>
      <c r="C71" s="52">
        <f t="shared" si="7"/>
        <v>1</v>
      </c>
      <c r="D71" s="962"/>
      <c r="E71" s="52">
        <f t="shared" si="8"/>
        <v>1</v>
      </c>
      <c r="F71" s="962"/>
      <c r="G71" s="52">
        <f t="shared" si="9"/>
        <v>1</v>
      </c>
      <c r="H71" s="962"/>
      <c r="I71" s="52">
        <f t="shared" si="10"/>
        <v>1</v>
      </c>
      <c r="J71" s="962"/>
      <c r="K71" s="52">
        <f t="shared" si="11"/>
        <v>1</v>
      </c>
      <c r="L71" s="962"/>
      <c r="M71" s="52">
        <f t="shared" si="12"/>
        <v>1</v>
      </c>
      <c r="N71" s="962"/>
      <c r="O71" s="52">
        <f t="shared" si="13"/>
        <v>1</v>
      </c>
      <c r="P71" s="962"/>
      <c r="Q71" s="52">
        <f t="shared" si="14"/>
        <v>1</v>
      </c>
      <c r="R71" s="492">
        <f t="shared" si="15"/>
        <v>0</v>
      </c>
      <c r="S71" s="800">
        <f t="shared" si="16"/>
        <v>0</v>
      </c>
    </row>
    <row r="72" spans="1:19">
      <c r="A72" s="964"/>
      <c r="B72" s="136"/>
      <c r="C72" s="52">
        <f t="shared" si="7"/>
        <v>1</v>
      </c>
      <c r="D72" s="962"/>
      <c r="E72" s="52">
        <f t="shared" si="8"/>
        <v>1</v>
      </c>
      <c r="F72" s="962"/>
      <c r="G72" s="52">
        <f t="shared" si="9"/>
        <v>1</v>
      </c>
      <c r="H72" s="962"/>
      <c r="I72" s="52">
        <f t="shared" si="10"/>
        <v>1</v>
      </c>
      <c r="J72" s="962"/>
      <c r="K72" s="52">
        <f t="shared" si="11"/>
        <v>1</v>
      </c>
      <c r="L72" s="962"/>
      <c r="M72" s="52">
        <f t="shared" si="12"/>
        <v>1</v>
      </c>
      <c r="N72" s="962"/>
      <c r="O72" s="52">
        <f t="shared" si="13"/>
        <v>1</v>
      </c>
      <c r="P72" s="962"/>
      <c r="Q72" s="52">
        <f t="shared" si="14"/>
        <v>1</v>
      </c>
      <c r="R72" s="492">
        <f t="shared" si="15"/>
        <v>0</v>
      </c>
      <c r="S72" s="800">
        <f t="shared" si="16"/>
        <v>0</v>
      </c>
    </row>
    <row r="73" spans="1:19">
      <c r="A73" s="964"/>
      <c r="B73" s="136"/>
      <c r="C73" s="52">
        <f t="shared" si="7"/>
        <v>1</v>
      </c>
      <c r="D73" s="962"/>
      <c r="E73" s="52">
        <f t="shared" si="8"/>
        <v>1</v>
      </c>
      <c r="F73" s="962"/>
      <c r="G73" s="52">
        <f t="shared" si="9"/>
        <v>1</v>
      </c>
      <c r="H73" s="962"/>
      <c r="I73" s="52">
        <f t="shared" si="10"/>
        <v>1</v>
      </c>
      <c r="J73" s="962"/>
      <c r="K73" s="52">
        <f t="shared" si="11"/>
        <v>1</v>
      </c>
      <c r="L73" s="962"/>
      <c r="M73" s="52">
        <f t="shared" si="12"/>
        <v>1</v>
      </c>
      <c r="N73" s="962"/>
      <c r="O73" s="52">
        <f t="shared" si="13"/>
        <v>1</v>
      </c>
      <c r="P73" s="962"/>
      <c r="Q73" s="52">
        <f t="shared" si="14"/>
        <v>1</v>
      </c>
      <c r="R73" s="492">
        <f t="shared" si="15"/>
        <v>0</v>
      </c>
      <c r="S73" s="800">
        <f t="shared" si="16"/>
        <v>0</v>
      </c>
    </row>
    <row r="74" spans="1:19">
      <c r="A74" s="964"/>
      <c r="B74" s="136"/>
      <c r="C74" s="52">
        <f t="shared" si="7"/>
        <v>1</v>
      </c>
      <c r="D74" s="962"/>
      <c r="E74" s="52">
        <f t="shared" si="8"/>
        <v>1</v>
      </c>
      <c r="F74" s="962"/>
      <c r="G74" s="52">
        <f t="shared" si="9"/>
        <v>1</v>
      </c>
      <c r="H74" s="962"/>
      <c r="I74" s="52">
        <f t="shared" si="10"/>
        <v>1</v>
      </c>
      <c r="J74" s="962"/>
      <c r="K74" s="52">
        <f t="shared" si="11"/>
        <v>1</v>
      </c>
      <c r="L74" s="962"/>
      <c r="M74" s="52">
        <f t="shared" si="12"/>
        <v>1</v>
      </c>
      <c r="N74" s="962"/>
      <c r="O74" s="52">
        <f t="shared" si="13"/>
        <v>1</v>
      </c>
      <c r="P74" s="962"/>
      <c r="Q74" s="52">
        <f t="shared" si="14"/>
        <v>1</v>
      </c>
      <c r="R74" s="492">
        <f t="shared" si="15"/>
        <v>0</v>
      </c>
      <c r="S74" s="800">
        <f t="shared" si="16"/>
        <v>0</v>
      </c>
    </row>
    <row r="75" spans="1:19">
      <c r="A75" s="964"/>
      <c r="B75" s="136"/>
      <c r="C75" s="52">
        <f t="shared" si="7"/>
        <v>1</v>
      </c>
      <c r="D75" s="962"/>
      <c r="E75" s="52">
        <f t="shared" si="8"/>
        <v>1</v>
      </c>
      <c r="F75" s="962"/>
      <c r="G75" s="52">
        <f t="shared" si="9"/>
        <v>1</v>
      </c>
      <c r="H75" s="962"/>
      <c r="I75" s="52">
        <f t="shared" si="10"/>
        <v>1</v>
      </c>
      <c r="J75" s="962"/>
      <c r="K75" s="52">
        <f t="shared" si="11"/>
        <v>1</v>
      </c>
      <c r="L75" s="962"/>
      <c r="M75" s="52">
        <f t="shared" si="12"/>
        <v>1</v>
      </c>
      <c r="N75" s="962"/>
      <c r="O75" s="52">
        <f t="shared" si="13"/>
        <v>1</v>
      </c>
      <c r="P75" s="962"/>
      <c r="Q75" s="52">
        <f t="shared" si="14"/>
        <v>1</v>
      </c>
      <c r="R75" s="492">
        <f t="shared" si="15"/>
        <v>0</v>
      </c>
      <c r="S75" s="800">
        <f t="shared" si="16"/>
        <v>0</v>
      </c>
    </row>
    <row r="76" spans="1:19">
      <c r="A76" s="964"/>
      <c r="B76" s="136"/>
      <c r="C76" s="52">
        <f t="shared" si="7"/>
        <v>1</v>
      </c>
      <c r="D76" s="962"/>
      <c r="E76" s="52">
        <f t="shared" si="8"/>
        <v>1</v>
      </c>
      <c r="F76" s="962"/>
      <c r="G76" s="52">
        <f t="shared" si="9"/>
        <v>1</v>
      </c>
      <c r="H76" s="962"/>
      <c r="I76" s="52">
        <f t="shared" si="10"/>
        <v>1</v>
      </c>
      <c r="J76" s="962"/>
      <c r="K76" s="52">
        <f t="shared" si="11"/>
        <v>1</v>
      </c>
      <c r="L76" s="962"/>
      <c r="M76" s="52">
        <f t="shared" si="12"/>
        <v>1</v>
      </c>
      <c r="N76" s="962"/>
      <c r="O76" s="52">
        <f t="shared" si="13"/>
        <v>1</v>
      </c>
      <c r="P76" s="962"/>
      <c r="Q76" s="52">
        <f t="shared" si="14"/>
        <v>1</v>
      </c>
      <c r="R76" s="492">
        <f t="shared" si="15"/>
        <v>0</v>
      </c>
      <c r="S76" s="800">
        <f t="shared" si="16"/>
        <v>0</v>
      </c>
    </row>
    <row r="77" spans="1:19">
      <c r="A77" s="964"/>
      <c r="B77" s="136"/>
      <c r="C77" s="52">
        <f t="shared" si="7"/>
        <v>1</v>
      </c>
      <c r="D77" s="962"/>
      <c r="E77" s="52">
        <f t="shared" si="8"/>
        <v>1</v>
      </c>
      <c r="F77" s="962"/>
      <c r="G77" s="52">
        <f t="shared" si="9"/>
        <v>1</v>
      </c>
      <c r="H77" s="962"/>
      <c r="I77" s="52">
        <f t="shared" si="10"/>
        <v>1</v>
      </c>
      <c r="J77" s="962"/>
      <c r="K77" s="52">
        <f t="shared" si="11"/>
        <v>1</v>
      </c>
      <c r="L77" s="962"/>
      <c r="M77" s="52">
        <f t="shared" si="12"/>
        <v>1</v>
      </c>
      <c r="N77" s="962"/>
      <c r="O77" s="52">
        <f t="shared" si="13"/>
        <v>1</v>
      </c>
      <c r="P77" s="962"/>
      <c r="Q77" s="52">
        <f t="shared" si="14"/>
        <v>1</v>
      </c>
      <c r="R77" s="492">
        <f t="shared" si="15"/>
        <v>0</v>
      </c>
      <c r="S77" s="800">
        <f t="shared" si="16"/>
        <v>0</v>
      </c>
    </row>
    <row r="78" spans="1:19">
      <c r="A78" s="964"/>
      <c r="B78" s="136"/>
      <c r="C78" s="52">
        <f t="shared" si="7"/>
        <v>1</v>
      </c>
      <c r="D78" s="962"/>
      <c r="E78" s="52">
        <f t="shared" si="8"/>
        <v>1</v>
      </c>
      <c r="F78" s="962"/>
      <c r="G78" s="52">
        <f t="shared" si="9"/>
        <v>1</v>
      </c>
      <c r="H78" s="962"/>
      <c r="I78" s="52">
        <f t="shared" si="10"/>
        <v>1</v>
      </c>
      <c r="J78" s="962"/>
      <c r="K78" s="52">
        <f t="shared" si="11"/>
        <v>1</v>
      </c>
      <c r="L78" s="962"/>
      <c r="M78" s="52">
        <f t="shared" si="12"/>
        <v>1</v>
      </c>
      <c r="N78" s="962"/>
      <c r="O78" s="52">
        <f t="shared" si="13"/>
        <v>1</v>
      </c>
      <c r="P78" s="962"/>
      <c r="Q78" s="52">
        <f t="shared" si="14"/>
        <v>1</v>
      </c>
      <c r="R78" s="492">
        <f t="shared" si="15"/>
        <v>0</v>
      </c>
      <c r="S78" s="800">
        <f t="shared" ref="S78:S122" si="17">ROUND(R78*B78/10000,0)</f>
        <v>0</v>
      </c>
    </row>
    <row r="79" spans="1:19">
      <c r="A79" s="964"/>
      <c r="B79" s="136"/>
      <c r="C79" s="52">
        <f t="shared" si="7"/>
        <v>1</v>
      </c>
      <c r="D79" s="962"/>
      <c r="E79" s="52">
        <f t="shared" si="8"/>
        <v>1</v>
      </c>
      <c r="F79" s="962"/>
      <c r="G79" s="52">
        <f t="shared" si="9"/>
        <v>1</v>
      </c>
      <c r="H79" s="962"/>
      <c r="I79" s="52">
        <f t="shared" si="10"/>
        <v>1</v>
      </c>
      <c r="J79" s="962"/>
      <c r="K79" s="52">
        <f t="shared" si="11"/>
        <v>1</v>
      </c>
      <c r="L79" s="962"/>
      <c r="M79" s="52">
        <f t="shared" si="12"/>
        <v>1</v>
      </c>
      <c r="N79" s="962"/>
      <c r="O79" s="52">
        <f t="shared" si="13"/>
        <v>1</v>
      </c>
      <c r="P79" s="962"/>
      <c r="Q79" s="52">
        <f t="shared" si="14"/>
        <v>1</v>
      </c>
      <c r="R79" s="492">
        <f t="shared" si="15"/>
        <v>0</v>
      </c>
      <c r="S79" s="800">
        <f t="shared" si="17"/>
        <v>0</v>
      </c>
    </row>
    <row r="80" spans="1:19">
      <c r="A80" s="964"/>
      <c r="B80" s="136"/>
      <c r="C80" s="52">
        <f t="shared" si="7"/>
        <v>1</v>
      </c>
      <c r="D80" s="962"/>
      <c r="E80" s="52">
        <f t="shared" si="8"/>
        <v>1</v>
      </c>
      <c r="F80" s="962"/>
      <c r="G80" s="52">
        <f t="shared" si="9"/>
        <v>1</v>
      </c>
      <c r="H80" s="962"/>
      <c r="I80" s="52">
        <f t="shared" si="10"/>
        <v>1</v>
      </c>
      <c r="J80" s="962"/>
      <c r="K80" s="52">
        <f t="shared" si="11"/>
        <v>1</v>
      </c>
      <c r="L80" s="962"/>
      <c r="M80" s="52">
        <f t="shared" si="12"/>
        <v>1</v>
      </c>
      <c r="N80" s="962"/>
      <c r="O80" s="52">
        <f t="shared" si="13"/>
        <v>1</v>
      </c>
      <c r="P80" s="962"/>
      <c r="Q80" s="52">
        <f t="shared" si="14"/>
        <v>1</v>
      </c>
      <c r="R80" s="492">
        <f t="shared" si="15"/>
        <v>0</v>
      </c>
      <c r="S80" s="800">
        <f t="shared" si="17"/>
        <v>0</v>
      </c>
    </row>
    <row r="81" spans="1:19">
      <c r="A81" s="964"/>
      <c r="B81" s="136"/>
      <c r="C81" s="52">
        <f t="shared" si="7"/>
        <v>1</v>
      </c>
      <c r="D81" s="962"/>
      <c r="E81" s="52">
        <f t="shared" si="8"/>
        <v>1</v>
      </c>
      <c r="F81" s="962"/>
      <c r="G81" s="52">
        <f t="shared" si="9"/>
        <v>1</v>
      </c>
      <c r="H81" s="962"/>
      <c r="I81" s="52">
        <f t="shared" si="10"/>
        <v>1</v>
      </c>
      <c r="J81" s="962"/>
      <c r="K81" s="52">
        <f t="shared" si="11"/>
        <v>1</v>
      </c>
      <c r="L81" s="962"/>
      <c r="M81" s="52">
        <f t="shared" si="12"/>
        <v>1</v>
      </c>
      <c r="N81" s="962"/>
      <c r="O81" s="52">
        <f t="shared" si="13"/>
        <v>1</v>
      </c>
      <c r="P81" s="962"/>
      <c r="Q81" s="52">
        <f t="shared" si="14"/>
        <v>1</v>
      </c>
      <c r="R81" s="492">
        <f t="shared" si="15"/>
        <v>0</v>
      </c>
      <c r="S81" s="800">
        <f t="shared" si="17"/>
        <v>0</v>
      </c>
    </row>
    <row r="82" spans="1:19">
      <c r="A82" s="964"/>
      <c r="B82" s="136"/>
      <c r="C82" s="52">
        <f t="shared" si="7"/>
        <v>1</v>
      </c>
      <c r="D82" s="962"/>
      <c r="E82" s="52">
        <f t="shared" si="8"/>
        <v>1</v>
      </c>
      <c r="F82" s="962"/>
      <c r="G82" s="52">
        <f t="shared" si="9"/>
        <v>1</v>
      </c>
      <c r="H82" s="962"/>
      <c r="I82" s="52">
        <f t="shared" si="10"/>
        <v>1</v>
      </c>
      <c r="J82" s="962"/>
      <c r="K82" s="52">
        <f t="shared" si="11"/>
        <v>1</v>
      </c>
      <c r="L82" s="962"/>
      <c r="M82" s="52">
        <f t="shared" si="12"/>
        <v>1</v>
      </c>
      <c r="N82" s="962"/>
      <c r="O82" s="52">
        <f t="shared" si="13"/>
        <v>1</v>
      </c>
      <c r="P82" s="962"/>
      <c r="Q82" s="52">
        <f t="shared" si="14"/>
        <v>1</v>
      </c>
      <c r="R82" s="492">
        <f t="shared" si="15"/>
        <v>0</v>
      </c>
      <c r="S82" s="800">
        <f t="shared" si="17"/>
        <v>0</v>
      </c>
    </row>
    <row r="83" spans="1:19">
      <c r="A83" s="964"/>
      <c r="B83" s="136"/>
      <c r="C83" s="52">
        <f t="shared" si="7"/>
        <v>1</v>
      </c>
      <c r="D83" s="962"/>
      <c r="E83" s="52">
        <f t="shared" si="8"/>
        <v>1</v>
      </c>
      <c r="F83" s="962"/>
      <c r="G83" s="52">
        <f t="shared" si="9"/>
        <v>1</v>
      </c>
      <c r="H83" s="962"/>
      <c r="I83" s="52">
        <f t="shared" si="10"/>
        <v>1</v>
      </c>
      <c r="J83" s="962"/>
      <c r="K83" s="52">
        <f t="shared" si="11"/>
        <v>1</v>
      </c>
      <c r="L83" s="962"/>
      <c r="M83" s="52">
        <f t="shared" si="12"/>
        <v>1</v>
      </c>
      <c r="N83" s="962"/>
      <c r="O83" s="52">
        <f t="shared" si="13"/>
        <v>1</v>
      </c>
      <c r="P83" s="962"/>
      <c r="Q83" s="52">
        <f t="shared" si="14"/>
        <v>1</v>
      </c>
      <c r="R83" s="492">
        <f t="shared" si="15"/>
        <v>0</v>
      </c>
      <c r="S83" s="800">
        <f t="shared" si="17"/>
        <v>0</v>
      </c>
    </row>
    <row r="84" spans="1:19">
      <c r="A84" s="964"/>
      <c r="B84" s="136"/>
      <c r="C84" s="52">
        <f t="shared" si="7"/>
        <v>1</v>
      </c>
      <c r="D84" s="962"/>
      <c r="E84" s="52">
        <f t="shared" si="8"/>
        <v>1</v>
      </c>
      <c r="F84" s="962"/>
      <c r="G84" s="52">
        <f t="shared" si="9"/>
        <v>1</v>
      </c>
      <c r="H84" s="962"/>
      <c r="I84" s="52">
        <f t="shared" si="10"/>
        <v>1</v>
      </c>
      <c r="J84" s="962"/>
      <c r="K84" s="52">
        <f t="shared" si="11"/>
        <v>1</v>
      </c>
      <c r="L84" s="962"/>
      <c r="M84" s="52">
        <f t="shared" si="12"/>
        <v>1</v>
      </c>
      <c r="N84" s="962"/>
      <c r="O84" s="52">
        <f t="shared" si="13"/>
        <v>1</v>
      </c>
      <c r="P84" s="962"/>
      <c r="Q84" s="52">
        <f t="shared" si="14"/>
        <v>1</v>
      </c>
      <c r="R84" s="492">
        <f t="shared" si="15"/>
        <v>0</v>
      </c>
      <c r="S84" s="800">
        <f t="shared" si="17"/>
        <v>0</v>
      </c>
    </row>
    <row r="85" spans="1:19">
      <c r="A85" s="964"/>
      <c r="B85" s="136"/>
      <c r="C85" s="52">
        <f t="shared" si="7"/>
        <v>1</v>
      </c>
      <c r="D85" s="962"/>
      <c r="E85" s="52">
        <f t="shared" si="8"/>
        <v>1</v>
      </c>
      <c r="F85" s="962"/>
      <c r="G85" s="52">
        <f t="shared" si="9"/>
        <v>1</v>
      </c>
      <c r="H85" s="962"/>
      <c r="I85" s="52">
        <f t="shared" si="10"/>
        <v>1</v>
      </c>
      <c r="J85" s="962"/>
      <c r="K85" s="52">
        <f t="shared" si="11"/>
        <v>1</v>
      </c>
      <c r="L85" s="962"/>
      <c r="M85" s="52">
        <f t="shared" si="12"/>
        <v>1</v>
      </c>
      <c r="N85" s="962"/>
      <c r="O85" s="52">
        <f t="shared" si="13"/>
        <v>1</v>
      </c>
      <c r="P85" s="962"/>
      <c r="Q85" s="52">
        <f t="shared" si="14"/>
        <v>1</v>
      </c>
      <c r="R85" s="492">
        <f t="shared" si="15"/>
        <v>0</v>
      </c>
      <c r="S85" s="800">
        <f t="shared" si="17"/>
        <v>0</v>
      </c>
    </row>
    <row r="86" spans="1:19">
      <c r="A86" s="964"/>
      <c r="B86" s="136"/>
      <c r="C86" s="52">
        <f t="shared" si="7"/>
        <v>1</v>
      </c>
      <c r="D86" s="962"/>
      <c r="E86" s="52">
        <f t="shared" si="8"/>
        <v>1</v>
      </c>
      <c r="F86" s="962"/>
      <c r="G86" s="52">
        <f t="shared" si="9"/>
        <v>1</v>
      </c>
      <c r="H86" s="962"/>
      <c r="I86" s="52">
        <f t="shared" si="10"/>
        <v>1</v>
      </c>
      <c r="J86" s="962"/>
      <c r="K86" s="52">
        <f t="shared" si="11"/>
        <v>1</v>
      </c>
      <c r="L86" s="962"/>
      <c r="M86" s="52">
        <f t="shared" si="12"/>
        <v>1</v>
      </c>
      <c r="N86" s="962"/>
      <c r="O86" s="52">
        <f t="shared" si="13"/>
        <v>1</v>
      </c>
      <c r="P86" s="962"/>
      <c r="Q86" s="52">
        <f t="shared" si="14"/>
        <v>1</v>
      </c>
      <c r="R86" s="492">
        <f t="shared" si="15"/>
        <v>0</v>
      </c>
      <c r="S86" s="800">
        <f t="shared" si="17"/>
        <v>0</v>
      </c>
    </row>
    <row r="87" spans="1:19">
      <c r="A87" s="964"/>
      <c r="B87" s="136"/>
      <c r="C87" s="52">
        <f t="shared" si="7"/>
        <v>1</v>
      </c>
      <c r="D87" s="962"/>
      <c r="E87" s="52">
        <f t="shared" si="8"/>
        <v>1</v>
      </c>
      <c r="F87" s="962"/>
      <c r="G87" s="52">
        <f t="shared" si="9"/>
        <v>1</v>
      </c>
      <c r="H87" s="962"/>
      <c r="I87" s="52">
        <f t="shared" si="10"/>
        <v>1</v>
      </c>
      <c r="J87" s="962"/>
      <c r="K87" s="52">
        <f t="shared" si="11"/>
        <v>1</v>
      </c>
      <c r="L87" s="962"/>
      <c r="M87" s="52">
        <f t="shared" si="12"/>
        <v>1</v>
      </c>
      <c r="N87" s="962"/>
      <c r="O87" s="52">
        <f t="shared" si="13"/>
        <v>1</v>
      </c>
      <c r="P87" s="962"/>
      <c r="Q87" s="52">
        <f t="shared" si="14"/>
        <v>1</v>
      </c>
      <c r="R87" s="492">
        <f t="shared" si="15"/>
        <v>0</v>
      </c>
      <c r="S87" s="800">
        <f t="shared" si="17"/>
        <v>0</v>
      </c>
    </row>
    <row r="88" spans="1:19">
      <c r="A88" s="964"/>
      <c r="B88" s="136"/>
      <c r="C88" s="52">
        <f t="shared" si="7"/>
        <v>1</v>
      </c>
      <c r="D88" s="962"/>
      <c r="E88" s="52">
        <f t="shared" si="8"/>
        <v>1</v>
      </c>
      <c r="F88" s="962"/>
      <c r="G88" s="52">
        <f t="shared" si="9"/>
        <v>1</v>
      </c>
      <c r="H88" s="962"/>
      <c r="I88" s="52">
        <f t="shared" si="10"/>
        <v>1</v>
      </c>
      <c r="J88" s="962"/>
      <c r="K88" s="52">
        <f t="shared" si="11"/>
        <v>1</v>
      </c>
      <c r="L88" s="962"/>
      <c r="M88" s="52">
        <f t="shared" si="12"/>
        <v>1</v>
      </c>
      <c r="N88" s="962"/>
      <c r="O88" s="52">
        <f t="shared" si="13"/>
        <v>1</v>
      </c>
      <c r="P88" s="962"/>
      <c r="Q88" s="52">
        <f t="shared" si="14"/>
        <v>1</v>
      </c>
      <c r="R88" s="492">
        <f t="shared" si="15"/>
        <v>0</v>
      </c>
      <c r="S88" s="800">
        <f t="shared" si="17"/>
        <v>0</v>
      </c>
    </row>
    <row r="89" spans="1:19">
      <c r="A89" s="964"/>
      <c r="B89" s="136"/>
      <c r="C89" s="52">
        <f t="shared" si="7"/>
        <v>1</v>
      </c>
      <c r="D89" s="962"/>
      <c r="E89" s="52">
        <f t="shared" si="8"/>
        <v>1</v>
      </c>
      <c r="F89" s="962"/>
      <c r="G89" s="52">
        <f t="shared" si="9"/>
        <v>1</v>
      </c>
      <c r="H89" s="962"/>
      <c r="I89" s="52">
        <f t="shared" si="10"/>
        <v>1</v>
      </c>
      <c r="J89" s="962"/>
      <c r="K89" s="52">
        <f t="shared" si="11"/>
        <v>1</v>
      </c>
      <c r="L89" s="962"/>
      <c r="M89" s="52">
        <f t="shared" si="12"/>
        <v>1</v>
      </c>
      <c r="N89" s="962"/>
      <c r="O89" s="52">
        <f t="shared" si="13"/>
        <v>1</v>
      </c>
      <c r="P89" s="962"/>
      <c r="Q89" s="52">
        <f t="shared" si="14"/>
        <v>1</v>
      </c>
      <c r="R89" s="492">
        <f t="shared" si="15"/>
        <v>0</v>
      </c>
      <c r="S89" s="800">
        <f t="shared" si="17"/>
        <v>0</v>
      </c>
    </row>
    <row r="90" spans="1:19">
      <c r="A90" s="964"/>
      <c r="B90" s="136"/>
      <c r="C90" s="52">
        <f t="shared" ref="C90:C153" si="18">IF(B90="",1,(LOOKUP(B90,$3:$3,$4:$4)-LOOKUP($B$24,$3:$3,$4:$4)+100)/100)</f>
        <v>1</v>
      </c>
      <c r="D90" s="962"/>
      <c r="E90" s="52">
        <f t="shared" ref="E90:E153" si="19">(SUMIF($5:$5,D90,$6:$6)-SUMIF($5:$5,$D$24,$6:$6)+100)/100</f>
        <v>1</v>
      </c>
      <c r="F90" s="962"/>
      <c r="G90" s="52">
        <f t="shared" ref="G90:G153" si="20">(SUMIF($7:$7,F90,$8:$8)-SUMIF($7:$7,$F$24,$8:$8)+100)/100</f>
        <v>1</v>
      </c>
      <c r="H90" s="962"/>
      <c r="I90" s="52">
        <f t="shared" ref="I90:I153" si="21">(SUMIF($9:$9,H90,$10:$10)-SUMIF($9:$9,$H$24,$10:$10)+100)/100</f>
        <v>1</v>
      </c>
      <c r="J90" s="962"/>
      <c r="K90" s="52">
        <f t="shared" ref="K90:K153" si="22">(SUMIF($11:$11,J90,$12:$12)-SUMIF($11:$11,$J$24,$12:$12)+100)/100</f>
        <v>1</v>
      </c>
      <c r="L90" s="962"/>
      <c r="M90" s="52">
        <f t="shared" ref="M90:M153" si="23">(SUMIF($13:$13,L90,$14:$14)-SUMIF($13:$13,$L$24,$14:$14)+100)/100</f>
        <v>1</v>
      </c>
      <c r="N90" s="962"/>
      <c r="O90" s="52">
        <f t="shared" ref="O90:O153" si="24">(SUMIF($15:$15,N90,$16:$16)-SUMIF($15:$15,$N$24,$16:$16)+100)/100</f>
        <v>1</v>
      </c>
      <c r="P90" s="962"/>
      <c r="Q90" s="52">
        <f t="shared" ref="Q90:Q153" si="25">(SUMIF($17:$17,P90,$18:$18)-SUMIF($17:$17,$P$24,$18:$18)+100)/100</f>
        <v>1</v>
      </c>
      <c r="R90" s="492">
        <f t="shared" ref="R90:R153" si="26">IF(B90="",0,ROUND($R$24*C90*E90*G90*I90*K90*M90*O90*Q90,0))</f>
        <v>0</v>
      </c>
      <c r="S90" s="800">
        <f t="shared" si="17"/>
        <v>0</v>
      </c>
    </row>
    <row r="91" spans="1:19">
      <c r="A91" s="964"/>
      <c r="B91" s="136"/>
      <c r="C91" s="52">
        <f t="shared" si="18"/>
        <v>1</v>
      </c>
      <c r="D91" s="962"/>
      <c r="E91" s="52">
        <f t="shared" si="19"/>
        <v>1</v>
      </c>
      <c r="F91" s="962"/>
      <c r="G91" s="52">
        <f t="shared" si="20"/>
        <v>1</v>
      </c>
      <c r="H91" s="962"/>
      <c r="I91" s="52">
        <f t="shared" si="21"/>
        <v>1</v>
      </c>
      <c r="J91" s="962"/>
      <c r="K91" s="52">
        <f t="shared" si="22"/>
        <v>1</v>
      </c>
      <c r="L91" s="962"/>
      <c r="M91" s="52">
        <f t="shared" si="23"/>
        <v>1</v>
      </c>
      <c r="N91" s="962"/>
      <c r="O91" s="52">
        <f t="shared" si="24"/>
        <v>1</v>
      </c>
      <c r="P91" s="962"/>
      <c r="Q91" s="52">
        <f t="shared" si="25"/>
        <v>1</v>
      </c>
      <c r="R91" s="492">
        <f t="shared" si="26"/>
        <v>0</v>
      </c>
      <c r="S91" s="800">
        <f t="shared" si="17"/>
        <v>0</v>
      </c>
    </row>
    <row r="92" spans="1:19">
      <c r="A92" s="964"/>
      <c r="B92" s="136"/>
      <c r="C92" s="52">
        <f t="shared" si="18"/>
        <v>1</v>
      </c>
      <c r="D92" s="962"/>
      <c r="E92" s="52">
        <f t="shared" si="19"/>
        <v>1</v>
      </c>
      <c r="F92" s="962"/>
      <c r="G92" s="52">
        <f t="shared" si="20"/>
        <v>1</v>
      </c>
      <c r="H92" s="962"/>
      <c r="I92" s="52">
        <f t="shared" si="21"/>
        <v>1</v>
      </c>
      <c r="J92" s="962"/>
      <c r="K92" s="52">
        <f t="shared" si="22"/>
        <v>1</v>
      </c>
      <c r="L92" s="962"/>
      <c r="M92" s="52">
        <f t="shared" si="23"/>
        <v>1</v>
      </c>
      <c r="N92" s="962"/>
      <c r="O92" s="52">
        <f t="shared" si="24"/>
        <v>1</v>
      </c>
      <c r="P92" s="962"/>
      <c r="Q92" s="52">
        <f t="shared" si="25"/>
        <v>1</v>
      </c>
      <c r="R92" s="492">
        <f t="shared" si="26"/>
        <v>0</v>
      </c>
      <c r="S92" s="800">
        <f t="shared" si="17"/>
        <v>0</v>
      </c>
    </row>
    <row r="93" spans="1:19">
      <c r="A93" s="964"/>
      <c r="B93" s="136"/>
      <c r="C93" s="52">
        <f t="shared" si="18"/>
        <v>1</v>
      </c>
      <c r="D93" s="962"/>
      <c r="E93" s="52">
        <f t="shared" si="19"/>
        <v>1</v>
      </c>
      <c r="F93" s="962"/>
      <c r="G93" s="52">
        <f t="shared" si="20"/>
        <v>1</v>
      </c>
      <c r="H93" s="962"/>
      <c r="I93" s="52">
        <f t="shared" si="21"/>
        <v>1</v>
      </c>
      <c r="J93" s="962"/>
      <c r="K93" s="52">
        <f t="shared" si="22"/>
        <v>1</v>
      </c>
      <c r="L93" s="962"/>
      <c r="M93" s="52">
        <f t="shared" si="23"/>
        <v>1</v>
      </c>
      <c r="N93" s="962"/>
      <c r="O93" s="52">
        <f t="shared" si="24"/>
        <v>1</v>
      </c>
      <c r="P93" s="962"/>
      <c r="Q93" s="52">
        <f t="shared" si="25"/>
        <v>1</v>
      </c>
      <c r="R93" s="492">
        <f t="shared" si="26"/>
        <v>0</v>
      </c>
      <c r="S93" s="800">
        <f t="shared" si="17"/>
        <v>0</v>
      </c>
    </row>
    <row r="94" spans="1:19">
      <c r="A94" s="964"/>
      <c r="B94" s="136"/>
      <c r="C94" s="52">
        <f t="shared" si="18"/>
        <v>1</v>
      </c>
      <c r="D94" s="962"/>
      <c r="E94" s="52">
        <f t="shared" si="19"/>
        <v>1</v>
      </c>
      <c r="F94" s="962"/>
      <c r="G94" s="52">
        <f t="shared" si="20"/>
        <v>1</v>
      </c>
      <c r="H94" s="962"/>
      <c r="I94" s="52">
        <f t="shared" si="21"/>
        <v>1</v>
      </c>
      <c r="J94" s="962"/>
      <c r="K94" s="52">
        <f t="shared" si="22"/>
        <v>1</v>
      </c>
      <c r="L94" s="962"/>
      <c r="M94" s="52">
        <f t="shared" si="23"/>
        <v>1</v>
      </c>
      <c r="N94" s="962"/>
      <c r="O94" s="52">
        <f t="shared" si="24"/>
        <v>1</v>
      </c>
      <c r="P94" s="962"/>
      <c r="Q94" s="52">
        <f t="shared" si="25"/>
        <v>1</v>
      </c>
      <c r="R94" s="492">
        <f t="shared" si="26"/>
        <v>0</v>
      </c>
      <c r="S94" s="800">
        <f t="shared" si="17"/>
        <v>0</v>
      </c>
    </row>
    <row r="95" spans="1:19">
      <c r="A95" s="964"/>
      <c r="B95" s="136"/>
      <c r="C95" s="52">
        <f t="shared" si="18"/>
        <v>1</v>
      </c>
      <c r="D95" s="962"/>
      <c r="E95" s="52">
        <f t="shared" si="19"/>
        <v>1</v>
      </c>
      <c r="F95" s="962"/>
      <c r="G95" s="52">
        <f t="shared" si="20"/>
        <v>1</v>
      </c>
      <c r="H95" s="962"/>
      <c r="I95" s="52">
        <f t="shared" si="21"/>
        <v>1</v>
      </c>
      <c r="J95" s="962"/>
      <c r="K95" s="52">
        <f t="shared" si="22"/>
        <v>1</v>
      </c>
      <c r="L95" s="962"/>
      <c r="M95" s="52">
        <f t="shared" si="23"/>
        <v>1</v>
      </c>
      <c r="N95" s="962"/>
      <c r="O95" s="52">
        <f t="shared" si="24"/>
        <v>1</v>
      </c>
      <c r="P95" s="962"/>
      <c r="Q95" s="52">
        <f t="shared" si="25"/>
        <v>1</v>
      </c>
      <c r="R95" s="492">
        <f t="shared" si="26"/>
        <v>0</v>
      </c>
      <c r="S95" s="800">
        <f t="shared" si="17"/>
        <v>0</v>
      </c>
    </row>
    <row r="96" spans="1:19">
      <c r="A96" s="964"/>
      <c r="B96" s="136"/>
      <c r="C96" s="52">
        <f t="shared" si="18"/>
        <v>1</v>
      </c>
      <c r="D96" s="962"/>
      <c r="E96" s="52">
        <f t="shared" si="19"/>
        <v>1</v>
      </c>
      <c r="F96" s="962"/>
      <c r="G96" s="52">
        <f t="shared" si="20"/>
        <v>1</v>
      </c>
      <c r="H96" s="962"/>
      <c r="I96" s="52">
        <f t="shared" si="21"/>
        <v>1</v>
      </c>
      <c r="J96" s="962"/>
      <c r="K96" s="52">
        <f t="shared" si="22"/>
        <v>1</v>
      </c>
      <c r="L96" s="962"/>
      <c r="M96" s="52">
        <f t="shared" si="23"/>
        <v>1</v>
      </c>
      <c r="N96" s="962"/>
      <c r="O96" s="52">
        <f t="shared" si="24"/>
        <v>1</v>
      </c>
      <c r="P96" s="962"/>
      <c r="Q96" s="52">
        <f t="shared" si="25"/>
        <v>1</v>
      </c>
      <c r="R96" s="492">
        <f t="shared" si="26"/>
        <v>0</v>
      </c>
      <c r="S96" s="800">
        <f t="shared" si="17"/>
        <v>0</v>
      </c>
    </row>
    <row r="97" spans="1:19">
      <c r="A97" s="964"/>
      <c r="B97" s="136"/>
      <c r="C97" s="52">
        <f t="shared" si="18"/>
        <v>1</v>
      </c>
      <c r="D97" s="962"/>
      <c r="E97" s="52">
        <f t="shared" si="19"/>
        <v>1</v>
      </c>
      <c r="F97" s="962"/>
      <c r="G97" s="52">
        <f t="shared" si="20"/>
        <v>1</v>
      </c>
      <c r="H97" s="962"/>
      <c r="I97" s="52">
        <f t="shared" si="21"/>
        <v>1</v>
      </c>
      <c r="J97" s="962"/>
      <c r="K97" s="52">
        <f t="shared" si="22"/>
        <v>1</v>
      </c>
      <c r="L97" s="962"/>
      <c r="M97" s="52">
        <f t="shared" si="23"/>
        <v>1</v>
      </c>
      <c r="N97" s="962"/>
      <c r="O97" s="52">
        <f t="shared" si="24"/>
        <v>1</v>
      </c>
      <c r="P97" s="962"/>
      <c r="Q97" s="52">
        <f t="shared" si="25"/>
        <v>1</v>
      </c>
      <c r="R97" s="492">
        <f t="shared" si="26"/>
        <v>0</v>
      </c>
      <c r="S97" s="800">
        <f t="shared" si="17"/>
        <v>0</v>
      </c>
    </row>
    <row r="98" spans="1:19">
      <c r="A98" s="964"/>
      <c r="B98" s="136"/>
      <c r="C98" s="52">
        <f t="shared" si="18"/>
        <v>1</v>
      </c>
      <c r="D98" s="962"/>
      <c r="E98" s="52">
        <f t="shared" si="19"/>
        <v>1</v>
      </c>
      <c r="F98" s="962"/>
      <c r="G98" s="52">
        <f t="shared" si="20"/>
        <v>1</v>
      </c>
      <c r="H98" s="962"/>
      <c r="I98" s="52">
        <f t="shared" si="21"/>
        <v>1</v>
      </c>
      <c r="J98" s="962"/>
      <c r="K98" s="52">
        <f t="shared" si="22"/>
        <v>1</v>
      </c>
      <c r="L98" s="962"/>
      <c r="M98" s="52">
        <f t="shared" si="23"/>
        <v>1</v>
      </c>
      <c r="N98" s="962"/>
      <c r="O98" s="52">
        <f t="shared" si="24"/>
        <v>1</v>
      </c>
      <c r="P98" s="962"/>
      <c r="Q98" s="52">
        <f t="shared" si="25"/>
        <v>1</v>
      </c>
      <c r="R98" s="492">
        <f t="shared" si="26"/>
        <v>0</v>
      </c>
      <c r="S98" s="800">
        <f t="shared" si="17"/>
        <v>0</v>
      </c>
    </row>
    <row r="99" spans="1:19">
      <c r="A99" s="964"/>
      <c r="B99" s="136"/>
      <c r="C99" s="52">
        <f t="shared" si="18"/>
        <v>1</v>
      </c>
      <c r="D99" s="962"/>
      <c r="E99" s="52">
        <f t="shared" si="19"/>
        <v>1</v>
      </c>
      <c r="F99" s="962"/>
      <c r="G99" s="52">
        <f t="shared" si="20"/>
        <v>1</v>
      </c>
      <c r="H99" s="962"/>
      <c r="I99" s="52">
        <f t="shared" si="21"/>
        <v>1</v>
      </c>
      <c r="J99" s="962"/>
      <c r="K99" s="52">
        <f t="shared" si="22"/>
        <v>1</v>
      </c>
      <c r="L99" s="962"/>
      <c r="M99" s="52">
        <f t="shared" si="23"/>
        <v>1</v>
      </c>
      <c r="N99" s="962"/>
      <c r="O99" s="52">
        <f t="shared" si="24"/>
        <v>1</v>
      </c>
      <c r="P99" s="962"/>
      <c r="Q99" s="52">
        <f t="shared" si="25"/>
        <v>1</v>
      </c>
      <c r="R99" s="492">
        <f t="shared" si="26"/>
        <v>0</v>
      </c>
      <c r="S99" s="800">
        <f t="shared" si="17"/>
        <v>0</v>
      </c>
    </row>
    <row r="100" spans="1:19">
      <c r="A100" s="964"/>
      <c r="B100" s="136"/>
      <c r="C100" s="52">
        <f t="shared" si="18"/>
        <v>1</v>
      </c>
      <c r="D100" s="962"/>
      <c r="E100" s="52">
        <f t="shared" si="19"/>
        <v>1</v>
      </c>
      <c r="F100" s="962"/>
      <c r="G100" s="52">
        <f t="shared" si="20"/>
        <v>1</v>
      </c>
      <c r="H100" s="962"/>
      <c r="I100" s="52">
        <f t="shared" si="21"/>
        <v>1</v>
      </c>
      <c r="J100" s="962"/>
      <c r="K100" s="52">
        <f t="shared" si="22"/>
        <v>1</v>
      </c>
      <c r="L100" s="962"/>
      <c r="M100" s="52">
        <f t="shared" si="23"/>
        <v>1</v>
      </c>
      <c r="N100" s="962"/>
      <c r="O100" s="52">
        <f t="shared" si="24"/>
        <v>1</v>
      </c>
      <c r="P100" s="962"/>
      <c r="Q100" s="52">
        <f t="shared" si="25"/>
        <v>1</v>
      </c>
      <c r="R100" s="492">
        <f t="shared" si="26"/>
        <v>0</v>
      </c>
      <c r="S100" s="800">
        <f t="shared" si="17"/>
        <v>0</v>
      </c>
    </row>
    <row r="101" spans="1:19">
      <c r="A101" s="964"/>
      <c r="B101" s="136"/>
      <c r="C101" s="52">
        <f t="shared" si="18"/>
        <v>1</v>
      </c>
      <c r="D101" s="962"/>
      <c r="E101" s="52">
        <f t="shared" si="19"/>
        <v>1</v>
      </c>
      <c r="F101" s="962"/>
      <c r="G101" s="52">
        <f t="shared" si="20"/>
        <v>1</v>
      </c>
      <c r="H101" s="962"/>
      <c r="I101" s="52">
        <f t="shared" si="21"/>
        <v>1</v>
      </c>
      <c r="J101" s="962"/>
      <c r="K101" s="52">
        <f t="shared" si="22"/>
        <v>1</v>
      </c>
      <c r="L101" s="962"/>
      <c r="M101" s="52">
        <f t="shared" si="23"/>
        <v>1</v>
      </c>
      <c r="N101" s="962"/>
      <c r="O101" s="52">
        <f t="shared" si="24"/>
        <v>1</v>
      </c>
      <c r="P101" s="962"/>
      <c r="Q101" s="52">
        <f t="shared" si="25"/>
        <v>1</v>
      </c>
      <c r="R101" s="492">
        <f t="shared" si="26"/>
        <v>0</v>
      </c>
      <c r="S101" s="800">
        <f t="shared" si="17"/>
        <v>0</v>
      </c>
    </row>
    <row r="102" spans="1:19">
      <c r="A102" s="964"/>
      <c r="B102" s="136"/>
      <c r="C102" s="52">
        <f t="shared" si="18"/>
        <v>1</v>
      </c>
      <c r="D102" s="962"/>
      <c r="E102" s="52">
        <f t="shared" si="19"/>
        <v>1</v>
      </c>
      <c r="F102" s="962"/>
      <c r="G102" s="52">
        <f t="shared" si="20"/>
        <v>1</v>
      </c>
      <c r="H102" s="962"/>
      <c r="I102" s="52">
        <f t="shared" si="21"/>
        <v>1</v>
      </c>
      <c r="J102" s="962"/>
      <c r="K102" s="52">
        <f t="shared" si="22"/>
        <v>1</v>
      </c>
      <c r="L102" s="962"/>
      <c r="M102" s="52">
        <f t="shared" si="23"/>
        <v>1</v>
      </c>
      <c r="N102" s="962"/>
      <c r="O102" s="52">
        <f t="shared" si="24"/>
        <v>1</v>
      </c>
      <c r="P102" s="962"/>
      <c r="Q102" s="52">
        <f t="shared" si="25"/>
        <v>1</v>
      </c>
      <c r="R102" s="492">
        <f t="shared" si="26"/>
        <v>0</v>
      </c>
      <c r="S102" s="800">
        <f t="shared" si="17"/>
        <v>0</v>
      </c>
    </row>
    <row r="103" spans="1:19">
      <c r="A103" s="964"/>
      <c r="B103" s="136"/>
      <c r="C103" s="52">
        <f t="shared" si="18"/>
        <v>1</v>
      </c>
      <c r="D103" s="962"/>
      <c r="E103" s="52">
        <f t="shared" si="19"/>
        <v>1</v>
      </c>
      <c r="F103" s="962"/>
      <c r="G103" s="52">
        <f t="shared" si="20"/>
        <v>1</v>
      </c>
      <c r="H103" s="962"/>
      <c r="I103" s="52">
        <f t="shared" si="21"/>
        <v>1</v>
      </c>
      <c r="J103" s="962"/>
      <c r="K103" s="52">
        <f t="shared" si="22"/>
        <v>1</v>
      </c>
      <c r="L103" s="962"/>
      <c r="M103" s="52">
        <f t="shared" si="23"/>
        <v>1</v>
      </c>
      <c r="N103" s="962"/>
      <c r="O103" s="52">
        <f t="shared" si="24"/>
        <v>1</v>
      </c>
      <c r="P103" s="962"/>
      <c r="Q103" s="52">
        <f t="shared" si="25"/>
        <v>1</v>
      </c>
      <c r="R103" s="492">
        <f t="shared" si="26"/>
        <v>0</v>
      </c>
      <c r="S103" s="800">
        <f t="shared" si="17"/>
        <v>0</v>
      </c>
    </row>
    <row r="104" spans="1:19">
      <c r="A104" s="964"/>
      <c r="B104" s="136"/>
      <c r="C104" s="52">
        <f t="shared" si="18"/>
        <v>1</v>
      </c>
      <c r="D104" s="962"/>
      <c r="E104" s="52">
        <f t="shared" si="19"/>
        <v>1</v>
      </c>
      <c r="F104" s="962"/>
      <c r="G104" s="52">
        <f t="shared" si="20"/>
        <v>1</v>
      </c>
      <c r="H104" s="962"/>
      <c r="I104" s="52">
        <f t="shared" si="21"/>
        <v>1</v>
      </c>
      <c r="J104" s="962"/>
      <c r="K104" s="52">
        <f t="shared" si="22"/>
        <v>1</v>
      </c>
      <c r="L104" s="962"/>
      <c r="M104" s="52">
        <f t="shared" si="23"/>
        <v>1</v>
      </c>
      <c r="N104" s="962"/>
      <c r="O104" s="52">
        <f t="shared" si="24"/>
        <v>1</v>
      </c>
      <c r="P104" s="962"/>
      <c r="Q104" s="52">
        <f t="shared" si="25"/>
        <v>1</v>
      </c>
      <c r="R104" s="492">
        <f t="shared" si="26"/>
        <v>0</v>
      </c>
      <c r="S104" s="800">
        <f t="shared" si="17"/>
        <v>0</v>
      </c>
    </row>
    <row r="105" spans="1:19">
      <c r="A105" s="964"/>
      <c r="B105" s="136"/>
      <c r="C105" s="52">
        <f t="shared" si="18"/>
        <v>1</v>
      </c>
      <c r="D105" s="962"/>
      <c r="E105" s="52">
        <f t="shared" si="19"/>
        <v>1</v>
      </c>
      <c r="F105" s="962"/>
      <c r="G105" s="52">
        <f t="shared" si="20"/>
        <v>1</v>
      </c>
      <c r="H105" s="962"/>
      <c r="I105" s="52">
        <f t="shared" si="21"/>
        <v>1</v>
      </c>
      <c r="J105" s="962"/>
      <c r="K105" s="52">
        <f t="shared" si="22"/>
        <v>1</v>
      </c>
      <c r="L105" s="962"/>
      <c r="M105" s="52">
        <f t="shared" si="23"/>
        <v>1</v>
      </c>
      <c r="N105" s="962"/>
      <c r="O105" s="52">
        <f t="shared" si="24"/>
        <v>1</v>
      </c>
      <c r="P105" s="962"/>
      <c r="Q105" s="52">
        <f t="shared" si="25"/>
        <v>1</v>
      </c>
      <c r="R105" s="492">
        <f t="shared" si="26"/>
        <v>0</v>
      </c>
      <c r="S105" s="800">
        <f t="shared" si="17"/>
        <v>0</v>
      </c>
    </row>
    <row r="106" spans="1:19">
      <c r="A106" s="964"/>
      <c r="B106" s="136"/>
      <c r="C106" s="52">
        <f t="shared" si="18"/>
        <v>1</v>
      </c>
      <c r="D106" s="962"/>
      <c r="E106" s="52">
        <f t="shared" si="19"/>
        <v>1</v>
      </c>
      <c r="F106" s="962"/>
      <c r="G106" s="52">
        <f t="shared" si="20"/>
        <v>1</v>
      </c>
      <c r="H106" s="962"/>
      <c r="I106" s="52">
        <f t="shared" si="21"/>
        <v>1</v>
      </c>
      <c r="J106" s="962"/>
      <c r="K106" s="52">
        <f t="shared" si="22"/>
        <v>1</v>
      </c>
      <c r="L106" s="962"/>
      <c r="M106" s="52">
        <f t="shared" si="23"/>
        <v>1</v>
      </c>
      <c r="N106" s="962"/>
      <c r="O106" s="52">
        <f t="shared" si="24"/>
        <v>1</v>
      </c>
      <c r="P106" s="962"/>
      <c r="Q106" s="52">
        <f t="shared" si="25"/>
        <v>1</v>
      </c>
      <c r="R106" s="492">
        <f t="shared" si="26"/>
        <v>0</v>
      </c>
      <c r="S106" s="800">
        <f t="shared" si="17"/>
        <v>0</v>
      </c>
    </row>
    <row r="107" spans="1:19">
      <c r="A107" s="964"/>
      <c r="B107" s="136"/>
      <c r="C107" s="52">
        <f t="shared" si="18"/>
        <v>1</v>
      </c>
      <c r="D107" s="962"/>
      <c r="E107" s="52">
        <f t="shared" si="19"/>
        <v>1</v>
      </c>
      <c r="F107" s="962"/>
      <c r="G107" s="52">
        <f t="shared" si="20"/>
        <v>1</v>
      </c>
      <c r="H107" s="962"/>
      <c r="I107" s="52">
        <f t="shared" si="21"/>
        <v>1</v>
      </c>
      <c r="J107" s="962"/>
      <c r="K107" s="52">
        <f t="shared" si="22"/>
        <v>1</v>
      </c>
      <c r="L107" s="962"/>
      <c r="M107" s="52">
        <f t="shared" si="23"/>
        <v>1</v>
      </c>
      <c r="N107" s="962"/>
      <c r="O107" s="52">
        <f t="shared" si="24"/>
        <v>1</v>
      </c>
      <c r="P107" s="962"/>
      <c r="Q107" s="52">
        <f t="shared" si="25"/>
        <v>1</v>
      </c>
      <c r="R107" s="492">
        <f t="shared" si="26"/>
        <v>0</v>
      </c>
      <c r="S107" s="800">
        <f t="shared" si="17"/>
        <v>0</v>
      </c>
    </row>
    <row r="108" spans="1:19">
      <c r="A108" s="964"/>
      <c r="B108" s="136"/>
      <c r="C108" s="52">
        <f t="shared" si="18"/>
        <v>1</v>
      </c>
      <c r="D108" s="962"/>
      <c r="E108" s="52">
        <f t="shared" si="19"/>
        <v>1</v>
      </c>
      <c r="F108" s="962"/>
      <c r="G108" s="52">
        <f t="shared" si="20"/>
        <v>1</v>
      </c>
      <c r="H108" s="962"/>
      <c r="I108" s="52">
        <f t="shared" si="21"/>
        <v>1</v>
      </c>
      <c r="J108" s="962"/>
      <c r="K108" s="52">
        <f t="shared" si="22"/>
        <v>1</v>
      </c>
      <c r="L108" s="962"/>
      <c r="M108" s="52">
        <f t="shared" si="23"/>
        <v>1</v>
      </c>
      <c r="N108" s="962"/>
      <c r="O108" s="52">
        <f t="shared" si="24"/>
        <v>1</v>
      </c>
      <c r="P108" s="962"/>
      <c r="Q108" s="52">
        <f t="shared" si="25"/>
        <v>1</v>
      </c>
      <c r="R108" s="492">
        <f t="shared" si="26"/>
        <v>0</v>
      </c>
      <c r="S108" s="800">
        <f t="shared" si="17"/>
        <v>0</v>
      </c>
    </row>
    <row r="109" spans="1:19">
      <c r="A109" s="964"/>
      <c r="B109" s="136"/>
      <c r="C109" s="52">
        <f t="shared" si="18"/>
        <v>1</v>
      </c>
      <c r="D109" s="962"/>
      <c r="E109" s="52">
        <f t="shared" si="19"/>
        <v>1</v>
      </c>
      <c r="F109" s="962"/>
      <c r="G109" s="52">
        <f t="shared" si="20"/>
        <v>1</v>
      </c>
      <c r="H109" s="962"/>
      <c r="I109" s="52">
        <f t="shared" si="21"/>
        <v>1</v>
      </c>
      <c r="J109" s="962"/>
      <c r="K109" s="52">
        <f t="shared" si="22"/>
        <v>1</v>
      </c>
      <c r="L109" s="962"/>
      <c r="M109" s="52">
        <f t="shared" si="23"/>
        <v>1</v>
      </c>
      <c r="N109" s="962"/>
      <c r="O109" s="52">
        <f t="shared" si="24"/>
        <v>1</v>
      </c>
      <c r="P109" s="962"/>
      <c r="Q109" s="52">
        <f t="shared" si="25"/>
        <v>1</v>
      </c>
      <c r="R109" s="492">
        <f t="shared" si="26"/>
        <v>0</v>
      </c>
      <c r="S109" s="800">
        <f t="shared" si="17"/>
        <v>0</v>
      </c>
    </row>
    <row r="110" spans="1:19">
      <c r="A110" s="964"/>
      <c r="B110" s="136"/>
      <c r="C110" s="52">
        <f t="shared" si="18"/>
        <v>1</v>
      </c>
      <c r="D110" s="962"/>
      <c r="E110" s="52">
        <f t="shared" si="19"/>
        <v>1</v>
      </c>
      <c r="F110" s="962"/>
      <c r="G110" s="52">
        <f t="shared" si="20"/>
        <v>1</v>
      </c>
      <c r="H110" s="962"/>
      <c r="I110" s="52">
        <f t="shared" si="21"/>
        <v>1</v>
      </c>
      <c r="J110" s="962"/>
      <c r="K110" s="52">
        <f t="shared" si="22"/>
        <v>1</v>
      </c>
      <c r="L110" s="962"/>
      <c r="M110" s="52">
        <f t="shared" si="23"/>
        <v>1</v>
      </c>
      <c r="N110" s="962"/>
      <c r="O110" s="52">
        <f t="shared" si="24"/>
        <v>1</v>
      </c>
      <c r="P110" s="962"/>
      <c r="Q110" s="52">
        <f t="shared" si="25"/>
        <v>1</v>
      </c>
      <c r="R110" s="492">
        <f t="shared" si="26"/>
        <v>0</v>
      </c>
      <c r="S110" s="800">
        <f t="shared" si="17"/>
        <v>0</v>
      </c>
    </row>
    <row r="111" spans="1:19">
      <c r="A111" s="964"/>
      <c r="B111" s="136"/>
      <c r="C111" s="52">
        <f t="shared" si="18"/>
        <v>1</v>
      </c>
      <c r="D111" s="962"/>
      <c r="E111" s="52">
        <f t="shared" si="19"/>
        <v>1</v>
      </c>
      <c r="F111" s="962"/>
      <c r="G111" s="52">
        <f t="shared" si="20"/>
        <v>1</v>
      </c>
      <c r="H111" s="962"/>
      <c r="I111" s="52">
        <f t="shared" si="21"/>
        <v>1</v>
      </c>
      <c r="J111" s="962"/>
      <c r="K111" s="52">
        <f t="shared" si="22"/>
        <v>1</v>
      </c>
      <c r="L111" s="962"/>
      <c r="M111" s="52">
        <f t="shared" si="23"/>
        <v>1</v>
      </c>
      <c r="N111" s="962"/>
      <c r="O111" s="52">
        <f t="shared" si="24"/>
        <v>1</v>
      </c>
      <c r="P111" s="962"/>
      <c r="Q111" s="52">
        <f t="shared" si="25"/>
        <v>1</v>
      </c>
      <c r="R111" s="492">
        <f t="shared" si="26"/>
        <v>0</v>
      </c>
      <c r="S111" s="800">
        <f t="shared" si="17"/>
        <v>0</v>
      </c>
    </row>
    <row r="112" spans="1:19">
      <c r="A112" s="964"/>
      <c r="B112" s="136"/>
      <c r="C112" s="52">
        <f t="shared" si="18"/>
        <v>1</v>
      </c>
      <c r="D112" s="962"/>
      <c r="E112" s="52">
        <f t="shared" si="19"/>
        <v>1</v>
      </c>
      <c r="F112" s="962"/>
      <c r="G112" s="52">
        <f t="shared" si="20"/>
        <v>1</v>
      </c>
      <c r="H112" s="962"/>
      <c r="I112" s="52">
        <f t="shared" si="21"/>
        <v>1</v>
      </c>
      <c r="J112" s="962"/>
      <c r="K112" s="52">
        <f t="shared" si="22"/>
        <v>1</v>
      </c>
      <c r="L112" s="962"/>
      <c r="M112" s="52">
        <f t="shared" si="23"/>
        <v>1</v>
      </c>
      <c r="N112" s="962"/>
      <c r="O112" s="52">
        <f t="shared" si="24"/>
        <v>1</v>
      </c>
      <c r="P112" s="962"/>
      <c r="Q112" s="52">
        <f t="shared" si="25"/>
        <v>1</v>
      </c>
      <c r="R112" s="492">
        <f t="shared" si="26"/>
        <v>0</v>
      </c>
      <c r="S112" s="800">
        <f t="shared" si="17"/>
        <v>0</v>
      </c>
    </row>
    <row r="113" spans="1:19">
      <c r="A113" s="964"/>
      <c r="B113" s="136"/>
      <c r="C113" s="52">
        <f t="shared" si="18"/>
        <v>1</v>
      </c>
      <c r="D113" s="962"/>
      <c r="E113" s="52">
        <f t="shared" si="19"/>
        <v>1</v>
      </c>
      <c r="F113" s="962"/>
      <c r="G113" s="52">
        <f t="shared" si="20"/>
        <v>1</v>
      </c>
      <c r="H113" s="962"/>
      <c r="I113" s="52">
        <f t="shared" si="21"/>
        <v>1</v>
      </c>
      <c r="J113" s="962"/>
      <c r="K113" s="52">
        <f t="shared" si="22"/>
        <v>1</v>
      </c>
      <c r="L113" s="962"/>
      <c r="M113" s="52">
        <f t="shared" si="23"/>
        <v>1</v>
      </c>
      <c r="N113" s="962"/>
      <c r="O113" s="52">
        <f t="shared" si="24"/>
        <v>1</v>
      </c>
      <c r="P113" s="962"/>
      <c r="Q113" s="52">
        <f t="shared" si="25"/>
        <v>1</v>
      </c>
      <c r="R113" s="492">
        <f t="shared" si="26"/>
        <v>0</v>
      </c>
      <c r="S113" s="800">
        <f t="shared" si="17"/>
        <v>0</v>
      </c>
    </row>
    <row r="114" spans="1:19">
      <c r="A114" s="964"/>
      <c r="B114" s="136"/>
      <c r="C114" s="52">
        <f t="shared" si="18"/>
        <v>1</v>
      </c>
      <c r="D114" s="962"/>
      <c r="E114" s="52">
        <f t="shared" si="19"/>
        <v>1</v>
      </c>
      <c r="F114" s="962"/>
      <c r="G114" s="52">
        <f t="shared" si="20"/>
        <v>1</v>
      </c>
      <c r="H114" s="962"/>
      <c r="I114" s="52">
        <f t="shared" si="21"/>
        <v>1</v>
      </c>
      <c r="J114" s="962"/>
      <c r="K114" s="52">
        <f t="shared" si="22"/>
        <v>1</v>
      </c>
      <c r="L114" s="962"/>
      <c r="M114" s="52">
        <f t="shared" si="23"/>
        <v>1</v>
      </c>
      <c r="N114" s="962"/>
      <c r="O114" s="52">
        <f t="shared" si="24"/>
        <v>1</v>
      </c>
      <c r="P114" s="962"/>
      <c r="Q114" s="52">
        <f t="shared" si="25"/>
        <v>1</v>
      </c>
      <c r="R114" s="492">
        <f t="shared" si="26"/>
        <v>0</v>
      </c>
      <c r="S114" s="800">
        <f t="shared" si="17"/>
        <v>0</v>
      </c>
    </row>
    <row r="115" spans="1:19">
      <c r="A115" s="964"/>
      <c r="B115" s="136"/>
      <c r="C115" s="52">
        <f t="shared" si="18"/>
        <v>1</v>
      </c>
      <c r="D115" s="962"/>
      <c r="E115" s="52">
        <f t="shared" si="19"/>
        <v>1</v>
      </c>
      <c r="F115" s="962"/>
      <c r="G115" s="52">
        <f t="shared" si="20"/>
        <v>1</v>
      </c>
      <c r="H115" s="962"/>
      <c r="I115" s="52">
        <f t="shared" si="21"/>
        <v>1</v>
      </c>
      <c r="J115" s="962"/>
      <c r="K115" s="52">
        <f t="shared" si="22"/>
        <v>1</v>
      </c>
      <c r="L115" s="962"/>
      <c r="M115" s="52">
        <f t="shared" si="23"/>
        <v>1</v>
      </c>
      <c r="N115" s="962"/>
      <c r="O115" s="52">
        <f t="shared" si="24"/>
        <v>1</v>
      </c>
      <c r="P115" s="962"/>
      <c r="Q115" s="52">
        <f t="shared" si="25"/>
        <v>1</v>
      </c>
      <c r="R115" s="492">
        <f t="shared" si="26"/>
        <v>0</v>
      </c>
      <c r="S115" s="800">
        <f t="shared" si="17"/>
        <v>0</v>
      </c>
    </row>
    <row r="116" spans="1:19">
      <c r="A116" s="964"/>
      <c r="B116" s="136"/>
      <c r="C116" s="52">
        <f t="shared" si="18"/>
        <v>1</v>
      </c>
      <c r="D116" s="962"/>
      <c r="E116" s="52">
        <f t="shared" si="19"/>
        <v>1</v>
      </c>
      <c r="F116" s="962"/>
      <c r="G116" s="52">
        <f t="shared" si="20"/>
        <v>1</v>
      </c>
      <c r="H116" s="962"/>
      <c r="I116" s="52">
        <f t="shared" si="21"/>
        <v>1</v>
      </c>
      <c r="J116" s="962"/>
      <c r="K116" s="52">
        <f t="shared" si="22"/>
        <v>1</v>
      </c>
      <c r="L116" s="962"/>
      <c r="M116" s="52">
        <f t="shared" si="23"/>
        <v>1</v>
      </c>
      <c r="N116" s="962"/>
      <c r="O116" s="52">
        <f t="shared" si="24"/>
        <v>1</v>
      </c>
      <c r="P116" s="962"/>
      <c r="Q116" s="52">
        <f t="shared" si="25"/>
        <v>1</v>
      </c>
      <c r="R116" s="492">
        <f t="shared" si="26"/>
        <v>0</v>
      </c>
      <c r="S116" s="800">
        <f t="shared" si="17"/>
        <v>0</v>
      </c>
    </row>
    <row r="117" spans="1:19">
      <c r="A117" s="964"/>
      <c r="B117" s="136"/>
      <c r="C117" s="52">
        <f t="shared" si="18"/>
        <v>1</v>
      </c>
      <c r="D117" s="962"/>
      <c r="E117" s="52">
        <f t="shared" si="19"/>
        <v>1</v>
      </c>
      <c r="F117" s="962"/>
      <c r="G117" s="52">
        <f t="shared" si="20"/>
        <v>1</v>
      </c>
      <c r="H117" s="962"/>
      <c r="I117" s="52">
        <f t="shared" si="21"/>
        <v>1</v>
      </c>
      <c r="J117" s="962"/>
      <c r="K117" s="52">
        <f t="shared" si="22"/>
        <v>1</v>
      </c>
      <c r="L117" s="962"/>
      <c r="M117" s="52">
        <f t="shared" si="23"/>
        <v>1</v>
      </c>
      <c r="N117" s="962"/>
      <c r="O117" s="52">
        <f t="shared" si="24"/>
        <v>1</v>
      </c>
      <c r="P117" s="962"/>
      <c r="Q117" s="52">
        <f t="shared" si="25"/>
        <v>1</v>
      </c>
      <c r="R117" s="492">
        <f t="shared" si="26"/>
        <v>0</v>
      </c>
      <c r="S117" s="800">
        <f t="shared" si="17"/>
        <v>0</v>
      </c>
    </row>
    <row r="118" spans="1:19">
      <c r="A118" s="964"/>
      <c r="B118" s="136"/>
      <c r="C118" s="52">
        <f t="shared" si="18"/>
        <v>1</v>
      </c>
      <c r="D118" s="962"/>
      <c r="E118" s="52">
        <f t="shared" si="19"/>
        <v>1</v>
      </c>
      <c r="F118" s="962"/>
      <c r="G118" s="52">
        <f t="shared" si="20"/>
        <v>1</v>
      </c>
      <c r="H118" s="962"/>
      <c r="I118" s="52">
        <f t="shared" si="21"/>
        <v>1</v>
      </c>
      <c r="J118" s="962"/>
      <c r="K118" s="52">
        <f t="shared" si="22"/>
        <v>1</v>
      </c>
      <c r="L118" s="962"/>
      <c r="M118" s="52">
        <f t="shared" si="23"/>
        <v>1</v>
      </c>
      <c r="N118" s="962"/>
      <c r="O118" s="52">
        <f t="shared" si="24"/>
        <v>1</v>
      </c>
      <c r="P118" s="962"/>
      <c r="Q118" s="52">
        <f t="shared" si="25"/>
        <v>1</v>
      </c>
      <c r="R118" s="492">
        <f t="shared" si="26"/>
        <v>0</v>
      </c>
      <c r="S118" s="800">
        <f t="shared" si="17"/>
        <v>0</v>
      </c>
    </row>
    <row r="119" spans="1:19">
      <c r="A119" s="964"/>
      <c r="B119" s="136"/>
      <c r="C119" s="52">
        <f t="shared" si="18"/>
        <v>1</v>
      </c>
      <c r="D119" s="962"/>
      <c r="E119" s="52">
        <f t="shared" si="19"/>
        <v>1</v>
      </c>
      <c r="F119" s="962"/>
      <c r="G119" s="52">
        <f t="shared" si="20"/>
        <v>1</v>
      </c>
      <c r="H119" s="962"/>
      <c r="I119" s="52">
        <f t="shared" si="21"/>
        <v>1</v>
      </c>
      <c r="J119" s="962"/>
      <c r="K119" s="52">
        <f t="shared" si="22"/>
        <v>1</v>
      </c>
      <c r="L119" s="962"/>
      <c r="M119" s="52">
        <f t="shared" si="23"/>
        <v>1</v>
      </c>
      <c r="N119" s="962"/>
      <c r="O119" s="52">
        <f t="shared" si="24"/>
        <v>1</v>
      </c>
      <c r="P119" s="962"/>
      <c r="Q119" s="52">
        <f t="shared" si="25"/>
        <v>1</v>
      </c>
      <c r="R119" s="492">
        <f t="shared" si="26"/>
        <v>0</v>
      </c>
      <c r="S119" s="800">
        <f t="shared" si="17"/>
        <v>0</v>
      </c>
    </row>
    <row r="120" spans="1:19">
      <c r="A120" s="964"/>
      <c r="B120" s="136"/>
      <c r="C120" s="52">
        <f t="shared" si="18"/>
        <v>1</v>
      </c>
      <c r="D120" s="962"/>
      <c r="E120" s="52">
        <f t="shared" si="19"/>
        <v>1</v>
      </c>
      <c r="F120" s="962"/>
      <c r="G120" s="52">
        <f t="shared" si="20"/>
        <v>1</v>
      </c>
      <c r="H120" s="962"/>
      <c r="I120" s="52">
        <f t="shared" si="21"/>
        <v>1</v>
      </c>
      <c r="J120" s="962"/>
      <c r="K120" s="52">
        <f t="shared" si="22"/>
        <v>1</v>
      </c>
      <c r="L120" s="962"/>
      <c r="M120" s="52">
        <f t="shared" si="23"/>
        <v>1</v>
      </c>
      <c r="N120" s="962"/>
      <c r="O120" s="52">
        <f t="shared" si="24"/>
        <v>1</v>
      </c>
      <c r="P120" s="962"/>
      <c r="Q120" s="52">
        <f t="shared" si="25"/>
        <v>1</v>
      </c>
      <c r="R120" s="492">
        <f t="shared" si="26"/>
        <v>0</v>
      </c>
      <c r="S120" s="800">
        <f t="shared" si="17"/>
        <v>0</v>
      </c>
    </row>
    <row r="121" spans="1:19">
      <c r="A121" s="964"/>
      <c r="B121" s="136"/>
      <c r="C121" s="52">
        <f t="shared" si="18"/>
        <v>1</v>
      </c>
      <c r="D121" s="962"/>
      <c r="E121" s="52">
        <f t="shared" si="19"/>
        <v>1</v>
      </c>
      <c r="F121" s="962"/>
      <c r="G121" s="52">
        <f t="shared" si="20"/>
        <v>1</v>
      </c>
      <c r="H121" s="962"/>
      <c r="I121" s="52">
        <f t="shared" si="21"/>
        <v>1</v>
      </c>
      <c r="J121" s="962"/>
      <c r="K121" s="52">
        <f t="shared" si="22"/>
        <v>1</v>
      </c>
      <c r="L121" s="962"/>
      <c r="M121" s="52">
        <f t="shared" si="23"/>
        <v>1</v>
      </c>
      <c r="N121" s="962"/>
      <c r="O121" s="52">
        <f t="shared" si="24"/>
        <v>1</v>
      </c>
      <c r="P121" s="962"/>
      <c r="Q121" s="52">
        <f t="shared" si="25"/>
        <v>1</v>
      </c>
      <c r="R121" s="492">
        <f t="shared" si="26"/>
        <v>0</v>
      </c>
      <c r="S121" s="800">
        <f t="shared" si="17"/>
        <v>0</v>
      </c>
    </row>
    <row r="122" spans="1:19">
      <c r="A122" s="964"/>
      <c r="B122" s="136"/>
      <c r="C122" s="52">
        <f t="shared" si="18"/>
        <v>1</v>
      </c>
      <c r="D122" s="962"/>
      <c r="E122" s="52">
        <f t="shared" si="19"/>
        <v>1</v>
      </c>
      <c r="F122" s="962"/>
      <c r="G122" s="52">
        <f t="shared" si="20"/>
        <v>1</v>
      </c>
      <c r="H122" s="962"/>
      <c r="I122" s="52">
        <f t="shared" si="21"/>
        <v>1</v>
      </c>
      <c r="J122" s="962"/>
      <c r="K122" s="52">
        <f t="shared" si="22"/>
        <v>1</v>
      </c>
      <c r="L122" s="962"/>
      <c r="M122" s="52">
        <f t="shared" si="23"/>
        <v>1</v>
      </c>
      <c r="N122" s="962"/>
      <c r="O122" s="52">
        <f t="shared" si="24"/>
        <v>1</v>
      </c>
      <c r="P122" s="962"/>
      <c r="Q122" s="52">
        <f t="shared" si="25"/>
        <v>1</v>
      </c>
      <c r="R122" s="492">
        <f t="shared" si="26"/>
        <v>0</v>
      </c>
      <c r="S122" s="800">
        <f t="shared" si="17"/>
        <v>0</v>
      </c>
    </row>
    <row r="123" spans="1:19">
      <c r="A123" s="964"/>
      <c r="B123" s="136"/>
      <c r="C123" s="52">
        <f t="shared" si="18"/>
        <v>1</v>
      </c>
      <c r="D123" s="962"/>
      <c r="E123" s="52">
        <f t="shared" si="19"/>
        <v>1</v>
      </c>
      <c r="F123" s="962"/>
      <c r="G123" s="52">
        <f t="shared" si="20"/>
        <v>1</v>
      </c>
      <c r="H123" s="962"/>
      <c r="I123" s="52">
        <f t="shared" si="21"/>
        <v>1</v>
      </c>
      <c r="J123" s="962"/>
      <c r="K123" s="52">
        <f t="shared" si="22"/>
        <v>1</v>
      </c>
      <c r="L123" s="962"/>
      <c r="M123" s="52">
        <f t="shared" si="23"/>
        <v>1</v>
      </c>
      <c r="N123" s="962"/>
      <c r="O123" s="52">
        <f t="shared" si="24"/>
        <v>1</v>
      </c>
      <c r="P123" s="962"/>
      <c r="Q123" s="52">
        <f t="shared" si="25"/>
        <v>1</v>
      </c>
      <c r="R123" s="492">
        <f t="shared" si="26"/>
        <v>0</v>
      </c>
      <c r="S123" s="800">
        <f t="shared" ref="S123:S186" si="27">ROUND(R123*B123/10000,0)</f>
        <v>0</v>
      </c>
    </row>
    <row r="124" spans="1:19">
      <c r="A124" s="964"/>
      <c r="B124" s="136"/>
      <c r="C124" s="52">
        <f t="shared" si="18"/>
        <v>1</v>
      </c>
      <c r="D124" s="962"/>
      <c r="E124" s="52">
        <f t="shared" si="19"/>
        <v>1</v>
      </c>
      <c r="F124" s="962"/>
      <c r="G124" s="52">
        <f t="shared" si="20"/>
        <v>1</v>
      </c>
      <c r="H124" s="962"/>
      <c r="I124" s="52">
        <f t="shared" si="21"/>
        <v>1</v>
      </c>
      <c r="J124" s="962"/>
      <c r="K124" s="52">
        <f t="shared" si="22"/>
        <v>1</v>
      </c>
      <c r="L124" s="962"/>
      <c r="M124" s="52">
        <f t="shared" si="23"/>
        <v>1</v>
      </c>
      <c r="N124" s="962"/>
      <c r="O124" s="52">
        <f t="shared" si="24"/>
        <v>1</v>
      </c>
      <c r="P124" s="962"/>
      <c r="Q124" s="52">
        <f t="shared" si="25"/>
        <v>1</v>
      </c>
      <c r="R124" s="492">
        <f t="shared" si="26"/>
        <v>0</v>
      </c>
      <c r="S124" s="800">
        <f t="shared" si="27"/>
        <v>0</v>
      </c>
    </row>
    <row r="125" spans="1:19">
      <c r="A125" s="964"/>
      <c r="B125" s="136"/>
      <c r="C125" s="52">
        <f t="shared" si="18"/>
        <v>1</v>
      </c>
      <c r="D125" s="962"/>
      <c r="E125" s="52">
        <f t="shared" si="19"/>
        <v>1</v>
      </c>
      <c r="F125" s="962"/>
      <c r="G125" s="52">
        <f t="shared" si="20"/>
        <v>1</v>
      </c>
      <c r="H125" s="962"/>
      <c r="I125" s="52">
        <f t="shared" si="21"/>
        <v>1</v>
      </c>
      <c r="J125" s="962"/>
      <c r="K125" s="52">
        <f t="shared" si="22"/>
        <v>1</v>
      </c>
      <c r="L125" s="962"/>
      <c r="M125" s="52">
        <f t="shared" si="23"/>
        <v>1</v>
      </c>
      <c r="N125" s="962"/>
      <c r="O125" s="52">
        <f t="shared" si="24"/>
        <v>1</v>
      </c>
      <c r="P125" s="962"/>
      <c r="Q125" s="52">
        <f t="shared" si="25"/>
        <v>1</v>
      </c>
      <c r="R125" s="492">
        <f t="shared" si="26"/>
        <v>0</v>
      </c>
      <c r="S125" s="800">
        <f t="shared" si="27"/>
        <v>0</v>
      </c>
    </row>
    <row r="126" spans="1:19">
      <c r="A126" s="964"/>
      <c r="B126" s="136"/>
      <c r="C126" s="52">
        <f t="shared" si="18"/>
        <v>1</v>
      </c>
      <c r="D126" s="962"/>
      <c r="E126" s="52">
        <f t="shared" si="19"/>
        <v>1</v>
      </c>
      <c r="F126" s="962"/>
      <c r="G126" s="52">
        <f t="shared" si="20"/>
        <v>1</v>
      </c>
      <c r="H126" s="962"/>
      <c r="I126" s="52">
        <f t="shared" si="21"/>
        <v>1</v>
      </c>
      <c r="J126" s="962"/>
      <c r="K126" s="52">
        <f t="shared" si="22"/>
        <v>1</v>
      </c>
      <c r="L126" s="962"/>
      <c r="M126" s="52">
        <f t="shared" si="23"/>
        <v>1</v>
      </c>
      <c r="N126" s="962"/>
      <c r="O126" s="52">
        <f t="shared" si="24"/>
        <v>1</v>
      </c>
      <c r="P126" s="962"/>
      <c r="Q126" s="52">
        <f t="shared" si="25"/>
        <v>1</v>
      </c>
      <c r="R126" s="492">
        <f t="shared" si="26"/>
        <v>0</v>
      </c>
      <c r="S126" s="800">
        <f t="shared" si="27"/>
        <v>0</v>
      </c>
    </row>
    <row r="127" spans="1:19">
      <c r="A127" s="964"/>
      <c r="B127" s="136"/>
      <c r="C127" s="52">
        <f t="shared" si="18"/>
        <v>1</v>
      </c>
      <c r="D127" s="962"/>
      <c r="E127" s="52">
        <f t="shared" si="19"/>
        <v>1</v>
      </c>
      <c r="F127" s="962"/>
      <c r="G127" s="52">
        <f t="shared" si="20"/>
        <v>1</v>
      </c>
      <c r="H127" s="962"/>
      <c r="I127" s="52">
        <f t="shared" si="21"/>
        <v>1</v>
      </c>
      <c r="J127" s="962"/>
      <c r="K127" s="52">
        <f t="shared" si="22"/>
        <v>1</v>
      </c>
      <c r="L127" s="962"/>
      <c r="M127" s="52">
        <f t="shared" si="23"/>
        <v>1</v>
      </c>
      <c r="N127" s="962"/>
      <c r="O127" s="52">
        <f t="shared" si="24"/>
        <v>1</v>
      </c>
      <c r="P127" s="962"/>
      <c r="Q127" s="52">
        <f t="shared" si="25"/>
        <v>1</v>
      </c>
      <c r="R127" s="492">
        <f t="shared" si="26"/>
        <v>0</v>
      </c>
      <c r="S127" s="800">
        <f t="shared" si="27"/>
        <v>0</v>
      </c>
    </row>
    <row r="128" spans="1:19">
      <c r="A128" s="964"/>
      <c r="B128" s="136"/>
      <c r="C128" s="52">
        <f t="shared" si="18"/>
        <v>1</v>
      </c>
      <c r="D128" s="962"/>
      <c r="E128" s="52">
        <f t="shared" si="19"/>
        <v>1</v>
      </c>
      <c r="F128" s="962"/>
      <c r="G128" s="52">
        <f t="shared" si="20"/>
        <v>1</v>
      </c>
      <c r="H128" s="962"/>
      <c r="I128" s="52">
        <f t="shared" si="21"/>
        <v>1</v>
      </c>
      <c r="J128" s="962"/>
      <c r="K128" s="52">
        <f t="shared" si="22"/>
        <v>1</v>
      </c>
      <c r="L128" s="962"/>
      <c r="M128" s="52">
        <f t="shared" si="23"/>
        <v>1</v>
      </c>
      <c r="N128" s="962"/>
      <c r="O128" s="52">
        <f t="shared" si="24"/>
        <v>1</v>
      </c>
      <c r="P128" s="962"/>
      <c r="Q128" s="52">
        <f t="shared" si="25"/>
        <v>1</v>
      </c>
      <c r="R128" s="492">
        <f t="shared" si="26"/>
        <v>0</v>
      </c>
      <c r="S128" s="800">
        <f t="shared" si="27"/>
        <v>0</v>
      </c>
    </row>
    <row r="129" spans="1:19">
      <c r="A129" s="964"/>
      <c r="B129" s="136"/>
      <c r="C129" s="52">
        <f t="shared" si="18"/>
        <v>1</v>
      </c>
      <c r="D129" s="962"/>
      <c r="E129" s="52">
        <f t="shared" si="19"/>
        <v>1</v>
      </c>
      <c r="F129" s="962"/>
      <c r="G129" s="52">
        <f t="shared" si="20"/>
        <v>1</v>
      </c>
      <c r="H129" s="962"/>
      <c r="I129" s="52">
        <f t="shared" si="21"/>
        <v>1</v>
      </c>
      <c r="J129" s="962"/>
      <c r="K129" s="52">
        <f t="shared" si="22"/>
        <v>1</v>
      </c>
      <c r="L129" s="962"/>
      <c r="M129" s="52">
        <f t="shared" si="23"/>
        <v>1</v>
      </c>
      <c r="N129" s="962"/>
      <c r="O129" s="52">
        <f t="shared" si="24"/>
        <v>1</v>
      </c>
      <c r="P129" s="962"/>
      <c r="Q129" s="52">
        <f t="shared" si="25"/>
        <v>1</v>
      </c>
      <c r="R129" s="492">
        <f t="shared" si="26"/>
        <v>0</v>
      </c>
      <c r="S129" s="800">
        <f t="shared" si="27"/>
        <v>0</v>
      </c>
    </row>
    <row r="130" spans="1:19">
      <c r="A130" s="964"/>
      <c r="B130" s="136"/>
      <c r="C130" s="52">
        <f t="shared" si="18"/>
        <v>1</v>
      </c>
      <c r="D130" s="962"/>
      <c r="E130" s="52">
        <f t="shared" si="19"/>
        <v>1</v>
      </c>
      <c r="F130" s="962"/>
      <c r="G130" s="52">
        <f t="shared" si="20"/>
        <v>1</v>
      </c>
      <c r="H130" s="962"/>
      <c r="I130" s="52">
        <f t="shared" si="21"/>
        <v>1</v>
      </c>
      <c r="J130" s="962"/>
      <c r="K130" s="52">
        <f t="shared" si="22"/>
        <v>1</v>
      </c>
      <c r="L130" s="962"/>
      <c r="M130" s="52">
        <f t="shared" si="23"/>
        <v>1</v>
      </c>
      <c r="N130" s="962"/>
      <c r="O130" s="52">
        <f t="shared" si="24"/>
        <v>1</v>
      </c>
      <c r="P130" s="962"/>
      <c r="Q130" s="52">
        <f t="shared" si="25"/>
        <v>1</v>
      </c>
      <c r="R130" s="492">
        <f t="shared" si="26"/>
        <v>0</v>
      </c>
      <c r="S130" s="800">
        <f t="shared" si="27"/>
        <v>0</v>
      </c>
    </row>
    <row r="131" spans="1:19">
      <c r="A131" s="964"/>
      <c r="B131" s="136"/>
      <c r="C131" s="52">
        <f t="shared" si="18"/>
        <v>1</v>
      </c>
      <c r="D131" s="962"/>
      <c r="E131" s="52">
        <f t="shared" si="19"/>
        <v>1</v>
      </c>
      <c r="F131" s="962"/>
      <c r="G131" s="52">
        <f t="shared" si="20"/>
        <v>1</v>
      </c>
      <c r="H131" s="962"/>
      <c r="I131" s="52">
        <f t="shared" si="21"/>
        <v>1</v>
      </c>
      <c r="J131" s="962"/>
      <c r="K131" s="52">
        <f t="shared" si="22"/>
        <v>1</v>
      </c>
      <c r="L131" s="962"/>
      <c r="M131" s="52">
        <f t="shared" si="23"/>
        <v>1</v>
      </c>
      <c r="N131" s="962"/>
      <c r="O131" s="52">
        <f t="shared" si="24"/>
        <v>1</v>
      </c>
      <c r="P131" s="962"/>
      <c r="Q131" s="52">
        <f t="shared" si="25"/>
        <v>1</v>
      </c>
      <c r="R131" s="492">
        <f t="shared" si="26"/>
        <v>0</v>
      </c>
      <c r="S131" s="800">
        <f t="shared" si="27"/>
        <v>0</v>
      </c>
    </row>
    <row r="132" spans="1:19">
      <c r="A132" s="964"/>
      <c r="B132" s="136"/>
      <c r="C132" s="52">
        <f t="shared" si="18"/>
        <v>1</v>
      </c>
      <c r="D132" s="962"/>
      <c r="E132" s="52">
        <f t="shared" si="19"/>
        <v>1</v>
      </c>
      <c r="F132" s="962"/>
      <c r="G132" s="52">
        <f t="shared" si="20"/>
        <v>1</v>
      </c>
      <c r="H132" s="962"/>
      <c r="I132" s="52">
        <f t="shared" si="21"/>
        <v>1</v>
      </c>
      <c r="J132" s="962"/>
      <c r="K132" s="52">
        <f t="shared" si="22"/>
        <v>1</v>
      </c>
      <c r="L132" s="962"/>
      <c r="M132" s="52">
        <f t="shared" si="23"/>
        <v>1</v>
      </c>
      <c r="N132" s="962"/>
      <c r="O132" s="52">
        <f t="shared" si="24"/>
        <v>1</v>
      </c>
      <c r="P132" s="962"/>
      <c r="Q132" s="52">
        <f t="shared" si="25"/>
        <v>1</v>
      </c>
      <c r="R132" s="492">
        <f t="shared" si="26"/>
        <v>0</v>
      </c>
      <c r="S132" s="800">
        <f t="shared" si="27"/>
        <v>0</v>
      </c>
    </row>
    <row r="133" spans="1:19">
      <c r="A133" s="964"/>
      <c r="B133" s="136"/>
      <c r="C133" s="52">
        <f t="shared" si="18"/>
        <v>1</v>
      </c>
      <c r="D133" s="962"/>
      <c r="E133" s="52">
        <f t="shared" si="19"/>
        <v>1</v>
      </c>
      <c r="F133" s="962"/>
      <c r="G133" s="52">
        <f t="shared" si="20"/>
        <v>1</v>
      </c>
      <c r="H133" s="962"/>
      <c r="I133" s="52">
        <f t="shared" si="21"/>
        <v>1</v>
      </c>
      <c r="J133" s="962"/>
      <c r="K133" s="52">
        <f t="shared" si="22"/>
        <v>1</v>
      </c>
      <c r="L133" s="962"/>
      <c r="M133" s="52">
        <f t="shared" si="23"/>
        <v>1</v>
      </c>
      <c r="N133" s="962"/>
      <c r="O133" s="52">
        <f t="shared" si="24"/>
        <v>1</v>
      </c>
      <c r="P133" s="962"/>
      <c r="Q133" s="52">
        <f t="shared" si="25"/>
        <v>1</v>
      </c>
      <c r="R133" s="492">
        <f t="shared" si="26"/>
        <v>0</v>
      </c>
      <c r="S133" s="800">
        <f t="shared" si="27"/>
        <v>0</v>
      </c>
    </row>
    <row r="134" spans="1:19">
      <c r="A134" s="964"/>
      <c r="B134" s="136"/>
      <c r="C134" s="52">
        <f t="shared" si="18"/>
        <v>1</v>
      </c>
      <c r="D134" s="962"/>
      <c r="E134" s="52">
        <f t="shared" si="19"/>
        <v>1</v>
      </c>
      <c r="F134" s="962"/>
      <c r="G134" s="52">
        <f t="shared" si="20"/>
        <v>1</v>
      </c>
      <c r="H134" s="962"/>
      <c r="I134" s="52">
        <f t="shared" si="21"/>
        <v>1</v>
      </c>
      <c r="J134" s="962"/>
      <c r="K134" s="52">
        <f t="shared" si="22"/>
        <v>1</v>
      </c>
      <c r="L134" s="962"/>
      <c r="M134" s="52">
        <f t="shared" si="23"/>
        <v>1</v>
      </c>
      <c r="N134" s="962"/>
      <c r="O134" s="52">
        <f t="shared" si="24"/>
        <v>1</v>
      </c>
      <c r="P134" s="962"/>
      <c r="Q134" s="52">
        <f t="shared" si="25"/>
        <v>1</v>
      </c>
      <c r="R134" s="492">
        <f t="shared" si="26"/>
        <v>0</v>
      </c>
      <c r="S134" s="800">
        <f t="shared" si="27"/>
        <v>0</v>
      </c>
    </row>
    <row r="135" spans="1:19">
      <c r="A135" s="964"/>
      <c r="B135" s="136"/>
      <c r="C135" s="52">
        <f t="shared" si="18"/>
        <v>1</v>
      </c>
      <c r="D135" s="962"/>
      <c r="E135" s="52">
        <f t="shared" si="19"/>
        <v>1</v>
      </c>
      <c r="F135" s="962"/>
      <c r="G135" s="52">
        <f t="shared" si="20"/>
        <v>1</v>
      </c>
      <c r="H135" s="962"/>
      <c r="I135" s="52">
        <f t="shared" si="21"/>
        <v>1</v>
      </c>
      <c r="J135" s="962"/>
      <c r="K135" s="52">
        <f t="shared" si="22"/>
        <v>1</v>
      </c>
      <c r="L135" s="962"/>
      <c r="M135" s="52">
        <f t="shared" si="23"/>
        <v>1</v>
      </c>
      <c r="N135" s="962"/>
      <c r="O135" s="52">
        <f t="shared" si="24"/>
        <v>1</v>
      </c>
      <c r="P135" s="962"/>
      <c r="Q135" s="52">
        <f t="shared" si="25"/>
        <v>1</v>
      </c>
      <c r="R135" s="492">
        <f t="shared" si="26"/>
        <v>0</v>
      </c>
      <c r="S135" s="800">
        <f t="shared" si="27"/>
        <v>0</v>
      </c>
    </row>
    <row r="136" spans="1:19">
      <c r="A136" s="964"/>
      <c r="B136" s="136"/>
      <c r="C136" s="52">
        <f t="shared" si="18"/>
        <v>1</v>
      </c>
      <c r="D136" s="962"/>
      <c r="E136" s="52">
        <f t="shared" si="19"/>
        <v>1</v>
      </c>
      <c r="F136" s="962"/>
      <c r="G136" s="52">
        <f t="shared" si="20"/>
        <v>1</v>
      </c>
      <c r="H136" s="962"/>
      <c r="I136" s="52">
        <f t="shared" si="21"/>
        <v>1</v>
      </c>
      <c r="J136" s="962"/>
      <c r="K136" s="52">
        <f t="shared" si="22"/>
        <v>1</v>
      </c>
      <c r="L136" s="962"/>
      <c r="M136" s="52">
        <f t="shared" si="23"/>
        <v>1</v>
      </c>
      <c r="N136" s="962"/>
      <c r="O136" s="52">
        <f t="shared" si="24"/>
        <v>1</v>
      </c>
      <c r="P136" s="962"/>
      <c r="Q136" s="52">
        <f t="shared" si="25"/>
        <v>1</v>
      </c>
      <c r="R136" s="492">
        <f t="shared" si="26"/>
        <v>0</v>
      </c>
      <c r="S136" s="800">
        <f t="shared" si="27"/>
        <v>0</v>
      </c>
    </row>
    <row r="137" spans="1:19">
      <c r="A137" s="964"/>
      <c r="B137" s="136"/>
      <c r="C137" s="52">
        <f t="shared" si="18"/>
        <v>1</v>
      </c>
      <c r="D137" s="962"/>
      <c r="E137" s="52">
        <f t="shared" si="19"/>
        <v>1</v>
      </c>
      <c r="F137" s="962"/>
      <c r="G137" s="52">
        <f t="shared" si="20"/>
        <v>1</v>
      </c>
      <c r="H137" s="962"/>
      <c r="I137" s="52">
        <f t="shared" si="21"/>
        <v>1</v>
      </c>
      <c r="J137" s="962"/>
      <c r="K137" s="52">
        <f t="shared" si="22"/>
        <v>1</v>
      </c>
      <c r="L137" s="962"/>
      <c r="M137" s="52">
        <f t="shared" si="23"/>
        <v>1</v>
      </c>
      <c r="N137" s="962"/>
      <c r="O137" s="52">
        <f t="shared" si="24"/>
        <v>1</v>
      </c>
      <c r="P137" s="962"/>
      <c r="Q137" s="52">
        <f t="shared" si="25"/>
        <v>1</v>
      </c>
      <c r="R137" s="492">
        <f t="shared" si="26"/>
        <v>0</v>
      </c>
      <c r="S137" s="800">
        <f t="shared" si="27"/>
        <v>0</v>
      </c>
    </row>
    <row r="138" spans="1:19">
      <c r="A138" s="964"/>
      <c r="B138" s="136"/>
      <c r="C138" s="52">
        <f t="shared" si="18"/>
        <v>1</v>
      </c>
      <c r="D138" s="962"/>
      <c r="E138" s="52">
        <f t="shared" si="19"/>
        <v>1</v>
      </c>
      <c r="F138" s="962"/>
      <c r="G138" s="52">
        <f t="shared" si="20"/>
        <v>1</v>
      </c>
      <c r="H138" s="962"/>
      <c r="I138" s="52">
        <f t="shared" si="21"/>
        <v>1</v>
      </c>
      <c r="J138" s="962"/>
      <c r="K138" s="52">
        <f t="shared" si="22"/>
        <v>1</v>
      </c>
      <c r="L138" s="962"/>
      <c r="M138" s="52">
        <f t="shared" si="23"/>
        <v>1</v>
      </c>
      <c r="N138" s="962"/>
      <c r="O138" s="52">
        <f t="shared" si="24"/>
        <v>1</v>
      </c>
      <c r="P138" s="962"/>
      <c r="Q138" s="52">
        <f t="shared" si="25"/>
        <v>1</v>
      </c>
      <c r="R138" s="492">
        <f t="shared" si="26"/>
        <v>0</v>
      </c>
      <c r="S138" s="800">
        <f t="shared" si="27"/>
        <v>0</v>
      </c>
    </row>
    <row r="139" spans="1:19">
      <c r="A139" s="964"/>
      <c r="B139" s="136"/>
      <c r="C139" s="52">
        <f t="shared" si="18"/>
        <v>1</v>
      </c>
      <c r="D139" s="962"/>
      <c r="E139" s="52">
        <f t="shared" si="19"/>
        <v>1</v>
      </c>
      <c r="F139" s="962"/>
      <c r="G139" s="52">
        <f t="shared" si="20"/>
        <v>1</v>
      </c>
      <c r="H139" s="962"/>
      <c r="I139" s="52">
        <f t="shared" si="21"/>
        <v>1</v>
      </c>
      <c r="J139" s="962"/>
      <c r="K139" s="52">
        <f t="shared" si="22"/>
        <v>1</v>
      </c>
      <c r="L139" s="962"/>
      <c r="M139" s="52">
        <f t="shared" si="23"/>
        <v>1</v>
      </c>
      <c r="N139" s="962"/>
      <c r="O139" s="52">
        <f t="shared" si="24"/>
        <v>1</v>
      </c>
      <c r="P139" s="962"/>
      <c r="Q139" s="52">
        <f t="shared" si="25"/>
        <v>1</v>
      </c>
      <c r="R139" s="492">
        <f t="shared" si="26"/>
        <v>0</v>
      </c>
      <c r="S139" s="800">
        <f t="shared" si="27"/>
        <v>0</v>
      </c>
    </row>
    <row r="140" spans="1:19">
      <c r="A140" s="964"/>
      <c r="B140" s="136"/>
      <c r="C140" s="52">
        <f t="shared" si="18"/>
        <v>1</v>
      </c>
      <c r="D140" s="962"/>
      <c r="E140" s="52">
        <f t="shared" si="19"/>
        <v>1</v>
      </c>
      <c r="F140" s="962"/>
      <c r="G140" s="52">
        <f t="shared" si="20"/>
        <v>1</v>
      </c>
      <c r="H140" s="962"/>
      <c r="I140" s="52">
        <f t="shared" si="21"/>
        <v>1</v>
      </c>
      <c r="J140" s="962"/>
      <c r="K140" s="52">
        <f t="shared" si="22"/>
        <v>1</v>
      </c>
      <c r="L140" s="962"/>
      <c r="M140" s="52">
        <f t="shared" si="23"/>
        <v>1</v>
      </c>
      <c r="N140" s="962"/>
      <c r="O140" s="52">
        <f t="shared" si="24"/>
        <v>1</v>
      </c>
      <c r="P140" s="962"/>
      <c r="Q140" s="52">
        <f t="shared" si="25"/>
        <v>1</v>
      </c>
      <c r="R140" s="492">
        <f t="shared" si="26"/>
        <v>0</v>
      </c>
      <c r="S140" s="800">
        <f t="shared" si="27"/>
        <v>0</v>
      </c>
    </row>
    <row r="141" spans="1:19">
      <c r="A141" s="964"/>
      <c r="B141" s="136"/>
      <c r="C141" s="52">
        <f t="shared" si="18"/>
        <v>1</v>
      </c>
      <c r="D141" s="962"/>
      <c r="E141" s="52">
        <f t="shared" si="19"/>
        <v>1</v>
      </c>
      <c r="F141" s="962"/>
      <c r="G141" s="52">
        <f t="shared" si="20"/>
        <v>1</v>
      </c>
      <c r="H141" s="962"/>
      <c r="I141" s="52">
        <f t="shared" si="21"/>
        <v>1</v>
      </c>
      <c r="J141" s="962"/>
      <c r="K141" s="52">
        <f t="shared" si="22"/>
        <v>1</v>
      </c>
      <c r="L141" s="962"/>
      <c r="M141" s="52">
        <f t="shared" si="23"/>
        <v>1</v>
      </c>
      <c r="N141" s="962"/>
      <c r="O141" s="52">
        <f t="shared" si="24"/>
        <v>1</v>
      </c>
      <c r="P141" s="962"/>
      <c r="Q141" s="52">
        <f t="shared" si="25"/>
        <v>1</v>
      </c>
      <c r="R141" s="492">
        <f t="shared" si="26"/>
        <v>0</v>
      </c>
      <c r="S141" s="800">
        <f t="shared" si="27"/>
        <v>0</v>
      </c>
    </row>
    <row r="142" spans="1:19">
      <c r="A142" s="964"/>
      <c r="B142" s="136"/>
      <c r="C142" s="52">
        <f t="shared" si="18"/>
        <v>1</v>
      </c>
      <c r="D142" s="962"/>
      <c r="E142" s="52">
        <f t="shared" si="19"/>
        <v>1</v>
      </c>
      <c r="F142" s="962"/>
      <c r="G142" s="52">
        <f t="shared" si="20"/>
        <v>1</v>
      </c>
      <c r="H142" s="962"/>
      <c r="I142" s="52">
        <f t="shared" si="21"/>
        <v>1</v>
      </c>
      <c r="J142" s="962"/>
      <c r="K142" s="52">
        <f t="shared" si="22"/>
        <v>1</v>
      </c>
      <c r="L142" s="962"/>
      <c r="M142" s="52">
        <f t="shared" si="23"/>
        <v>1</v>
      </c>
      <c r="N142" s="962"/>
      <c r="O142" s="52">
        <f t="shared" si="24"/>
        <v>1</v>
      </c>
      <c r="P142" s="962"/>
      <c r="Q142" s="52">
        <f t="shared" si="25"/>
        <v>1</v>
      </c>
      <c r="R142" s="492">
        <f t="shared" si="26"/>
        <v>0</v>
      </c>
      <c r="S142" s="800">
        <f t="shared" si="27"/>
        <v>0</v>
      </c>
    </row>
    <row r="143" spans="1:19">
      <c r="A143" s="964"/>
      <c r="B143" s="136"/>
      <c r="C143" s="52">
        <f t="shared" si="18"/>
        <v>1</v>
      </c>
      <c r="D143" s="962"/>
      <c r="E143" s="52">
        <f t="shared" si="19"/>
        <v>1</v>
      </c>
      <c r="F143" s="962"/>
      <c r="G143" s="52">
        <f t="shared" si="20"/>
        <v>1</v>
      </c>
      <c r="H143" s="962"/>
      <c r="I143" s="52">
        <f t="shared" si="21"/>
        <v>1</v>
      </c>
      <c r="J143" s="962"/>
      <c r="K143" s="52">
        <f t="shared" si="22"/>
        <v>1</v>
      </c>
      <c r="L143" s="962"/>
      <c r="M143" s="52">
        <f t="shared" si="23"/>
        <v>1</v>
      </c>
      <c r="N143" s="962"/>
      <c r="O143" s="52">
        <f t="shared" si="24"/>
        <v>1</v>
      </c>
      <c r="P143" s="962"/>
      <c r="Q143" s="52">
        <f t="shared" si="25"/>
        <v>1</v>
      </c>
      <c r="R143" s="492">
        <f t="shared" si="26"/>
        <v>0</v>
      </c>
      <c r="S143" s="800">
        <f t="shared" si="27"/>
        <v>0</v>
      </c>
    </row>
    <row r="144" spans="1:19">
      <c r="A144" s="964"/>
      <c r="B144" s="136"/>
      <c r="C144" s="52">
        <f t="shared" si="18"/>
        <v>1</v>
      </c>
      <c r="D144" s="962"/>
      <c r="E144" s="52">
        <f t="shared" si="19"/>
        <v>1</v>
      </c>
      <c r="F144" s="962"/>
      <c r="G144" s="52">
        <f t="shared" si="20"/>
        <v>1</v>
      </c>
      <c r="H144" s="962"/>
      <c r="I144" s="52">
        <f t="shared" si="21"/>
        <v>1</v>
      </c>
      <c r="J144" s="962"/>
      <c r="K144" s="52">
        <f t="shared" si="22"/>
        <v>1</v>
      </c>
      <c r="L144" s="962"/>
      <c r="M144" s="52">
        <f t="shared" si="23"/>
        <v>1</v>
      </c>
      <c r="N144" s="962"/>
      <c r="O144" s="52">
        <f t="shared" si="24"/>
        <v>1</v>
      </c>
      <c r="P144" s="962"/>
      <c r="Q144" s="52">
        <f t="shared" si="25"/>
        <v>1</v>
      </c>
      <c r="R144" s="492">
        <f t="shared" si="26"/>
        <v>0</v>
      </c>
      <c r="S144" s="800">
        <f t="shared" si="27"/>
        <v>0</v>
      </c>
    </row>
    <row r="145" spans="1:19">
      <c r="A145" s="964"/>
      <c r="B145" s="136"/>
      <c r="C145" s="52">
        <f t="shared" si="18"/>
        <v>1</v>
      </c>
      <c r="D145" s="962"/>
      <c r="E145" s="52">
        <f t="shared" si="19"/>
        <v>1</v>
      </c>
      <c r="F145" s="962"/>
      <c r="G145" s="52">
        <f t="shared" si="20"/>
        <v>1</v>
      </c>
      <c r="H145" s="962"/>
      <c r="I145" s="52">
        <f t="shared" si="21"/>
        <v>1</v>
      </c>
      <c r="J145" s="962"/>
      <c r="K145" s="52">
        <f t="shared" si="22"/>
        <v>1</v>
      </c>
      <c r="L145" s="962"/>
      <c r="M145" s="52">
        <f t="shared" si="23"/>
        <v>1</v>
      </c>
      <c r="N145" s="962"/>
      <c r="O145" s="52">
        <f t="shared" si="24"/>
        <v>1</v>
      </c>
      <c r="P145" s="962"/>
      <c r="Q145" s="52">
        <f t="shared" si="25"/>
        <v>1</v>
      </c>
      <c r="R145" s="492">
        <f t="shared" si="26"/>
        <v>0</v>
      </c>
      <c r="S145" s="800">
        <f t="shared" si="27"/>
        <v>0</v>
      </c>
    </row>
    <row r="146" spans="1:19">
      <c r="A146" s="964"/>
      <c r="B146" s="136"/>
      <c r="C146" s="52">
        <f t="shared" si="18"/>
        <v>1</v>
      </c>
      <c r="D146" s="962"/>
      <c r="E146" s="52">
        <f t="shared" si="19"/>
        <v>1</v>
      </c>
      <c r="F146" s="962"/>
      <c r="G146" s="52">
        <f t="shared" si="20"/>
        <v>1</v>
      </c>
      <c r="H146" s="962"/>
      <c r="I146" s="52">
        <f t="shared" si="21"/>
        <v>1</v>
      </c>
      <c r="J146" s="962"/>
      <c r="K146" s="52">
        <f t="shared" si="22"/>
        <v>1</v>
      </c>
      <c r="L146" s="962"/>
      <c r="M146" s="52">
        <f t="shared" si="23"/>
        <v>1</v>
      </c>
      <c r="N146" s="962"/>
      <c r="O146" s="52">
        <f t="shared" si="24"/>
        <v>1</v>
      </c>
      <c r="P146" s="962"/>
      <c r="Q146" s="52">
        <f t="shared" si="25"/>
        <v>1</v>
      </c>
      <c r="R146" s="492">
        <f t="shared" si="26"/>
        <v>0</v>
      </c>
      <c r="S146" s="800">
        <f t="shared" si="27"/>
        <v>0</v>
      </c>
    </row>
    <row r="147" spans="1:19">
      <c r="A147" s="964"/>
      <c r="B147" s="136"/>
      <c r="C147" s="52">
        <f t="shared" si="18"/>
        <v>1</v>
      </c>
      <c r="D147" s="962"/>
      <c r="E147" s="52">
        <f t="shared" si="19"/>
        <v>1</v>
      </c>
      <c r="F147" s="962"/>
      <c r="G147" s="52">
        <f t="shared" si="20"/>
        <v>1</v>
      </c>
      <c r="H147" s="962"/>
      <c r="I147" s="52">
        <f t="shared" si="21"/>
        <v>1</v>
      </c>
      <c r="J147" s="962"/>
      <c r="K147" s="52">
        <f t="shared" si="22"/>
        <v>1</v>
      </c>
      <c r="L147" s="962"/>
      <c r="M147" s="52">
        <f t="shared" si="23"/>
        <v>1</v>
      </c>
      <c r="N147" s="962"/>
      <c r="O147" s="52">
        <f t="shared" si="24"/>
        <v>1</v>
      </c>
      <c r="P147" s="962"/>
      <c r="Q147" s="52">
        <f t="shared" si="25"/>
        <v>1</v>
      </c>
      <c r="R147" s="492">
        <f t="shared" si="26"/>
        <v>0</v>
      </c>
      <c r="S147" s="800">
        <f t="shared" si="27"/>
        <v>0</v>
      </c>
    </row>
    <row r="148" spans="1:19">
      <c r="A148" s="964"/>
      <c r="B148" s="136"/>
      <c r="C148" s="52">
        <f t="shared" si="18"/>
        <v>1</v>
      </c>
      <c r="D148" s="962"/>
      <c r="E148" s="52">
        <f t="shared" si="19"/>
        <v>1</v>
      </c>
      <c r="F148" s="962"/>
      <c r="G148" s="52">
        <f t="shared" si="20"/>
        <v>1</v>
      </c>
      <c r="H148" s="962"/>
      <c r="I148" s="52">
        <f t="shared" si="21"/>
        <v>1</v>
      </c>
      <c r="J148" s="962"/>
      <c r="K148" s="52">
        <f t="shared" si="22"/>
        <v>1</v>
      </c>
      <c r="L148" s="962"/>
      <c r="M148" s="52">
        <f t="shared" si="23"/>
        <v>1</v>
      </c>
      <c r="N148" s="962"/>
      <c r="O148" s="52">
        <f t="shared" si="24"/>
        <v>1</v>
      </c>
      <c r="P148" s="962"/>
      <c r="Q148" s="52">
        <f t="shared" si="25"/>
        <v>1</v>
      </c>
      <c r="R148" s="492">
        <f t="shared" si="26"/>
        <v>0</v>
      </c>
      <c r="S148" s="800">
        <f t="shared" si="27"/>
        <v>0</v>
      </c>
    </row>
    <row r="149" spans="1:19">
      <c r="A149" s="964"/>
      <c r="B149" s="136"/>
      <c r="C149" s="52">
        <f t="shared" si="18"/>
        <v>1</v>
      </c>
      <c r="D149" s="962"/>
      <c r="E149" s="52">
        <f t="shared" si="19"/>
        <v>1</v>
      </c>
      <c r="F149" s="962"/>
      <c r="G149" s="52">
        <f t="shared" si="20"/>
        <v>1</v>
      </c>
      <c r="H149" s="962"/>
      <c r="I149" s="52">
        <f t="shared" si="21"/>
        <v>1</v>
      </c>
      <c r="J149" s="962"/>
      <c r="K149" s="52">
        <f t="shared" si="22"/>
        <v>1</v>
      </c>
      <c r="L149" s="962"/>
      <c r="M149" s="52">
        <f t="shared" si="23"/>
        <v>1</v>
      </c>
      <c r="N149" s="962"/>
      <c r="O149" s="52">
        <f t="shared" si="24"/>
        <v>1</v>
      </c>
      <c r="P149" s="962"/>
      <c r="Q149" s="52">
        <f t="shared" si="25"/>
        <v>1</v>
      </c>
      <c r="R149" s="492">
        <f t="shared" si="26"/>
        <v>0</v>
      </c>
      <c r="S149" s="800">
        <f t="shared" si="27"/>
        <v>0</v>
      </c>
    </row>
    <row r="150" spans="1:19">
      <c r="A150" s="964"/>
      <c r="B150" s="136"/>
      <c r="C150" s="52">
        <f t="shared" si="18"/>
        <v>1</v>
      </c>
      <c r="D150" s="962"/>
      <c r="E150" s="52">
        <f t="shared" si="19"/>
        <v>1</v>
      </c>
      <c r="F150" s="962"/>
      <c r="G150" s="52">
        <f t="shared" si="20"/>
        <v>1</v>
      </c>
      <c r="H150" s="962"/>
      <c r="I150" s="52">
        <f t="shared" si="21"/>
        <v>1</v>
      </c>
      <c r="J150" s="962"/>
      <c r="K150" s="52">
        <f t="shared" si="22"/>
        <v>1</v>
      </c>
      <c r="L150" s="962"/>
      <c r="M150" s="52">
        <f t="shared" si="23"/>
        <v>1</v>
      </c>
      <c r="N150" s="962"/>
      <c r="O150" s="52">
        <f t="shared" si="24"/>
        <v>1</v>
      </c>
      <c r="P150" s="962"/>
      <c r="Q150" s="52">
        <f t="shared" si="25"/>
        <v>1</v>
      </c>
      <c r="R150" s="492">
        <f t="shared" si="26"/>
        <v>0</v>
      </c>
      <c r="S150" s="800">
        <f t="shared" si="27"/>
        <v>0</v>
      </c>
    </row>
    <row r="151" spans="1:19">
      <c r="A151" s="964"/>
      <c r="B151" s="136"/>
      <c r="C151" s="52">
        <f t="shared" si="18"/>
        <v>1</v>
      </c>
      <c r="D151" s="962"/>
      <c r="E151" s="52">
        <f t="shared" si="19"/>
        <v>1</v>
      </c>
      <c r="F151" s="962"/>
      <c r="G151" s="52">
        <f t="shared" si="20"/>
        <v>1</v>
      </c>
      <c r="H151" s="962"/>
      <c r="I151" s="52">
        <f t="shared" si="21"/>
        <v>1</v>
      </c>
      <c r="J151" s="962"/>
      <c r="K151" s="52">
        <f t="shared" si="22"/>
        <v>1</v>
      </c>
      <c r="L151" s="962"/>
      <c r="M151" s="52">
        <f t="shared" si="23"/>
        <v>1</v>
      </c>
      <c r="N151" s="962"/>
      <c r="O151" s="52">
        <f t="shared" si="24"/>
        <v>1</v>
      </c>
      <c r="P151" s="962"/>
      <c r="Q151" s="52">
        <f t="shared" si="25"/>
        <v>1</v>
      </c>
      <c r="R151" s="492">
        <f t="shared" si="26"/>
        <v>0</v>
      </c>
      <c r="S151" s="800">
        <f t="shared" si="27"/>
        <v>0</v>
      </c>
    </row>
    <row r="152" spans="1:19">
      <c r="A152" s="964"/>
      <c r="B152" s="136"/>
      <c r="C152" s="52">
        <f t="shared" si="18"/>
        <v>1</v>
      </c>
      <c r="D152" s="962"/>
      <c r="E152" s="52">
        <f t="shared" si="19"/>
        <v>1</v>
      </c>
      <c r="F152" s="962"/>
      <c r="G152" s="52">
        <f t="shared" si="20"/>
        <v>1</v>
      </c>
      <c r="H152" s="962"/>
      <c r="I152" s="52">
        <f t="shared" si="21"/>
        <v>1</v>
      </c>
      <c r="J152" s="962"/>
      <c r="K152" s="52">
        <f t="shared" si="22"/>
        <v>1</v>
      </c>
      <c r="L152" s="962"/>
      <c r="M152" s="52">
        <f t="shared" si="23"/>
        <v>1</v>
      </c>
      <c r="N152" s="962"/>
      <c r="O152" s="52">
        <f t="shared" si="24"/>
        <v>1</v>
      </c>
      <c r="P152" s="962"/>
      <c r="Q152" s="52">
        <f t="shared" si="25"/>
        <v>1</v>
      </c>
      <c r="R152" s="492">
        <f t="shared" si="26"/>
        <v>0</v>
      </c>
      <c r="S152" s="800">
        <f t="shared" si="27"/>
        <v>0</v>
      </c>
    </row>
    <row r="153" spans="1:19">
      <c r="A153" s="964"/>
      <c r="B153" s="136"/>
      <c r="C153" s="52">
        <f t="shared" si="18"/>
        <v>1</v>
      </c>
      <c r="D153" s="962"/>
      <c r="E153" s="52">
        <f t="shared" si="19"/>
        <v>1</v>
      </c>
      <c r="F153" s="962"/>
      <c r="G153" s="52">
        <f t="shared" si="20"/>
        <v>1</v>
      </c>
      <c r="H153" s="962"/>
      <c r="I153" s="52">
        <f t="shared" si="21"/>
        <v>1</v>
      </c>
      <c r="J153" s="962"/>
      <c r="K153" s="52">
        <f t="shared" si="22"/>
        <v>1</v>
      </c>
      <c r="L153" s="962"/>
      <c r="M153" s="52">
        <f t="shared" si="23"/>
        <v>1</v>
      </c>
      <c r="N153" s="962"/>
      <c r="O153" s="52">
        <f t="shared" si="24"/>
        <v>1</v>
      </c>
      <c r="P153" s="962"/>
      <c r="Q153" s="52">
        <f t="shared" si="25"/>
        <v>1</v>
      </c>
      <c r="R153" s="492">
        <f t="shared" si="26"/>
        <v>0</v>
      </c>
      <c r="S153" s="800">
        <f t="shared" si="27"/>
        <v>0</v>
      </c>
    </row>
    <row r="154" spans="1:19">
      <c r="A154" s="964"/>
      <c r="B154" s="136"/>
      <c r="C154" s="52">
        <f t="shared" ref="C154:C217" si="28">IF(B154="",1,(LOOKUP(B154,$3:$3,$4:$4)-LOOKUP($B$24,$3:$3,$4:$4)+100)/100)</f>
        <v>1</v>
      </c>
      <c r="D154" s="962"/>
      <c r="E154" s="52">
        <f t="shared" ref="E154:E217" si="29">(SUMIF($5:$5,D154,$6:$6)-SUMIF($5:$5,$D$24,$6:$6)+100)/100</f>
        <v>1</v>
      </c>
      <c r="F154" s="962"/>
      <c r="G154" s="52">
        <f t="shared" ref="G154:G217" si="30">(SUMIF($7:$7,F154,$8:$8)-SUMIF($7:$7,$F$24,$8:$8)+100)/100</f>
        <v>1</v>
      </c>
      <c r="H154" s="962"/>
      <c r="I154" s="52">
        <f t="shared" ref="I154:I217" si="31">(SUMIF($9:$9,H154,$10:$10)-SUMIF($9:$9,$H$24,$10:$10)+100)/100</f>
        <v>1</v>
      </c>
      <c r="J154" s="962"/>
      <c r="K154" s="52">
        <f t="shared" ref="K154:K217" si="32">(SUMIF($11:$11,J154,$12:$12)-SUMIF($11:$11,$J$24,$12:$12)+100)/100</f>
        <v>1</v>
      </c>
      <c r="L154" s="962"/>
      <c r="M154" s="52">
        <f t="shared" ref="M154:M217" si="33">(SUMIF($13:$13,L154,$14:$14)-SUMIF($13:$13,$L$24,$14:$14)+100)/100</f>
        <v>1</v>
      </c>
      <c r="N154" s="962"/>
      <c r="O154" s="52">
        <f t="shared" ref="O154:O217" si="34">(SUMIF($15:$15,N154,$16:$16)-SUMIF($15:$15,$N$24,$16:$16)+100)/100</f>
        <v>1</v>
      </c>
      <c r="P154" s="962"/>
      <c r="Q154" s="52">
        <f t="shared" ref="Q154:Q217" si="35">(SUMIF($17:$17,P154,$18:$18)-SUMIF($17:$17,$P$24,$18:$18)+100)/100</f>
        <v>1</v>
      </c>
      <c r="R154" s="492">
        <f t="shared" ref="R154:R217" si="36">IF(B154="",0,ROUND($R$24*C154*E154*G154*I154*K154*M154*O154*Q154,0))</f>
        <v>0</v>
      </c>
      <c r="S154" s="800">
        <f t="shared" si="27"/>
        <v>0</v>
      </c>
    </row>
    <row r="155" spans="1:19">
      <c r="A155" s="964"/>
      <c r="B155" s="136"/>
      <c r="C155" s="52">
        <f t="shared" si="28"/>
        <v>1</v>
      </c>
      <c r="D155" s="962"/>
      <c r="E155" s="52">
        <f t="shared" si="29"/>
        <v>1</v>
      </c>
      <c r="F155" s="962"/>
      <c r="G155" s="52">
        <f t="shared" si="30"/>
        <v>1</v>
      </c>
      <c r="H155" s="962"/>
      <c r="I155" s="52">
        <f t="shared" si="31"/>
        <v>1</v>
      </c>
      <c r="J155" s="962"/>
      <c r="K155" s="52">
        <f t="shared" si="32"/>
        <v>1</v>
      </c>
      <c r="L155" s="962"/>
      <c r="M155" s="52">
        <f t="shared" si="33"/>
        <v>1</v>
      </c>
      <c r="N155" s="962"/>
      <c r="O155" s="52">
        <f t="shared" si="34"/>
        <v>1</v>
      </c>
      <c r="P155" s="962"/>
      <c r="Q155" s="52">
        <f t="shared" si="35"/>
        <v>1</v>
      </c>
      <c r="R155" s="492">
        <f t="shared" si="36"/>
        <v>0</v>
      </c>
      <c r="S155" s="800">
        <f t="shared" si="27"/>
        <v>0</v>
      </c>
    </row>
    <row r="156" spans="1:19">
      <c r="A156" s="964"/>
      <c r="B156" s="136"/>
      <c r="C156" s="52">
        <f t="shared" si="28"/>
        <v>1</v>
      </c>
      <c r="D156" s="962"/>
      <c r="E156" s="52">
        <f t="shared" si="29"/>
        <v>1</v>
      </c>
      <c r="F156" s="962"/>
      <c r="G156" s="52">
        <f t="shared" si="30"/>
        <v>1</v>
      </c>
      <c r="H156" s="962"/>
      <c r="I156" s="52">
        <f t="shared" si="31"/>
        <v>1</v>
      </c>
      <c r="J156" s="962"/>
      <c r="K156" s="52">
        <f t="shared" si="32"/>
        <v>1</v>
      </c>
      <c r="L156" s="962"/>
      <c r="M156" s="52">
        <f t="shared" si="33"/>
        <v>1</v>
      </c>
      <c r="N156" s="962"/>
      <c r="O156" s="52">
        <f t="shared" si="34"/>
        <v>1</v>
      </c>
      <c r="P156" s="962"/>
      <c r="Q156" s="52">
        <f t="shared" si="35"/>
        <v>1</v>
      </c>
      <c r="R156" s="492">
        <f t="shared" si="36"/>
        <v>0</v>
      </c>
      <c r="S156" s="800">
        <f t="shared" si="27"/>
        <v>0</v>
      </c>
    </row>
    <row r="157" spans="1:19">
      <c r="A157" s="964"/>
      <c r="B157" s="136"/>
      <c r="C157" s="52">
        <f t="shared" si="28"/>
        <v>1</v>
      </c>
      <c r="D157" s="962"/>
      <c r="E157" s="52">
        <f t="shared" si="29"/>
        <v>1</v>
      </c>
      <c r="F157" s="962"/>
      <c r="G157" s="52">
        <f t="shared" si="30"/>
        <v>1</v>
      </c>
      <c r="H157" s="962"/>
      <c r="I157" s="52">
        <f t="shared" si="31"/>
        <v>1</v>
      </c>
      <c r="J157" s="962"/>
      <c r="K157" s="52">
        <f t="shared" si="32"/>
        <v>1</v>
      </c>
      <c r="L157" s="962"/>
      <c r="M157" s="52">
        <f t="shared" si="33"/>
        <v>1</v>
      </c>
      <c r="N157" s="962"/>
      <c r="O157" s="52">
        <f t="shared" si="34"/>
        <v>1</v>
      </c>
      <c r="P157" s="962"/>
      <c r="Q157" s="52">
        <f t="shared" si="35"/>
        <v>1</v>
      </c>
      <c r="R157" s="492">
        <f t="shared" si="36"/>
        <v>0</v>
      </c>
      <c r="S157" s="800">
        <f t="shared" si="27"/>
        <v>0</v>
      </c>
    </row>
    <row r="158" spans="1:19">
      <c r="A158" s="964"/>
      <c r="B158" s="136"/>
      <c r="C158" s="52">
        <f t="shared" si="28"/>
        <v>1</v>
      </c>
      <c r="D158" s="962"/>
      <c r="E158" s="52">
        <f t="shared" si="29"/>
        <v>1</v>
      </c>
      <c r="F158" s="962"/>
      <c r="G158" s="52">
        <f t="shared" si="30"/>
        <v>1</v>
      </c>
      <c r="H158" s="962"/>
      <c r="I158" s="52">
        <f t="shared" si="31"/>
        <v>1</v>
      </c>
      <c r="J158" s="962"/>
      <c r="K158" s="52">
        <f t="shared" si="32"/>
        <v>1</v>
      </c>
      <c r="L158" s="962"/>
      <c r="M158" s="52">
        <f t="shared" si="33"/>
        <v>1</v>
      </c>
      <c r="N158" s="962"/>
      <c r="O158" s="52">
        <f t="shared" si="34"/>
        <v>1</v>
      </c>
      <c r="P158" s="962"/>
      <c r="Q158" s="52">
        <f t="shared" si="35"/>
        <v>1</v>
      </c>
      <c r="R158" s="492">
        <f t="shared" si="36"/>
        <v>0</v>
      </c>
      <c r="S158" s="800">
        <f t="shared" si="27"/>
        <v>0</v>
      </c>
    </row>
    <row r="159" spans="1:19">
      <c r="A159" s="964"/>
      <c r="B159" s="136"/>
      <c r="C159" s="52">
        <f t="shared" si="28"/>
        <v>1</v>
      </c>
      <c r="D159" s="962"/>
      <c r="E159" s="52">
        <f t="shared" si="29"/>
        <v>1</v>
      </c>
      <c r="F159" s="962"/>
      <c r="G159" s="52">
        <f t="shared" si="30"/>
        <v>1</v>
      </c>
      <c r="H159" s="962"/>
      <c r="I159" s="52">
        <f t="shared" si="31"/>
        <v>1</v>
      </c>
      <c r="J159" s="962"/>
      <c r="K159" s="52">
        <f t="shared" si="32"/>
        <v>1</v>
      </c>
      <c r="L159" s="962"/>
      <c r="M159" s="52">
        <f t="shared" si="33"/>
        <v>1</v>
      </c>
      <c r="N159" s="962"/>
      <c r="O159" s="52">
        <f t="shared" si="34"/>
        <v>1</v>
      </c>
      <c r="P159" s="962"/>
      <c r="Q159" s="52">
        <f t="shared" si="35"/>
        <v>1</v>
      </c>
      <c r="R159" s="492">
        <f t="shared" si="36"/>
        <v>0</v>
      </c>
      <c r="S159" s="800">
        <f t="shared" si="27"/>
        <v>0</v>
      </c>
    </row>
    <row r="160" spans="1:19">
      <c r="A160" s="964"/>
      <c r="B160" s="136"/>
      <c r="C160" s="52">
        <f t="shared" si="28"/>
        <v>1</v>
      </c>
      <c r="D160" s="962"/>
      <c r="E160" s="52">
        <f t="shared" si="29"/>
        <v>1</v>
      </c>
      <c r="F160" s="962"/>
      <c r="G160" s="52">
        <f t="shared" si="30"/>
        <v>1</v>
      </c>
      <c r="H160" s="962"/>
      <c r="I160" s="52">
        <f t="shared" si="31"/>
        <v>1</v>
      </c>
      <c r="J160" s="962"/>
      <c r="K160" s="52">
        <f t="shared" si="32"/>
        <v>1</v>
      </c>
      <c r="L160" s="962"/>
      <c r="M160" s="52">
        <f t="shared" si="33"/>
        <v>1</v>
      </c>
      <c r="N160" s="962"/>
      <c r="O160" s="52">
        <f t="shared" si="34"/>
        <v>1</v>
      </c>
      <c r="P160" s="962"/>
      <c r="Q160" s="52">
        <f t="shared" si="35"/>
        <v>1</v>
      </c>
      <c r="R160" s="492">
        <f t="shared" si="36"/>
        <v>0</v>
      </c>
      <c r="S160" s="800">
        <f t="shared" si="27"/>
        <v>0</v>
      </c>
    </row>
    <row r="161" spans="1:19">
      <c r="A161" s="964"/>
      <c r="B161" s="136"/>
      <c r="C161" s="52">
        <f t="shared" si="28"/>
        <v>1</v>
      </c>
      <c r="D161" s="962"/>
      <c r="E161" s="52">
        <f t="shared" si="29"/>
        <v>1</v>
      </c>
      <c r="F161" s="962"/>
      <c r="G161" s="52">
        <f t="shared" si="30"/>
        <v>1</v>
      </c>
      <c r="H161" s="962"/>
      <c r="I161" s="52">
        <f t="shared" si="31"/>
        <v>1</v>
      </c>
      <c r="J161" s="962"/>
      <c r="K161" s="52">
        <f t="shared" si="32"/>
        <v>1</v>
      </c>
      <c r="L161" s="962"/>
      <c r="M161" s="52">
        <f t="shared" si="33"/>
        <v>1</v>
      </c>
      <c r="N161" s="962"/>
      <c r="O161" s="52">
        <f t="shared" si="34"/>
        <v>1</v>
      </c>
      <c r="P161" s="962"/>
      <c r="Q161" s="52">
        <f t="shared" si="35"/>
        <v>1</v>
      </c>
      <c r="R161" s="492">
        <f t="shared" si="36"/>
        <v>0</v>
      </c>
      <c r="S161" s="800">
        <f t="shared" si="27"/>
        <v>0</v>
      </c>
    </row>
    <row r="162" spans="1:19">
      <c r="A162" s="964"/>
      <c r="B162" s="136"/>
      <c r="C162" s="52">
        <f t="shared" si="28"/>
        <v>1</v>
      </c>
      <c r="D162" s="962"/>
      <c r="E162" s="52">
        <f t="shared" si="29"/>
        <v>1</v>
      </c>
      <c r="F162" s="962"/>
      <c r="G162" s="52">
        <f t="shared" si="30"/>
        <v>1</v>
      </c>
      <c r="H162" s="962"/>
      <c r="I162" s="52">
        <f t="shared" si="31"/>
        <v>1</v>
      </c>
      <c r="J162" s="962"/>
      <c r="K162" s="52">
        <f t="shared" si="32"/>
        <v>1</v>
      </c>
      <c r="L162" s="962"/>
      <c r="M162" s="52">
        <f t="shared" si="33"/>
        <v>1</v>
      </c>
      <c r="N162" s="962"/>
      <c r="O162" s="52">
        <f t="shared" si="34"/>
        <v>1</v>
      </c>
      <c r="P162" s="962"/>
      <c r="Q162" s="52">
        <f t="shared" si="35"/>
        <v>1</v>
      </c>
      <c r="R162" s="492">
        <f t="shared" si="36"/>
        <v>0</v>
      </c>
      <c r="S162" s="800">
        <f t="shared" si="27"/>
        <v>0</v>
      </c>
    </row>
    <row r="163" spans="1:19">
      <c r="A163" s="964"/>
      <c r="B163" s="136"/>
      <c r="C163" s="52">
        <f t="shared" si="28"/>
        <v>1</v>
      </c>
      <c r="D163" s="962"/>
      <c r="E163" s="52">
        <f t="shared" si="29"/>
        <v>1</v>
      </c>
      <c r="F163" s="962"/>
      <c r="G163" s="52">
        <f t="shared" si="30"/>
        <v>1</v>
      </c>
      <c r="H163" s="962"/>
      <c r="I163" s="52">
        <f t="shared" si="31"/>
        <v>1</v>
      </c>
      <c r="J163" s="962"/>
      <c r="K163" s="52">
        <f t="shared" si="32"/>
        <v>1</v>
      </c>
      <c r="L163" s="962"/>
      <c r="M163" s="52">
        <f t="shared" si="33"/>
        <v>1</v>
      </c>
      <c r="N163" s="962"/>
      <c r="O163" s="52">
        <f t="shared" si="34"/>
        <v>1</v>
      </c>
      <c r="P163" s="962"/>
      <c r="Q163" s="52">
        <f t="shared" si="35"/>
        <v>1</v>
      </c>
      <c r="R163" s="492">
        <f t="shared" si="36"/>
        <v>0</v>
      </c>
      <c r="S163" s="800">
        <f t="shared" si="27"/>
        <v>0</v>
      </c>
    </row>
    <row r="164" spans="1:19">
      <c r="A164" s="964"/>
      <c r="B164" s="136"/>
      <c r="C164" s="52">
        <f t="shared" si="28"/>
        <v>1</v>
      </c>
      <c r="D164" s="962"/>
      <c r="E164" s="52">
        <f t="shared" si="29"/>
        <v>1</v>
      </c>
      <c r="F164" s="962"/>
      <c r="G164" s="52">
        <f t="shared" si="30"/>
        <v>1</v>
      </c>
      <c r="H164" s="962"/>
      <c r="I164" s="52">
        <f t="shared" si="31"/>
        <v>1</v>
      </c>
      <c r="J164" s="962"/>
      <c r="K164" s="52">
        <f t="shared" si="32"/>
        <v>1</v>
      </c>
      <c r="L164" s="962"/>
      <c r="M164" s="52">
        <f t="shared" si="33"/>
        <v>1</v>
      </c>
      <c r="N164" s="962"/>
      <c r="O164" s="52">
        <f t="shared" si="34"/>
        <v>1</v>
      </c>
      <c r="P164" s="962"/>
      <c r="Q164" s="52">
        <f t="shared" si="35"/>
        <v>1</v>
      </c>
      <c r="R164" s="492">
        <f t="shared" si="36"/>
        <v>0</v>
      </c>
      <c r="S164" s="800">
        <f t="shared" si="27"/>
        <v>0</v>
      </c>
    </row>
    <row r="165" spans="1:19">
      <c r="A165" s="964"/>
      <c r="B165" s="136"/>
      <c r="C165" s="52">
        <f t="shared" si="28"/>
        <v>1</v>
      </c>
      <c r="D165" s="962"/>
      <c r="E165" s="52">
        <f t="shared" si="29"/>
        <v>1</v>
      </c>
      <c r="F165" s="962"/>
      <c r="G165" s="52">
        <f t="shared" si="30"/>
        <v>1</v>
      </c>
      <c r="H165" s="962"/>
      <c r="I165" s="52">
        <f t="shared" si="31"/>
        <v>1</v>
      </c>
      <c r="J165" s="962"/>
      <c r="K165" s="52">
        <f t="shared" si="32"/>
        <v>1</v>
      </c>
      <c r="L165" s="962"/>
      <c r="M165" s="52">
        <f t="shared" si="33"/>
        <v>1</v>
      </c>
      <c r="N165" s="962"/>
      <c r="O165" s="52">
        <f t="shared" si="34"/>
        <v>1</v>
      </c>
      <c r="P165" s="962"/>
      <c r="Q165" s="52">
        <f t="shared" si="35"/>
        <v>1</v>
      </c>
      <c r="R165" s="492">
        <f t="shared" si="36"/>
        <v>0</v>
      </c>
      <c r="S165" s="800">
        <f t="shared" si="27"/>
        <v>0</v>
      </c>
    </row>
    <row r="166" spans="1:19">
      <c r="A166" s="964"/>
      <c r="B166" s="136"/>
      <c r="C166" s="52">
        <f t="shared" si="28"/>
        <v>1</v>
      </c>
      <c r="D166" s="962"/>
      <c r="E166" s="52">
        <f t="shared" si="29"/>
        <v>1</v>
      </c>
      <c r="F166" s="962"/>
      <c r="G166" s="52">
        <f t="shared" si="30"/>
        <v>1</v>
      </c>
      <c r="H166" s="962"/>
      <c r="I166" s="52">
        <f t="shared" si="31"/>
        <v>1</v>
      </c>
      <c r="J166" s="962"/>
      <c r="K166" s="52">
        <f t="shared" si="32"/>
        <v>1</v>
      </c>
      <c r="L166" s="962"/>
      <c r="M166" s="52">
        <f t="shared" si="33"/>
        <v>1</v>
      </c>
      <c r="N166" s="962"/>
      <c r="O166" s="52">
        <f t="shared" si="34"/>
        <v>1</v>
      </c>
      <c r="P166" s="962"/>
      <c r="Q166" s="52">
        <f t="shared" si="35"/>
        <v>1</v>
      </c>
      <c r="R166" s="492">
        <f t="shared" si="36"/>
        <v>0</v>
      </c>
      <c r="S166" s="800">
        <f t="shared" si="27"/>
        <v>0</v>
      </c>
    </row>
    <row r="167" spans="1:19">
      <c r="A167" s="964"/>
      <c r="B167" s="136"/>
      <c r="C167" s="52">
        <f t="shared" si="28"/>
        <v>1</v>
      </c>
      <c r="D167" s="962"/>
      <c r="E167" s="52">
        <f t="shared" si="29"/>
        <v>1</v>
      </c>
      <c r="F167" s="962"/>
      <c r="G167" s="52">
        <f t="shared" si="30"/>
        <v>1</v>
      </c>
      <c r="H167" s="962"/>
      <c r="I167" s="52">
        <f t="shared" si="31"/>
        <v>1</v>
      </c>
      <c r="J167" s="962"/>
      <c r="K167" s="52">
        <f t="shared" si="32"/>
        <v>1</v>
      </c>
      <c r="L167" s="962"/>
      <c r="M167" s="52">
        <f t="shared" si="33"/>
        <v>1</v>
      </c>
      <c r="N167" s="962"/>
      <c r="O167" s="52">
        <f t="shared" si="34"/>
        <v>1</v>
      </c>
      <c r="P167" s="962"/>
      <c r="Q167" s="52">
        <f t="shared" si="35"/>
        <v>1</v>
      </c>
      <c r="R167" s="492">
        <f t="shared" si="36"/>
        <v>0</v>
      </c>
      <c r="S167" s="800">
        <f t="shared" si="27"/>
        <v>0</v>
      </c>
    </row>
    <row r="168" spans="1:19">
      <c r="A168" s="964"/>
      <c r="B168" s="136"/>
      <c r="C168" s="52">
        <f t="shared" si="28"/>
        <v>1</v>
      </c>
      <c r="D168" s="962"/>
      <c r="E168" s="52">
        <f t="shared" si="29"/>
        <v>1</v>
      </c>
      <c r="F168" s="962"/>
      <c r="G168" s="52">
        <f t="shared" si="30"/>
        <v>1</v>
      </c>
      <c r="H168" s="962"/>
      <c r="I168" s="52">
        <f t="shared" si="31"/>
        <v>1</v>
      </c>
      <c r="J168" s="962"/>
      <c r="K168" s="52">
        <f t="shared" si="32"/>
        <v>1</v>
      </c>
      <c r="L168" s="962"/>
      <c r="M168" s="52">
        <f t="shared" si="33"/>
        <v>1</v>
      </c>
      <c r="N168" s="962"/>
      <c r="O168" s="52">
        <f t="shared" si="34"/>
        <v>1</v>
      </c>
      <c r="P168" s="962"/>
      <c r="Q168" s="52">
        <f t="shared" si="35"/>
        <v>1</v>
      </c>
      <c r="R168" s="492">
        <f t="shared" si="36"/>
        <v>0</v>
      </c>
      <c r="S168" s="800">
        <f t="shared" si="27"/>
        <v>0</v>
      </c>
    </row>
    <row r="169" spans="1:19">
      <c r="A169" s="964"/>
      <c r="B169" s="136"/>
      <c r="C169" s="52">
        <f t="shared" si="28"/>
        <v>1</v>
      </c>
      <c r="D169" s="962"/>
      <c r="E169" s="52">
        <f t="shared" si="29"/>
        <v>1</v>
      </c>
      <c r="F169" s="962"/>
      <c r="G169" s="52">
        <f t="shared" si="30"/>
        <v>1</v>
      </c>
      <c r="H169" s="962"/>
      <c r="I169" s="52">
        <f t="shared" si="31"/>
        <v>1</v>
      </c>
      <c r="J169" s="962"/>
      <c r="K169" s="52">
        <f t="shared" si="32"/>
        <v>1</v>
      </c>
      <c r="L169" s="962"/>
      <c r="M169" s="52">
        <f t="shared" si="33"/>
        <v>1</v>
      </c>
      <c r="N169" s="962"/>
      <c r="O169" s="52">
        <f t="shared" si="34"/>
        <v>1</v>
      </c>
      <c r="P169" s="962"/>
      <c r="Q169" s="52">
        <f t="shared" si="35"/>
        <v>1</v>
      </c>
      <c r="R169" s="492">
        <f t="shared" si="36"/>
        <v>0</v>
      </c>
      <c r="S169" s="800">
        <f t="shared" si="27"/>
        <v>0</v>
      </c>
    </row>
    <row r="170" spans="1:19">
      <c r="A170" s="964"/>
      <c r="B170" s="136"/>
      <c r="C170" s="52">
        <f t="shared" si="28"/>
        <v>1</v>
      </c>
      <c r="D170" s="962"/>
      <c r="E170" s="52">
        <f t="shared" si="29"/>
        <v>1</v>
      </c>
      <c r="F170" s="962"/>
      <c r="G170" s="52">
        <f t="shared" si="30"/>
        <v>1</v>
      </c>
      <c r="H170" s="962"/>
      <c r="I170" s="52">
        <f t="shared" si="31"/>
        <v>1</v>
      </c>
      <c r="J170" s="962"/>
      <c r="K170" s="52">
        <f t="shared" si="32"/>
        <v>1</v>
      </c>
      <c r="L170" s="962"/>
      <c r="M170" s="52">
        <f t="shared" si="33"/>
        <v>1</v>
      </c>
      <c r="N170" s="962"/>
      <c r="O170" s="52">
        <f t="shared" si="34"/>
        <v>1</v>
      </c>
      <c r="P170" s="962"/>
      <c r="Q170" s="52">
        <f t="shared" si="35"/>
        <v>1</v>
      </c>
      <c r="R170" s="492">
        <f t="shared" si="36"/>
        <v>0</v>
      </c>
      <c r="S170" s="800">
        <f t="shared" si="27"/>
        <v>0</v>
      </c>
    </row>
    <row r="171" spans="1:19">
      <c r="A171" s="964"/>
      <c r="B171" s="136"/>
      <c r="C171" s="52">
        <f t="shared" si="28"/>
        <v>1</v>
      </c>
      <c r="D171" s="962"/>
      <c r="E171" s="52">
        <f t="shared" si="29"/>
        <v>1</v>
      </c>
      <c r="F171" s="962"/>
      <c r="G171" s="52">
        <f t="shared" si="30"/>
        <v>1</v>
      </c>
      <c r="H171" s="962"/>
      <c r="I171" s="52">
        <f t="shared" si="31"/>
        <v>1</v>
      </c>
      <c r="J171" s="962"/>
      <c r="K171" s="52">
        <f t="shared" si="32"/>
        <v>1</v>
      </c>
      <c r="L171" s="962"/>
      <c r="M171" s="52">
        <f t="shared" si="33"/>
        <v>1</v>
      </c>
      <c r="N171" s="962"/>
      <c r="O171" s="52">
        <f t="shared" si="34"/>
        <v>1</v>
      </c>
      <c r="P171" s="962"/>
      <c r="Q171" s="52">
        <f t="shared" si="35"/>
        <v>1</v>
      </c>
      <c r="R171" s="492">
        <f t="shared" si="36"/>
        <v>0</v>
      </c>
      <c r="S171" s="800">
        <f t="shared" si="27"/>
        <v>0</v>
      </c>
    </row>
    <row r="172" spans="1:19">
      <c r="A172" s="964"/>
      <c r="B172" s="136"/>
      <c r="C172" s="52">
        <f t="shared" si="28"/>
        <v>1</v>
      </c>
      <c r="D172" s="962"/>
      <c r="E172" s="52">
        <f t="shared" si="29"/>
        <v>1</v>
      </c>
      <c r="F172" s="962"/>
      <c r="G172" s="52">
        <f t="shared" si="30"/>
        <v>1</v>
      </c>
      <c r="H172" s="962"/>
      <c r="I172" s="52">
        <f t="shared" si="31"/>
        <v>1</v>
      </c>
      <c r="J172" s="962"/>
      <c r="K172" s="52">
        <f t="shared" si="32"/>
        <v>1</v>
      </c>
      <c r="L172" s="962"/>
      <c r="M172" s="52">
        <f t="shared" si="33"/>
        <v>1</v>
      </c>
      <c r="N172" s="962"/>
      <c r="O172" s="52">
        <f t="shared" si="34"/>
        <v>1</v>
      </c>
      <c r="P172" s="962"/>
      <c r="Q172" s="52">
        <f t="shared" si="35"/>
        <v>1</v>
      </c>
      <c r="R172" s="492">
        <f t="shared" si="36"/>
        <v>0</v>
      </c>
      <c r="S172" s="800">
        <f t="shared" si="27"/>
        <v>0</v>
      </c>
    </row>
    <row r="173" spans="1:19">
      <c r="A173" s="964"/>
      <c r="B173" s="136"/>
      <c r="C173" s="52">
        <f t="shared" si="28"/>
        <v>1</v>
      </c>
      <c r="D173" s="962"/>
      <c r="E173" s="52">
        <f t="shared" si="29"/>
        <v>1</v>
      </c>
      <c r="F173" s="962"/>
      <c r="G173" s="52">
        <f t="shared" si="30"/>
        <v>1</v>
      </c>
      <c r="H173" s="962"/>
      <c r="I173" s="52">
        <f t="shared" si="31"/>
        <v>1</v>
      </c>
      <c r="J173" s="962"/>
      <c r="K173" s="52">
        <f t="shared" si="32"/>
        <v>1</v>
      </c>
      <c r="L173" s="962"/>
      <c r="M173" s="52">
        <f t="shared" si="33"/>
        <v>1</v>
      </c>
      <c r="N173" s="962"/>
      <c r="O173" s="52">
        <f t="shared" si="34"/>
        <v>1</v>
      </c>
      <c r="P173" s="962"/>
      <c r="Q173" s="52">
        <f t="shared" si="35"/>
        <v>1</v>
      </c>
      <c r="R173" s="492">
        <f t="shared" si="36"/>
        <v>0</v>
      </c>
      <c r="S173" s="800">
        <f t="shared" si="27"/>
        <v>0</v>
      </c>
    </row>
    <row r="174" spans="1:19">
      <c r="A174" s="964"/>
      <c r="B174" s="136"/>
      <c r="C174" s="52">
        <f t="shared" si="28"/>
        <v>1</v>
      </c>
      <c r="D174" s="962"/>
      <c r="E174" s="52">
        <f t="shared" si="29"/>
        <v>1</v>
      </c>
      <c r="F174" s="962"/>
      <c r="G174" s="52">
        <f t="shared" si="30"/>
        <v>1</v>
      </c>
      <c r="H174" s="962"/>
      <c r="I174" s="52">
        <f t="shared" si="31"/>
        <v>1</v>
      </c>
      <c r="J174" s="962"/>
      <c r="K174" s="52">
        <f t="shared" si="32"/>
        <v>1</v>
      </c>
      <c r="L174" s="962"/>
      <c r="M174" s="52">
        <f t="shared" si="33"/>
        <v>1</v>
      </c>
      <c r="N174" s="962"/>
      <c r="O174" s="52">
        <f t="shared" si="34"/>
        <v>1</v>
      </c>
      <c r="P174" s="962"/>
      <c r="Q174" s="52">
        <f t="shared" si="35"/>
        <v>1</v>
      </c>
      <c r="R174" s="492">
        <f t="shared" si="36"/>
        <v>0</v>
      </c>
      <c r="S174" s="800">
        <f t="shared" si="27"/>
        <v>0</v>
      </c>
    </row>
    <row r="175" spans="1:19">
      <c r="A175" s="964"/>
      <c r="B175" s="136"/>
      <c r="C175" s="52">
        <f t="shared" si="28"/>
        <v>1</v>
      </c>
      <c r="D175" s="962"/>
      <c r="E175" s="52">
        <f t="shared" si="29"/>
        <v>1</v>
      </c>
      <c r="F175" s="962"/>
      <c r="G175" s="52">
        <f t="shared" si="30"/>
        <v>1</v>
      </c>
      <c r="H175" s="962"/>
      <c r="I175" s="52">
        <f t="shared" si="31"/>
        <v>1</v>
      </c>
      <c r="J175" s="962"/>
      <c r="K175" s="52">
        <f t="shared" si="32"/>
        <v>1</v>
      </c>
      <c r="L175" s="962"/>
      <c r="M175" s="52">
        <f t="shared" si="33"/>
        <v>1</v>
      </c>
      <c r="N175" s="962"/>
      <c r="O175" s="52">
        <f t="shared" si="34"/>
        <v>1</v>
      </c>
      <c r="P175" s="962"/>
      <c r="Q175" s="52">
        <f t="shared" si="35"/>
        <v>1</v>
      </c>
      <c r="R175" s="492">
        <f t="shared" si="36"/>
        <v>0</v>
      </c>
      <c r="S175" s="800">
        <f t="shared" si="27"/>
        <v>0</v>
      </c>
    </row>
    <row r="176" spans="1:19">
      <c r="A176" s="964"/>
      <c r="B176" s="136"/>
      <c r="C176" s="52">
        <f t="shared" si="28"/>
        <v>1</v>
      </c>
      <c r="D176" s="962"/>
      <c r="E176" s="52">
        <f t="shared" si="29"/>
        <v>1</v>
      </c>
      <c r="F176" s="962"/>
      <c r="G176" s="52">
        <f t="shared" si="30"/>
        <v>1</v>
      </c>
      <c r="H176" s="962"/>
      <c r="I176" s="52">
        <f t="shared" si="31"/>
        <v>1</v>
      </c>
      <c r="J176" s="962"/>
      <c r="K176" s="52">
        <f t="shared" si="32"/>
        <v>1</v>
      </c>
      <c r="L176" s="962"/>
      <c r="M176" s="52">
        <f t="shared" si="33"/>
        <v>1</v>
      </c>
      <c r="N176" s="962"/>
      <c r="O176" s="52">
        <f t="shared" si="34"/>
        <v>1</v>
      </c>
      <c r="P176" s="962"/>
      <c r="Q176" s="52">
        <f t="shared" si="35"/>
        <v>1</v>
      </c>
      <c r="R176" s="492">
        <f t="shared" si="36"/>
        <v>0</v>
      </c>
      <c r="S176" s="800">
        <f t="shared" si="27"/>
        <v>0</v>
      </c>
    </row>
    <row r="177" spans="1:19">
      <c r="A177" s="964"/>
      <c r="B177" s="136"/>
      <c r="C177" s="52">
        <f t="shared" si="28"/>
        <v>1</v>
      </c>
      <c r="D177" s="962"/>
      <c r="E177" s="52">
        <f t="shared" si="29"/>
        <v>1</v>
      </c>
      <c r="F177" s="962"/>
      <c r="G177" s="52">
        <f t="shared" si="30"/>
        <v>1</v>
      </c>
      <c r="H177" s="962"/>
      <c r="I177" s="52">
        <f t="shared" si="31"/>
        <v>1</v>
      </c>
      <c r="J177" s="962"/>
      <c r="K177" s="52">
        <f t="shared" si="32"/>
        <v>1</v>
      </c>
      <c r="L177" s="962"/>
      <c r="M177" s="52">
        <f t="shared" si="33"/>
        <v>1</v>
      </c>
      <c r="N177" s="962"/>
      <c r="O177" s="52">
        <f t="shared" si="34"/>
        <v>1</v>
      </c>
      <c r="P177" s="962"/>
      <c r="Q177" s="52">
        <f t="shared" si="35"/>
        <v>1</v>
      </c>
      <c r="R177" s="492">
        <f t="shared" si="36"/>
        <v>0</v>
      </c>
      <c r="S177" s="800">
        <f t="shared" si="27"/>
        <v>0</v>
      </c>
    </row>
    <row r="178" spans="1:19">
      <c r="A178" s="964"/>
      <c r="B178" s="136"/>
      <c r="C178" s="52">
        <f t="shared" si="28"/>
        <v>1</v>
      </c>
      <c r="D178" s="962"/>
      <c r="E178" s="52">
        <f t="shared" si="29"/>
        <v>1</v>
      </c>
      <c r="F178" s="962"/>
      <c r="G178" s="52">
        <f t="shared" si="30"/>
        <v>1</v>
      </c>
      <c r="H178" s="962"/>
      <c r="I178" s="52">
        <f t="shared" si="31"/>
        <v>1</v>
      </c>
      <c r="J178" s="962"/>
      <c r="K178" s="52">
        <f t="shared" si="32"/>
        <v>1</v>
      </c>
      <c r="L178" s="962"/>
      <c r="M178" s="52">
        <f t="shared" si="33"/>
        <v>1</v>
      </c>
      <c r="N178" s="962"/>
      <c r="O178" s="52">
        <f t="shared" si="34"/>
        <v>1</v>
      </c>
      <c r="P178" s="962"/>
      <c r="Q178" s="52">
        <f t="shared" si="35"/>
        <v>1</v>
      </c>
      <c r="R178" s="492">
        <f t="shared" si="36"/>
        <v>0</v>
      </c>
      <c r="S178" s="800">
        <f t="shared" si="27"/>
        <v>0</v>
      </c>
    </row>
    <row r="179" spans="1:19">
      <c r="A179" s="964"/>
      <c r="B179" s="136"/>
      <c r="C179" s="52">
        <f t="shared" si="28"/>
        <v>1</v>
      </c>
      <c r="D179" s="962"/>
      <c r="E179" s="52">
        <f t="shared" si="29"/>
        <v>1</v>
      </c>
      <c r="F179" s="962"/>
      <c r="G179" s="52">
        <f t="shared" si="30"/>
        <v>1</v>
      </c>
      <c r="H179" s="962"/>
      <c r="I179" s="52">
        <f t="shared" si="31"/>
        <v>1</v>
      </c>
      <c r="J179" s="962"/>
      <c r="K179" s="52">
        <f t="shared" si="32"/>
        <v>1</v>
      </c>
      <c r="L179" s="962"/>
      <c r="M179" s="52">
        <f t="shared" si="33"/>
        <v>1</v>
      </c>
      <c r="N179" s="962"/>
      <c r="O179" s="52">
        <f t="shared" si="34"/>
        <v>1</v>
      </c>
      <c r="P179" s="962"/>
      <c r="Q179" s="52">
        <f t="shared" si="35"/>
        <v>1</v>
      </c>
      <c r="R179" s="492">
        <f t="shared" si="36"/>
        <v>0</v>
      </c>
      <c r="S179" s="800">
        <f t="shared" si="27"/>
        <v>0</v>
      </c>
    </row>
    <row r="180" spans="1:19">
      <c r="A180" s="964"/>
      <c r="B180" s="136"/>
      <c r="C180" s="52">
        <f t="shared" si="28"/>
        <v>1</v>
      </c>
      <c r="D180" s="962"/>
      <c r="E180" s="52">
        <f t="shared" si="29"/>
        <v>1</v>
      </c>
      <c r="F180" s="962"/>
      <c r="G180" s="52">
        <f t="shared" si="30"/>
        <v>1</v>
      </c>
      <c r="H180" s="962"/>
      <c r="I180" s="52">
        <f t="shared" si="31"/>
        <v>1</v>
      </c>
      <c r="J180" s="962"/>
      <c r="K180" s="52">
        <f t="shared" si="32"/>
        <v>1</v>
      </c>
      <c r="L180" s="962"/>
      <c r="M180" s="52">
        <f t="shared" si="33"/>
        <v>1</v>
      </c>
      <c r="N180" s="962"/>
      <c r="O180" s="52">
        <f t="shared" si="34"/>
        <v>1</v>
      </c>
      <c r="P180" s="962"/>
      <c r="Q180" s="52">
        <f t="shared" si="35"/>
        <v>1</v>
      </c>
      <c r="R180" s="492">
        <f t="shared" si="36"/>
        <v>0</v>
      </c>
      <c r="S180" s="800">
        <f t="shared" si="27"/>
        <v>0</v>
      </c>
    </row>
    <row r="181" spans="1:19">
      <c r="A181" s="964"/>
      <c r="B181" s="136"/>
      <c r="C181" s="52">
        <f t="shared" si="28"/>
        <v>1</v>
      </c>
      <c r="D181" s="962"/>
      <c r="E181" s="52">
        <f t="shared" si="29"/>
        <v>1</v>
      </c>
      <c r="F181" s="962"/>
      <c r="G181" s="52">
        <f t="shared" si="30"/>
        <v>1</v>
      </c>
      <c r="H181" s="962"/>
      <c r="I181" s="52">
        <f t="shared" si="31"/>
        <v>1</v>
      </c>
      <c r="J181" s="962"/>
      <c r="K181" s="52">
        <f t="shared" si="32"/>
        <v>1</v>
      </c>
      <c r="L181" s="962"/>
      <c r="M181" s="52">
        <f t="shared" si="33"/>
        <v>1</v>
      </c>
      <c r="N181" s="962"/>
      <c r="O181" s="52">
        <f t="shared" si="34"/>
        <v>1</v>
      </c>
      <c r="P181" s="962"/>
      <c r="Q181" s="52">
        <f t="shared" si="35"/>
        <v>1</v>
      </c>
      <c r="R181" s="492">
        <f t="shared" si="36"/>
        <v>0</v>
      </c>
      <c r="S181" s="800">
        <f t="shared" si="27"/>
        <v>0</v>
      </c>
    </row>
    <row r="182" spans="1:19">
      <c r="A182" s="964"/>
      <c r="B182" s="136"/>
      <c r="C182" s="52">
        <f t="shared" si="28"/>
        <v>1</v>
      </c>
      <c r="D182" s="962"/>
      <c r="E182" s="52">
        <f t="shared" si="29"/>
        <v>1</v>
      </c>
      <c r="F182" s="962"/>
      <c r="G182" s="52">
        <f t="shared" si="30"/>
        <v>1</v>
      </c>
      <c r="H182" s="962"/>
      <c r="I182" s="52">
        <f t="shared" si="31"/>
        <v>1</v>
      </c>
      <c r="J182" s="962"/>
      <c r="K182" s="52">
        <f t="shared" si="32"/>
        <v>1</v>
      </c>
      <c r="L182" s="962"/>
      <c r="M182" s="52">
        <f t="shared" si="33"/>
        <v>1</v>
      </c>
      <c r="N182" s="962"/>
      <c r="O182" s="52">
        <f t="shared" si="34"/>
        <v>1</v>
      </c>
      <c r="P182" s="962"/>
      <c r="Q182" s="52">
        <f t="shared" si="35"/>
        <v>1</v>
      </c>
      <c r="R182" s="492">
        <f t="shared" si="36"/>
        <v>0</v>
      </c>
      <c r="S182" s="800">
        <f t="shared" si="27"/>
        <v>0</v>
      </c>
    </row>
    <row r="183" spans="1:19">
      <c r="A183" s="964"/>
      <c r="B183" s="136"/>
      <c r="C183" s="52">
        <f t="shared" si="28"/>
        <v>1</v>
      </c>
      <c r="D183" s="962"/>
      <c r="E183" s="52">
        <f t="shared" si="29"/>
        <v>1</v>
      </c>
      <c r="F183" s="962"/>
      <c r="G183" s="52">
        <f t="shared" si="30"/>
        <v>1</v>
      </c>
      <c r="H183" s="962"/>
      <c r="I183" s="52">
        <f t="shared" si="31"/>
        <v>1</v>
      </c>
      <c r="J183" s="962"/>
      <c r="K183" s="52">
        <f t="shared" si="32"/>
        <v>1</v>
      </c>
      <c r="L183" s="962"/>
      <c r="M183" s="52">
        <f t="shared" si="33"/>
        <v>1</v>
      </c>
      <c r="N183" s="962"/>
      <c r="O183" s="52">
        <f t="shared" si="34"/>
        <v>1</v>
      </c>
      <c r="P183" s="962"/>
      <c r="Q183" s="52">
        <f t="shared" si="35"/>
        <v>1</v>
      </c>
      <c r="R183" s="492">
        <f t="shared" si="36"/>
        <v>0</v>
      </c>
      <c r="S183" s="800">
        <f t="shared" si="27"/>
        <v>0</v>
      </c>
    </row>
    <row r="184" spans="1:19">
      <c r="A184" s="964"/>
      <c r="B184" s="136"/>
      <c r="C184" s="52">
        <f t="shared" si="28"/>
        <v>1</v>
      </c>
      <c r="D184" s="962"/>
      <c r="E184" s="52">
        <f t="shared" si="29"/>
        <v>1</v>
      </c>
      <c r="F184" s="962"/>
      <c r="G184" s="52">
        <f t="shared" si="30"/>
        <v>1</v>
      </c>
      <c r="H184" s="962"/>
      <c r="I184" s="52">
        <f t="shared" si="31"/>
        <v>1</v>
      </c>
      <c r="J184" s="962"/>
      <c r="K184" s="52">
        <f t="shared" si="32"/>
        <v>1</v>
      </c>
      <c r="L184" s="962"/>
      <c r="M184" s="52">
        <f t="shared" si="33"/>
        <v>1</v>
      </c>
      <c r="N184" s="962"/>
      <c r="O184" s="52">
        <f t="shared" si="34"/>
        <v>1</v>
      </c>
      <c r="P184" s="962"/>
      <c r="Q184" s="52">
        <f t="shared" si="35"/>
        <v>1</v>
      </c>
      <c r="R184" s="492">
        <f t="shared" si="36"/>
        <v>0</v>
      </c>
      <c r="S184" s="800">
        <f t="shared" si="27"/>
        <v>0</v>
      </c>
    </row>
    <row r="185" spans="1:19">
      <c r="A185" s="964"/>
      <c r="B185" s="136"/>
      <c r="C185" s="52">
        <f t="shared" si="28"/>
        <v>1</v>
      </c>
      <c r="D185" s="962"/>
      <c r="E185" s="52">
        <f t="shared" si="29"/>
        <v>1</v>
      </c>
      <c r="F185" s="962"/>
      <c r="G185" s="52">
        <f t="shared" si="30"/>
        <v>1</v>
      </c>
      <c r="H185" s="962"/>
      <c r="I185" s="52">
        <f t="shared" si="31"/>
        <v>1</v>
      </c>
      <c r="J185" s="962"/>
      <c r="K185" s="52">
        <f t="shared" si="32"/>
        <v>1</v>
      </c>
      <c r="L185" s="962"/>
      <c r="M185" s="52">
        <f t="shared" si="33"/>
        <v>1</v>
      </c>
      <c r="N185" s="962"/>
      <c r="O185" s="52">
        <f t="shared" si="34"/>
        <v>1</v>
      </c>
      <c r="P185" s="962"/>
      <c r="Q185" s="52">
        <f t="shared" si="35"/>
        <v>1</v>
      </c>
      <c r="R185" s="492">
        <f t="shared" si="36"/>
        <v>0</v>
      </c>
      <c r="S185" s="800">
        <f t="shared" si="27"/>
        <v>0</v>
      </c>
    </row>
    <row r="186" spans="1:19">
      <c r="A186" s="964"/>
      <c r="B186" s="136"/>
      <c r="C186" s="52">
        <f t="shared" si="28"/>
        <v>1</v>
      </c>
      <c r="D186" s="962"/>
      <c r="E186" s="52">
        <f t="shared" si="29"/>
        <v>1</v>
      </c>
      <c r="F186" s="962"/>
      <c r="G186" s="52">
        <f t="shared" si="30"/>
        <v>1</v>
      </c>
      <c r="H186" s="962"/>
      <c r="I186" s="52">
        <f t="shared" si="31"/>
        <v>1</v>
      </c>
      <c r="J186" s="962"/>
      <c r="K186" s="52">
        <f t="shared" si="32"/>
        <v>1</v>
      </c>
      <c r="L186" s="962"/>
      <c r="M186" s="52">
        <f t="shared" si="33"/>
        <v>1</v>
      </c>
      <c r="N186" s="962"/>
      <c r="O186" s="52">
        <f t="shared" si="34"/>
        <v>1</v>
      </c>
      <c r="P186" s="962"/>
      <c r="Q186" s="52">
        <f t="shared" si="35"/>
        <v>1</v>
      </c>
      <c r="R186" s="492">
        <f t="shared" si="36"/>
        <v>0</v>
      </c>
      <c r="S186" s="800">
        <f t="shared" si="27"/>
        <v>0</v>
      </c>
    </row>
    <row r="187" spans="1:19">
      <c r="A187" s="964"/>
      <c r="B187" s="136"/>
      <c r="C187" s="52">
        <f t="shared" si="28"/>
        <v>1</v>
      </c>
      <c r="D187" s="962"/>
      <c r="E187" s="52">
        <f t="shared" si="29"/>
        <v>1</v>
      </c>
      <c r="F187" s="962"/>
      <c r="G187" s="52">
        <f t="shared" si="30"/>
        <v>1</v>
      </c>
      <c r="H187" s="962"/>
      <c r="I187" s="52">
        <f t="shared" si="31"/>
        <v>1</v>
      </c>
      <c r="J187" s="962"/>
      <c r="K187" s="52">
        <f t="shared" si="32"/>
        <v>1</v>
      </c>
      <c r="L187" s="962"/>
      <c r="M187" s="52">
        <f t="shared" si="33"/>
        <v>1</v>
      </c>
      <c r="N187" s="962"/>
      <c r="O187" s="52">
        <f t="shared" si="34"/>
        <v>1</v>
      </c>
      <c r="P187" s="962"/>
      <c r="Q187" s="52">
        <f t="shared" si="35"/>
        <v>1</v>
      </c>
      <c r="R187" s="492">
        <f t="shared" si="36"/>
        <v>0</v>
      </c>
      <c r="S187" s="800">
        <f t="shared" ref="S187:S222" si="37">ROUND(R187*B187/10000,0)</f>
        <v>0</v>
      </c>
    </row>
    <row r="188" spans="1:19">
      <c r="A188" s="964"/>
      <c r="B188" s="136"/>
      <c r="C188" s="52">
        <f t="shared" si="28"/>
        <v>1</v>
      </c>
      <c r="D188" s="962"/>
      <c r="E188" s="52">
        <f t="shared" si="29"/>
        <v>1</v>
      </c>
      <c r="F188" s="962"/>
      <c r="G188" s="52">
        <f t="shared" si="30"/>
        <v>1</v>
      </c>
      <c r="H188" s="962"/>
      <c r="I188" s="52">
        <f t="shared" si="31"/>
        <v>1</v>
      </c>
      <c r="J188" s="962"/>
      <c r="K188" s="52">
        <f t="shared" si="32"/>
        <v>1</v>
      </c>
      <c r="L188" s="962"/>
      <c r="M188" s="52">
        <f t="shared" si="33"/>
        <v>1</v>
      </c>
      <c r="N188" s="962"/>
      <c r="O188" s="52">
        <f t="shared" si="34"/>
        <v>1</v>
      </c>
      <c r="P188" s="962"/>
      <c r="Q188" s="52">
        <f t="shared" si="35"/>
        <v>1</v>
      </c>
      <c r="R188" s="492">
        <f t="shared" si="36"/>
        <v>0</v>
      </c>
      <c r="S188" s="800">
        <f t="shared" si="37"/>
        <v>0</v>
      </c>
    </row>
    <row r="189" spans="1:19">
      <c r="A189" s="964"/>
      <c r="B189" s="136"/>
      <c r="C189" s="52">
        <f t="shared" si="28"/>
        <v>1</v>
      </c>
      <c r="D189" s="962"/>
      <c r="E189" s="52">
        <f t="shared" si="29"/>
        <v>1</v>
      </c>
      <c r="F189" s="962"/>
      <c r="G189" s="52">
        <f t="shared" si="30"/>
        <v>1</v>
      </c>
      <c r="H189" s="962"/>
      <c r="I189" s="52">
        <f t="shared" si="31"/>
        <v>1</v>
      </c>
      <c r="J189" s="962"/>
      <c r="K189" s="52">
        <f t="shared" si="32"/>
        <v>1</v>
      </c>
      <c r="L189" s="962"/>
      <c r="M189" s="52">
        <f t="shared" si="33"/>
        <v>1</v>
      </c>
      <c r="N189" s="962"/>
      <c r="O189" s="52">
        <f t="shared" si="34"/>
        <v>1</v>
      </c>
      <c r="P189" s="962"/>
      <c r="Q189" s="52">
        <f t="shared" si="35"/>
        <v>1</v>
      </c>
      <c r="R189" s="492">
        <f t="shared" si="36"/>
        <v>0</v>
      </c>
      <c r="S189" s="800">
        <f t="shared" si="37"/>
        <v>0</v>
      </c>
    </row>
    <row r="190" spans="1:19">
      <c r="A190" s="964"/>
      <c r="B190" s="136"/>
      <c r="C190" s="52">
        <f t="shared" si="28"/>
        <v>1</v>
      </c>
      <c r="D190" s="962"/>
      <c r="E190" s="52">
        <f t="shared" si="29"/>
        <v>1</v>
      </c>
      <c r="F190" s="962"/>
      <c r="G190" s="52">
        <f t="shared" si="30"/>
        <v>1</v>
      </c>
      <c r="H190" s="962"/>
      <c r="I190" s="52">
        <f t="shared" si="31"/>
        <v>1</v>
      </c>
      <c r="J190" s="962"/>
      <c r="K190" s="52">
        <f t="shared" si="32"/>
        <v>1</v>
      </c>
      <c r="L190" s="962"/>
      <c r="M190" s="52">
        <f t="shared" si="33"/>
        <v>1</v>
      </c>
      <c r="N190" s="962"/>
      <c r="O190" s="52">
        <f t="shared" si="34"/>
        <v>1</v>
      </c>
      <c r="P190" s="962"/>
      <c r="Q190" s="52">
        <f t="shared" si="35"/>
        <v>1</v>
      </c>
      <c r="R190" s="492">
        <f t="shared" si="36"/>
        <v>0</v>
      </c>
      <c r="S190" s="800">
        <f t="shared" si="37"/>
        <v>0</v>
      </c>
    </row>
    <row r="191" spans="1:19">
      <c r="A191" s="964"/>
      <c r="B191" s="136"/>
      <c r="C191" s="52">
        <f t="shared" si="28"/>
        <v>1</v>
      </c>
      <c r="D191" s="962"/>
      <c r="E191" s="52">
        <f t="shared" si="29"/>
        <v>1</v>
      </c>
      <c r="F191" s="962"/>
      <c r="G191" s="52">
        <f t="shared" si="30"/>
        <v>1</v>
      </c>
      <c r="H191" s="962"/>
      <c r="I191" s="52">
        <f t="shared" si="31"/>
        <v>1</v>
      </c>
      <c r="J191" s="962"/>
      <c r="K191" s="52">
        <f t="shared" si="32"/>
        <v>1</v>
      </c>
      <c r="L191" s="962"/>
      <c r="M191" s="52">
        <f t="shared" si="33"/>
        <v>1</v>
      </c>
      <c r="N191" s="962"/>
      <c r="O191" s="52">
        <f t="shared" si="34"/>
        <v>1</v>
      </c>
      <c r="P191" s="962"/>
      <c r="Q191" s="52">
        <f t="shared" si="35"/>
        <v>1</v>
      </c>
      <c r="R191" s="492">
        <f t="shared" si="36"/>
        <v>0</v>
      </c>
      <c r="S191" s="800">
        <f t="shared" si="37"/>
        <v>0</v>
      </c>
    </row>
    <row r="192" spans="1:19">
      <c r="A192" s="964"/>
      <c r="B192" s="136"/>
      <c r="C192" s="52">
        <f t="shared" si="28"/>
        <v>1</v>
      </c>
      <c r="D192" s="962"/>
      <c r="E192" s="52">
        <f t="shared" si="29"/>
        <v>1</v>
      </c>
      <c r="F192" s="962"/>
      <c r="G192" s="52">
        <f t="shared" si="30"/>
        <v>1</v>
      </c>
      <c r="H192" s="962"/>
      <c r="I192" s="52">
        <f t="shared" si="31"/>
        <v>1</v>
      </c>
      <c r="J192" s="962"/>
      <c r="K192" s="52">
        <f t="shared" si="32"/>
        <v>1</v>
      </c>
      <c r="L192" s="962"/>
      <c r="M192" s="52">
        <f t="shared" si="33"/>
        <v>1</v>
      </c>
      <c r="N192" s="962"/>
      <c r="O192" s="52">
        <f t="shared" si="34"/>
        <v>1</v>
      </c>
      <c r="P192" s="962"/>
      <c r="Q192" s="52">
        <f t="shared" si="35"/>
        <v>1</v>
      </c>
      <c r="R192" s="492">
        <f t="shared" si="36"/>
        <v>0</v>
      </c>
      <c r="S192" s="800">
        <f t="shared" si="37"/>
        <v>0</v>
      </c>
    </row>
    <row r="193" spans="1:19">
      <c r="A193" s="964"/>
      <c r="B193" s="136"/>
      <c r="C193" s="52">
        <f t="shared" si="28"/>
        <v>1</v>
      </c>
      <c r="D193" s="962"/>
      <c r="E193" s="52">
        <f t="shared" si="29"/>
        <v>1</v>
      </c>
      <c r="F193" s="962"/>
      <c r="G193" s="52">
        <f t="shared" si="30"/>
        <v>1</v>
      </c>
      <c r="H193" s="962"/>
      <c r="I193" s="52">
        <f t="shared" si="31"/>
        <v>1</v>
      </c>
      <c r="J193" s="962"/>
      <c r="K193" s="52">
        <f t="shared" si="32"/>
        <v>1</v>
      </c>
      <c r="L193" s="962"/>
      <c r="M193" s="52">
        <f t="shared" si="33"/>
        <v>1</v>
      </c>
      <c r="N193" s="962"/>
      <c r="O193" s="52">
        <f t="shared" si="34"/>
        <v>1</v>
      </c>
      <c r="P193" s="962"/>
      <c r="Q193" s="52">
        <f t="shared" si="35"/>
        <v>1</v>
      </c>
      <c r="R193" s="492">
        <f t="shared" si="36"/>
        <v>0</v>
      </c>
      <c r="S193" s="800">
        <f t="shared" si="37"/>
        <v>0</v>
      </c>
    </row>
    <row r="194" spans="1:19">
      <c r="A194" s="964"/>
      <c r="B194" s="136"/>
      <c r="C194" s="52">
        <f t="shared" si="28"/>
        <v>1</v>
      </c>
      <c r="D194" s="962"/>
      <c r="E194" s="52">
        <f t="shared" si="29"/>
        <v>1</v>
      </c>
      <c r="F194" s="962"/>
      <c r="G194" s="52">
        <f t="shared" si="30"/>
        <v>1</v>
      </c>
      <c r="H194" s="962"/>
      <c r="I194" s="52">
        <f t="shared" si="31"/>
        <v>1</v>
      </c>
      <c r="J194" s="962"/>
      <c r="K194" s="52">
        <f t="shared" si="32"/>
        <v>1</v>
      </c>
      <c r="L194" s="962"/>
      <c r="M194" s="52">
        <f t="shared" si="33"/>
        <v>1</v>
      </c>
      <c r="N194" s="962"/>
      <c r="O194" s="52">
        <f t="shared" si="34"/>
        <v>1</v>
      </c>
      <c r="P194" s="962"/>
      <c r="Q194" s="52">
        <f t="shared" si="35"/>
        <v>1</v>
      </c>
      <c r="R194" s="492">
        <f t="shared" si="36"/>
        <v>0</v>
      </c>
      <c r="S194" s="800">
        <f t="shared" si="37"/>
        <v>0</v>
      </c>
    </row>
    <row r="195" spans="1:19">
      <c r="A195" s="964"/>
      <c r="B195" s="136"/>
      <c r="C195" s="52">
        <f t="shared" si="28"/>
        <v>1</v>
      </c>
      <c r="D195" s="962"/>
      <c r="E195" s="52">
        <f t="shared" si="29"/>
        <v>1</v>
      </c>
      <c r="F195" s="962"/>
      <c r="G195" s="52">
        <f t="shared" si="30"/>
        <v>1</v>
      </c>
      <c r="H195" s="962"/>
      <c r="I195" s="52">
        <f t="shared" si="31"/>
        <v>1</v>
      </c>
      <c r="J195" s="962"/>
      <c r="K195" s="52">
        <f t="shared" si="32"/>
        <v>1</v>
      </c>
      <c r="L195" s="962"/>
      <c r="M195" s="52">
        <f t="shared" si="33"/>
        <v>1</v>
      </c>
      <c r="N195" s="962"/>
      <c r="O195" s="52">
        <f t="shared" si="34"/>
        <v>1</v>
      </c>
      <c r="P195" s="962"/>
      <c r="Q195" s="52">
        <f t="shared" si="35"/>
        <v>1</v>
      </c>
      <c r="R195" s="492">
        <f t="shared" si="36"/>
        <v>0</v>
      </c>
      <c r="S195" s="800">
        <f t="shared" si="37"/>
        <v>0</v>
      </c>
    </row>
    <row r="196" spans="1:19">
      <c r="A196" s="964"/>
      <c r="B196" s="136"/>
      <c r="C196" s="52">
        <f t="shared" si="28"/>
        <v>1</v>
      </c>
      <c r="D196" s="962"/>
      <c r="E196" s="52">
        <f t="shared" si="29"/>
        <v>1</v>
      </c>
      <c r="F196" s="962"/>
      <c r="G196" s="52">
        <f t="shared" si="30"/>
        <v>1</v>
      </c>
      <c r="H196" s="962"/>
      <c r="I196" s="52">
        <f t="shared" si="31"/>
        <v>1</v>
      </c>
      <c r="J196" s="962"/>
      <c r="K196" s="52">
        <f t="shared" si="32"/>
        <v>1</v>
      </c>
      <c r="L196" s="962"/>
      <c r="M196" s="52">
        <f t="shared" si="33"/>
        <v>1</v>
      </c>
      <c r="N196" s="962"/>
      <c r="O196" s="52">
        <f t="shared" si="34"/>
        <v>1</v>
      </c>
      <c r="P196" s="962"/>
      <c r="Q196" s="52">
        <f t="shared" si="35"/>
        <v>1</v>
      </c>
      <c r="R196" s="492">
        <f t="shared" si="36"/>
        <v>0</v>
      </c>
      <c r="S196" s="800">
        <f t="shared" si="37"/>
        <v>0</v>
      </c>
    </row>
    <row r="197" spans="1:19">
      <c r="A197" s="964"/>
      <c r="B197" s="136"/>
      <c r="C197" s="52">
        <f t="shared" si="28"/>
        <v>1</v>
      </c>
      <c r="D197" s="962"/>
      <c r="E197" s="52">
        <f t="shared" si="29"/>
        <v>1</v>
      </c>
      <c r="F197" s="962"/>
      <c r="G197" s="52">
        <f t="shared" si="30"/>
        <v>1</v>
      </c>
      <c r="H197" s="962"/>
      <c r="I197" s="52">
        <f t="shared" si="31"/>
        <v>1</v>
      </c>
      <c r="J197" s="962"/>
      <c r="K197" s="52">
        <f t="shared" si="32"/>
        <v>1</v>
      </c>
      <c r="L197" s="962"/>
      <c r="M197" s="52">
        <f t="shared" si="33"/>
        <v>1</v>
      </c>
      <c r="N197" s="962"/>
      <c r="O197" s="52">
        <f t="shared" si="34"/>
        <v>1</v>
      </c>
      <c r="P197" s="962"/>
      <c r="Q197" s="52">
        <f t="shared" si="35"/>
        <v>1</v>
      </c>
      <c r="R197" s="492">
        <f t="shared" si="36"/>
        <v>0</v>
      </c>
      <c r="S197" s="800">
        <f t="shared" si="37"/>
        <v>0</v>
      </c>
    </row>
    <row r="198" spans="1:19">
      <c r="A198" s="964"/>
      <c r="B198" s="136"/>
      <c r="C198" s="52">
        <f t="shared" si="28"/>
        <v>1</v>
      </c>
      <c r="D198" s="962"/>
      <c r="E198" s="52">
        <f t="shared" si="29"/>
        <v>1</v>
      </c>
      <c r="F198" s="962"/>
      <c r="G198" s="52">
        <f t="shared" si="30"/>
        <v>1</v>
      </c>
      <c r="H198" s="962"/>
      <c r="I198" s="52">
        <f t="shared" si="31"/>
        <v>1</v>
      </c>
      <c r="J198" s="962"/>
      <c r="K198" s="52">
        <f t="shared" si="32"/>
        <v>1</v>
      </c>
      <c r="L198" s="962"/>
      <c r="M198" s="52">
        <f t="shared" si="33"/>
        <v>1</v>
      </c>
      <c r="N198" s="962"/>
      <c r="O198" s="52">
        <f t="shared" si="34"/>
        <v>1</v>
      </c>
      <c r="P198" s="962"/>
      <c r="Q198" s="52">
        <f t="shared" si="35"/>
        <v>1</v>
      </c>
      <c r="R198" s="492">
        <f t="shared" si="36"/>
        <v>0</v>
      </c>
      <c r="S198" s="800">
        <f t="shared" si="37"/>
        <v>0</v>
      </c>
    </row>
    <row r="199" spans="1:19">
      <c r="A199" s="964"/>
      <c r="B199" s="136"/>
      <c r="C199" s="52">
        <f t="shared" si="28"/>
        <v>1</v>
      </c>
      <c r="D199" s="962"/>
      <c r="E199" s="52">
        <f t="shared" si="29"/>
        <v>1</v>
      </c>
      <c r="F199" s="962"/>
      <c r="G199" s="52">
        <f t="shared" si="30"/>
        <v>1</v>
      </c>
      <c r="H199" s="962"/>
      <c r="I199" s="52">
        <f t="shared" si="31"/>
        <v>1</v>
      </c>
      <c r="J199" s="962"/>
      <c r="K199" s="52">
        <f t="shared" si="32"/>
        <v>1</v>
      </c>
      <c r="L199" s="962"/>
      <c r="M199" s="52">
        <f t="shared" si="33"/>
        <v>1</v>
      </c>
      <c r="N199" s="962"/>
      <c r="O199" s="52">
        <f t="shared" si="34"/>
        <v>1</v>
      </c>
      <c r="P199" s="962"/>
      <c r="Q199" s="52">
        <f t="shared" si="35"/>
        <v>1</v>
      </c>
      <c r="R199" s="492">
        <f t="shared" si="36"/>
        <v>0</v>
      </c>
      <c r="S199" s="800">
        <f t="shared" si="37"/>
        <v>0</v>
      </c>
    </row>
    <row r="200" spans="1:19">
      <c r="A200" s="964"/>
      <c r="B200" s="136"/>
      <c r="C200" s="52">
        <f t="shared" si="28"/>
        <v>1</v>
      </c>
      <c r="D200" s="962"/>
      <c r="E200" s="52">
        <f t="shared" si="29"/>
        <v>1</v>
      </c>
      <c r="F200" s="962"/>
      <c r="G200" s="52">
        <f t="shared" si="30"/>
        <v>1</v>
      </c>
      <c r="H200" s="962"/>
      <c r="I200" s="52">
        <f t="shared" si="31"/>
        <v>1</v>
      </c>
      <c r="J200" s="962"/>
      <c r="K200" s="52">
        <f t="shared" si="32"/>
        <v>1</v>
      </c>
      <c r="L200" s="962"/>
      <c r="M200" s="52">
        <f t="shared" si="33"/>
        <v>1</v>
      </c>
      <c r="N200" s="962"/>
      <c r="O200" s="52">
        <f t="shared" si="34"/>
        <v>1</v>
      </c>
      <c r="P200" s="962"/>
      <c r="Q200" s="52">
        <f t="shared" si="35"/>
        <v>1</v>
      </c>
      <c r="R200" s="492">
        <f t="shared" si="36"/>
        <v>0</v>
      </c>
      <c r="S200" s="800">
        <f t="shared" si="37"/>
        <v>0</v>
      </c>
    </row>
    <row r="201" spans="1:19">
      <c r="A201" s="964"/>
      <c r="B201" s="136"/>
      <c r="C201" s="52">
        <f t="shared" si="28"/>
        <v>1</v>
      </c>
      <c r="D201" s="962"/>
      <c r="E201" s="52">
        <f t="shared" si="29"/>
        <v>1</v>
      </c>
      <c r="F201" s="962"/>
      <c r="G201" s="52">
        <f t="shared" si="30"/>
        <v>1</v>
      </c>
      <c r="H201" s="962"/>
      <c r="I201" s="52">
        <f t="shared" si="31"/>
        <v>1</v>
      </c>
      <c r="J201" s="962"/>
      <c r="K201" s="52">
        <f t="shared" si="32"/>
        <v>1</v>
      </c>
      <c r="L201" s="962"/>
      <c r="M201" s="52">
        <f t="shared" si="33"/>
        <v>1</v>
      </c>
      <c r="N201" s="962"/>
      <c r="O201" s="52">
        <f t="shared" si="34"/>
        <v>1</v>
      </c>
      <c r="P201" s="962"/>
      <c r="Q201" s="52">
        <f t="shared" si="35"/>
        <v>1</v>
      </c>
      <c r="R201" s="492">
        <f t="shared" si="36"/>
        <v>0</v>
      </c>
      <c r="S201" s="800">
        <f t="shared" si="37"/>
        <v>0</v>
      </c>
    </row>
    <row r="202" spans="1:19">
      <c r="A202" s="964"/>
      <c r="B202" s="136"/>
      <c r="C202" s="52">
        <f t="shared" si="28"/>
        <v>1</v>
      </c>
      <c r="D202" s="962"/>
      <c r="E202" s="52">
        <f t="shared" si="29"/>
        <v>1</v>
      </c>
      <c r="F202" s="962"/>
      <c r="G202" s="52">
        <f t="shared" si="30"/>
        <v>1</v>
      </c>
      <c r="H202" s="962"/>
      <c r="I202" s="52">
        <f t="shared" si="31"/>
        <v>1</v>
      </c>
      <c r="J202" s="962"/>
      <c r="K202" s="52">
        <f t="shared" si="32"/>
        <v>1</v>
      </c>
      <c r="L202" s="962"/>
      <c r="M202" s="52">
        <f t="shared" si="33"/>
        <v>1</v>
      </c>
      <c r="N202" s="962"/>
      <c r="O202" s="52">
        <f t="shared" si="34"/>
        <v>1</v>
      </c>
      <c r="P202" s="962"/>
      <c r="Q202" s="52">
        <f t="shared" si="35"/>
        <v>1</v>
      </c>
      <c r="R202" s="492">
        <f t="shared" si="36"/>
        <v>0</v>
      </c>
      <c r="S202" s="800">
        <f t="shared" si="37"/>
        <v>0</v>
      </c>
    </row>
    <row r="203" spans="1:19">
      <c r="A203" s="964"/>
      <c r="B203" s="136"/>
      <c r="C203" s="52">
        <f t="shared" si="28"/>
        <v>1</v>
      </c>
      <c r="D203" s="962"/>
      <c r="E203" s="52">
        <f t="shared" si="29"/>
        <v>1</v>
      </c>
      <c r="F203" s="962"/>
      <c r="G203" s="52">
        <f t="shared" si="30"/>
        <v>1</v>
      </c>
      <c r="H203" s="962"/>
      <c r="I203" s="52">
        <f t="shared" si="31"/>
        <v>1</v>
      </c>
      <c r="J203" s="962"/>
      <c r="K203" s="52">
        <f t="shared" si="32"/>
        <v>1</v>
      </c>
      <c r="L203" s="962"/>
      <c r="M203" s="52">
        <f t="shared" si="33"/>
        <v>1</v>
      </c>
      <c r="N203" s="962"/>
      <c r="O203" s="52">
        <f t="shared" si="34"/>
        <v>1</v>
      </c>
      <c r="P203" s="962"/>
      <c r="Q203" s="52">
        <f t="shared" si="35"/>
        <v>1</v>
      </c>
      <c r="R203" s="492">
        <f t="shared" si="36"/>
        <v>0</v>
      </c>
      <c r="S203" s="800">
        <f t="shared" si="37"/>
        <v>0</v>
      </c>
    </row>
    <row r="204" spans="1:19">
      <c r="A204" s="964"/>
      <c r="B204" s="136"/>
      <c r="C204" s="52">
        <f t="shared" si="28"/>
        <v>1</v>
      </c>
      <c r="D204" s="962"/>
      <c r="E204" s="52">
        <f t="shared" si="29"/>
        <v>1</v>
      </c>
      <c r="F204" s="962"/>
      <c r="G204" s="52">
        <f t="shared" si="30"/>
        <v>1</v>
      </c>
      <c r="H204" s="962"/>
      <c r="I204" s="52">
        <f t="shared" si="31"/>
        <v>1</v>
      </c>
      <c r="J204" s="962"/>
      <c r="K204" s="52">
        <f t="shared" si="32"/>
        <v>1</v>
      </c>
      <c r="L204" s="962"/>
      <c r="M204" s="52">
        <f t="shared" si="33"/>
        <v>1</v>
      </c>
      <c r="N204" s="962"/>
      <c r="O204" s="52">
        <f t="shared" si="34"/>
        <v>1</v>
      </c>
      <c r="P204" s="962"/>
      <c r="Q204" s="52">
        <f t="shared" si="35"/>
        <v>1</v>
      </c>
      <c r="R204" s="492">
        <f t="shared" si="36"/>
        <v>0</v>
      </c>
      <c r="S204" s="800">
        <f t="shared" si="37"/>
        <v>0</v>
      </c>
    </row>
    <row r="205" spans="1:19">
      <c r="A205" s="964"/>
      <c r="B205" s="136"/>
      <c r="C205" s="52">
        <f t="shared" si="28"/>
        <v>1</v>
      </c>
      <c r="D205" s="962"/>
      <c r="E205" s="52">
        <f t="shared" si="29"/>
        <v>1</v>
      </c>
      <c r="F205" s="962"/>
      <c r="G205" s="52">
        <f t="shared" si="30"/>
        <v>1</v>
      </c>
      <c r="H205" s="962"/>
      <c r="I205" s="52">
        <f t="shared" si="31"/>
        <v>1</v>
      </c>
      <c r="J205" s="962"/>
      <c r="K205" s="52">
        <f t="shared" si="32"/>
        <v>1</v>
      </c>
      <c r="L205" s="962"/>
      <c r="M205" s="52">
        <f t="shared" si="33"/>
        <v>1</v>
      </c>
      <c r="N205" s="962"/>
      <c r="O205" s="52">
        <f t="shared" si="34"/>
        <v>1</v>
      </c>
      <c r="P205" s="962"/>
      <c r="Q205" s="52">
        <f t="shared" si="35"/>
        <v>1</v>
      </c>
      <c r="R205" s="492">
        <f t="shared" si="36"/>
        <v>0</v>
      </c>
      <c r="S205" s="800">
        <f t="shared" si="37"/>
        <v>0</v>
      </c>
    </row>
    <row r="206" spans="1:19">
      <c r="A206" s="964"/>
      <c r="B206" s="136"/>
      <c r="C206" s="52">
        <f t="shared" si="28"/>
        <v>1</v>
      </c>
      <c r="D206" s="962"/>
      <c r="E206" s="52">
        <f t="shared" si="29"/>
        <v>1</v>
      </c>
      <c r="F206" s="962"/>
      <c r="G206" s="52">
        <f t="shared" si="30"/>
        <v>1</v>
      </c>
      <c r="H206" s="962"/>
      <c r="I206" s="52">
        <f t="shared" si="31"/>
        <v>1</v>
      </c>
      <c r="J206" s="962"/>
      <c r="K206" s="52">
        <f t="shared" si="32"/>
        <v>1</v>
      </c>
      <c r="L206" s="962"/>
      <c r="M206" s="52">
        <f t="shared" si="33"/>
        <v>1</v>
      </c>
      <c r="N206" s="962"/>
      <c r="O206" s="52">
        <f t="shared" si="34"/>
        <v>1</v>
      </c>
      <c r="P206" s="962"/>
      <c r="Q206" s="52">
        <f t="shared" si="35"/>
        <v>1</v>
      </c>
      <c r="R206" s="492">
        <f t="shared" si="36"/>
        <v>0</v>
      </c>
      <c r="S206" s="800">
        <f t="shared" si="37"/>
        <v>0</v>
      </c>
    </row>
    <row r="207" spans="1:19">
      <c r="A207" s="964"/>
      <c r="B207" s="136"/>
      <c r="C207" s="52">
        <f t="shared" si="28"/>
        <v>1</v>
      </c>
      <c r="D207" s="962"/>
      <c r="E207" s="52">
        <f t="shared" si="29"/>
        <v>1</v>
      </c>
      <c r="F207" s="962"/>
      <c r="G207" s="52">
        <f t="shared" si="30"/>
        <v>1</v>
      </c>
      <c r="H207" s="962"/>
      <c r="I207" s="52">
        <f t="shared" si="31"/>
        <v>1</v>
      </c>
      <c r="J207" s="962"/>
      <c r="K207" s="52">
        <f t="shared" si="32"/>
        <v>1</v>
      </c>
      <c r="L207" s="962"/>
      <c r="M207" s="52">
        <f t="shared" si="33"/>
        <v>1</v>
      </c>
      <c r="N207" s="962"/>
      <c r="O207" s="52">
        <f t="shared" si="34"/>
        <v>1</v>
      </c>
      <c r="P207" s="962"/>
      <c r="Q207" s="52">
        <f t="shared" si="35"/>
        <v>1</v>
      </c>
      <c r="R207" s="492">
        <f t="shared" si="36"/>
        <v>0</v>
      </c>
      <c r="S207" s="800">
        <f t="shared" si="37"/>
        <v>0</v>
      </c>
    </row>
    <row r="208" spans="1:19">
      <c r="A208" s="964"/>
      <c r="B208" s="136"/>
      <c r="C208" s="52">
        <f t="shared" si="28"/>
        <v>1</v>
      </c>
      <c r="D208" s="962"/>
      <c r="E208" s="52">
        <f t="shared" si="29"/>
        <v>1</v>
      </c>
      <c r="F208" s="962"/>
      <c r="G208" s="52">
        <f t="shared" si="30"/>
        <v>1</v>
      </c>
      <c r="H208" s="962"/>
      <c r="I208" s="52">
        <f t="shared" si="31"/>
        <v>1</v>
      </c>
      <c r="J208" s="962"/>
      <c r="K208" s="52">
        <f t="shared" si="32"/>
        <v>1</v>
      </c>
      <c r="L208" s="962"/>
      <c r="M208" s="52">
        <f t="shared" si="33"/>
        <v>1</v>
      </c>
      <c r="N208" s="962"/>
      <c r="O208" s="52">
        <f t="shared" si="34"/>
        <v>1</v>
      </c>
      <c r="P208" s="962"/>
      <c r="Q208" s="52">
        <f t="shared" si="35"/>
        <v>1</v>
      </c>
      <c r="R208" s="492">
        <f t="shared" si="36"/>
        <v>0</v>
      </c>
      <c r="S208" s="800">
        <f t="shared" si="37"/>
        <v>0</v>
      </c>
    </row>
    <row r="209" spans="1:19">
      <c r="A209" s="964"/>
      <c r="B209" s="136"/>
      <c r="C209" s="52">
        <f t="shared" si="28"/>
        <v>1</v>
      </c>
      <c r="D209" s="962"/>
      <c r="E209" s="52">
        <f t="shared" si="29"/>
        <v>1</v>
      </c>
      <c r="F209" s="962"/>
      <c r="G209" s="52">
        <f t="shared" si="30"/>
        <v>1</v>
      </c>
      <c r="H209" s="962"/>
      <c r="I209" s="52">
        <f t="shared" si="31"/>
        <v>1</v>
      </c>
      <c r="J209" s="962"/>
      <c r="K209" s="52">
        <f t="shared" si="32"/>
        <v>1</v>
      </c>
      <c r="L209" s="962"/>
      <c r="M209" s="52">
        <f t="shared" si="33"/>
        <v>1</v>
      </c>
      <c r="N209" s="962"/>
      <c r="O209" s="52">
        <f t="shared" si="34"/>
        <v>1</v>
      </c>
      <c r="P209" s="962"/>
      <c r="Q209" s="52">
        <f t="shared" si="35"/>
        <v>1</v>
      </c>
      <c r="R209" s="492">
        <f t="shared" si="36"/>
        <v>0</v>
      </c>
      <c r="S209" s="800">
        <f t="shared" si="37"/>
        <v>0</v>
      </c>
    </row>
    <row r="210" spans="1:19">
      <c r="A210" s="964"/>
      <c r="B210" s="136"/>
      <c r="C210" s="52">
        <f t="shared" si="28"/>
        <v>1</v>
      </c>
      <c r="D210" s="962"/>
      <c r="E210" s="52">
        <f t="shared" si="29"/>
        <v>1</v>
      </c>
      <c r="F210" s="962"/>
      <c r="G210" s="52">
        <f t="shared" si="30"/>
        <v>1</v>
      </c>
      <c r="H210" s="962"/>
      <c r="I210" s="52">
        <f t="shared" si="31"/>
        <v>1</v>
      </c>
      <c r="J210" s="962"/>
      <c r="K210" s="52">
        <f t="shared" si="32"/>
        <v>1</v>
      </c>
      <c r="L210" s="962"/>
      <c r="M210" s="52">
        <f t="shared" si="33"/>
        <v>1</v>
      </c>
      <c r="N210" s="962"/>
      <c r="O210" s="52">
        <f t="shared" si="34"/>
        <v>1</v>
      </c>
      <c r="P210" s="962"/>
      <c r="Q210" s="52">
        <f t="shared" si="35"/>
        <v>1</v>
      </c>
      <c r="R210" s="492">
        <f t="shared" si="36"/>
        <v>0</v>
      </c>
      <c r="S210" s="800">
        <f t="shared" si="37"/>
        <v>0</v>
      </c>
    </row>
    <row r="211" spans="1:19">
      <c r="A211" s="964"/>
      <c r="B211" s="136"/>
      <c r="C211" s="52">
        <f t="shared" si="28"/>
        <v>1</v>
      </c>
      <c r="D211" s="962"/>
      <c r="E211" s="52">
        <f t="shared" si="29"/>
        <v>1</v>
      </c>
      <c r="F211" s="962"/>
      <c r="G211" s="52">
        <f t="shared" si="30"/>
        <v>1</v>
      </c>
      <c r="H211" s="962"/>
      <c r="I211" s="52">
        <f t="shared" si="31"/>
        <v>1</v>
      </c>
      <c r="J211" s="962"/>
      <c r="K211" s="52">
        <f t="shared" si="32"/>
        <v>1</v>
      </c>
      <c r="L211" s="962"/>
      <c r="M211" s="52">
        <f t="shared" si="33"/>
        <v>1</v>
      </c>
      <c r="N211" s="962"/>
      <c r="O211" s="52">
        <f t="shared" si="34"/>
        <v>1</v>
      </c>
      <c r="P211" s="962"/>
      <c r="Q211" s="52">
        <f t="shared" si="35"/>
        <v>1</v>
      </c>
      <c r="R211" s="492">
        <f t="shared" si="36"/>
        <v>0</v>
      </c>
      <c r="S211" s="800">
        <f t="shared" si="37"/>
        <v>0</v>
      </c>
    </row>
    <row r="212" spans="1:19">
      <c r="A212" s="964"/>
      <c r="B212" s="136"/>
      <c r="C212" s="52">
        <f t="shared" si="28"/>
        <v>1</v>
      </c>
      <c r="D212" s="962"/>
      <c r="E212" s="52">
        <f t="shared" si="29"/>
        <v>1</v>
      </c>
      <c r="F212" s="962"/>
      <c r="G212" s="52">
        <f t="shared" si="30"/>
        <v>1</v>
      </c>
      <c r="H212" s="962"/>
      <c r="I212" s="52">
        <f t="shared" si="31"/>
        <v>1</v>
      </c>
      <c r="J212" s="962"/>
      <c r="K212" s="52">
        <f t="shared" si="32"/>
        <v>1</v>
      </c>
      <c r="L212" s="962"/>
      <c r="M212" s="52">
        <f t="shared" si="33"/>
        <v>1</v>
      </c>
      <c r="N212" s="962"/>
      <c r="O212" s="52">
        <f t="shared" si="34"/>
        <v>1</v>
      </c>
      <c r="P212" s="962"/>
      <c r="Q212" s="52">
        <f t="shared" si="35"/>
        <v>1</v>
      </c>
      <c r="R212" s="492">
        <f t="shared" si="36"/>
        <v>0</v>
      </c>
      <c r="S212" s="800">
        <f t="shared" si="37"/>
        <v>0</v>
      </c>
    </row>
    <row r="213" spans="1:19">
      <c r="A213" s="964"/>
      <c r="B213" s="136"/>
      <c r="C213" s="52">
        <f t="shared" si="28"/>
        <v>1</v>
      </c>
      <c r="D213" s="962"/>
      <c r="E213" s="52">
        <f t="shared" si="29"/>
        <v>1</v>
      </c>
      <c r="F213" s="962"/>
      <c r="G213" s="52">
        <f t="shared" si="30"/>
        <v>1</v>
      </c>
      <c r="H213" s="962"/>
      <c r="I213" s="52">
        <f t="shared" si="31"/>
        <v>1</v>
      </c>
      <c r="J213" s="962"/>
      <c r="K213" s="52">
        <f t="shared" si="32"/>
        <v>1</v>
      </c>
      <c r="L213" s="962"/>
      <c r="M213" s="52">
        <f t="shared" si="33"/>
        <v>1</v>
      </c>
      <c r="N213" s="962"/>
      <c r="O213" s="52">
        <f t="shared" si="34"/>
        <v>1</v>
      </c>
      <c r="P213" s="962"/>
      <c r="Q213" s="52">
        <f t="shared" si="35"/>
        <v>1</v>
      </c>
      <c r="R213" s="492">
        <f t="shared" si="36"/>
        <v>0</v>
      </c>
      <c r="S213" s="800">
        <f t="shared" si="37"/>
        <v>0</v>
      </c>
    </row>
    <row r="214" spans="1:19">
      <c r="A214" s="964"/>
      <c r="B214" s="136"/>
      <c r="C214" s="52">
        <f t="shared" si="28"/>
        <v>1</v>
      </c>
      <c r="D214" s="962"/>
      <c r="E214" s="52">
        <f t="shared" si="29"/>
        <v>1</v>
      </c>
      <c r="F214" s="962"/>
      <c r="G214" s="52">
        <f t="shared" si="30"/>
        <v>1</v>
      </c>
      <c r="H214" s="962"/>
      <c r="I214" s="52">
        <f t="shared" si="31"/>
        <v>1</v>
      </c>
      <c r="J214" s="962"/>
      <c r="K214" s="52">
        <f t="shared" si="32"/>
        <v>1</v>
      </c>
      <c r="L214" s="962"/>
      <c r="M214" s="52">
        <f t="shared" si="33"/>
        <v>1</v>
      </c>
      <c r="N214" s="962"/>
      <c r="O214" s="52">
        <f t="shared" si="34"/>
        <v>1</v>
      </c>
      <c r="P214" s="962"/>
      <c r="Q214" s="52">
        <f t="shared" si="35"/>
        <v>1</v>
      </c>
      <c r="R214" s="492">
        <f t="shared" si="36"/>
        <v>0</v>
      </c>
      <c r="S214" s="800">
        <f t="shared" si="37"/>
        <v>0</v>
      </c>
    </row>
    <row r="215" spans="1:19">
      <c r="A215" s="964"/>
      <c r="B215" s="136"/>
      <c r="C215" s="52">
        <f t="shared" si="28"/>
        <v>1</v>
      </c>
      <c r="D215" s="962"/>
      <c r="E215" s="52">
        <f t="shared" si="29"/>
        <v>1</v>
      </c>
      <c r="F215" s="962"/>
      <c r="G215" s="52">
        <f t="shared" si="30"/>
        <v>1</v>
      </c>
      <c r="H215" s="962"/>
      <c r="I215" s="52">
        <f t="shared" si="31"/>
        <v>1</v>
      </c>
      <c r="J215" s="962"/>
      <c r="K215" s="52">
        <f t="shared" si="32"/>
        <v>1</v>
      </c>
      <c r="L215" s="962"/>
      <c r="M215" s="52">
        <f t="shared" si="33"/>
        <v>1</v>
      </c>
      <c r="N215" s="962"/>
      <c r="O215" s="52">
        <f t="shared" si="34"/>
        <v>1</v>
      </c>
      <c r="P215" s="962"/>
      <c r="Q215" s="52">
        <f t="shared" si="35"/>
        <v>1</v>
      </c>
      <c r="R215" s="492">
        <f t="shared" si="36"/>
        <v>0</v>
      </c>
      <c r="S215" s="800">
        <f t="shared" si="37"/>
        <v>0</v>
      </c>
    </row>
    <row r="216" spans="1:19">
      <c r="A216" s="964"/>
      <c r="B216" s="136"/>
      <c r="C216" s="52">
        <f t="shared" si="28"/>
        <v>1</v>
      </c>
      <c r="D216" s="962"/>
      <c r="E216" s="52">
        <f t="shared" si="29"/>
        <v>1</v>
      </c>
      <c r="F216" s="962"/>
      <c r="G216" s="52">
        <f t="shared" si="30"/>
        <v>1</v>
      </c>
      <c r="H216" s="962"/>
      <c r="I216" s="52">
        <f t="shared" si="31"/>
        <v>1</v>
      </c>
      <c r="J216" s="962"/>
      <c r="K216" s="52">
        <f t="shared" si="32"/>
        <v>1</v>
      </c>
      <c r="L216" s="962"/>
      <c r="M216" s="52">
        <f t="shared" si="33"/>
        <v>1</v>
      </c>
      <c r="N216" s="962"/>
      <c r="O216" s="52">
        <f t="shared" si="34"/>
        <v>1</v>
      </c>
      <c r="P216" s="962"/>
      <c r="Q216" s="52">
        <f t="shared" si="35"/>
        <v>1</v>
      </c>
      <c r="R216" s="492">
        <f t="shared" si="36"/>
        <v>0</v>
      </c>
      <c r="S216" s="800">
        <f t="shared" si="37"/>
        <v>0</v>
      </c>
    </row>
    <row r="217" spans="1:19">
      <c r="A217" s="964"/>
      <c r="B217" s="136"/>
      <c r="C217" s="52">
        <f t="shared" si="28"/>
        <v>1</v>
      </c>
      <c r="D217" s="962"/>
      <c r="E217" s="52">
        <f t="shared" si="29"/>
        <v>1</v>
      </c>
      <c r="F217" s="962"/>
      <c r="G217" s="52">
        <f t="shared" si="30"/>
        <v>1</v>
      </c>
      <c r="H217" s="962"/>
      <c r="I217" s="52">
        <f t="shared" si="31"/>
        <v>1</v>
      </c>
      <c r="J217" s="962"/>
      <c r="K217" s="52">
        <f t="shared" si="32"/>
        <v>1</v>
      </c>
      <c r="L217" s="962"/>
      <c r="M217" s="52">
        <f t="shared" si="33"/>
        <v>1</v>
      </c>
      <c r="N217" s="962"/>
      <c r="O217" s="52">
        <f t="shared" si="34"/>
        <v>1</v>
      </c>
      <c r="P217" s="962"/>
      <c r="Q217" s="52">
        <f t="shared" si="35"/>
        <v>1</v>
      </c>
      <c r="R217" s="492">
        <f t="shared" si="36"/>
        <v>0</v>
      </c>
      <c r="S217" s="800">
        <f t="shared" si="37"/>
        <v>0</v>
      </c>
    </row>
    <row r="218" spans="1:19">
      <c r="A218" s="964"/>
      <c r="B218" s="136"/>
      <c r="C218" s="52">
        <f t="shared" ref="C218:C281" si="38">IF(B218="",1,(LOOKUP(B218,$3:$3,$4:$4)-LOOKUP($B$24,$3:$3,$4:$4)+100)/100)</f>
        <v>1</v>
      </c>
      <c r="D218" s="962"/>
      <c r="E218" s="52">
        <f t="shared" ref="E218:E281" si="39">(SUMIF($5:$5,D218,$6:$6)-SUMIF($5:$5,$D$24,$6:$6)+100)/100</f>
        <v>1</v>
      </c>
      <c r="F218" s="962"/>
      <c r="G218" s="52">
        <f t="shared" ref="G218:G281" si="40">(SUMIF($7:$7,F218,$8:$8)-SUMIF($7:$7,$F$24,$8:$8)+100)/100</f>
        <v>1</v>
      </c>
      <c r="H218" s="962"/>
      <c r="I218" s="52">
        <f t="shared" ref="I218:I281" si="41">(SUMIF($9:$9,H218,$10:$10)-SUMIF($9:$9,$H$24,$10:$10)+100)/100</f>
        <v>1</v>
      </c>
      <c r="J218" s="962"/>
      <c r="K218" s="52">
        <f t="shared" ref="K218:K281" si="42">(SUMIF($11:$11,J218,$12:$12)-SUMIF($11:$11,$J$24,$12:$12)+100)/100</f>
        <v>1</v>
      </c>
      <c r="L218" s="962"/>
      <c r="M218" s="52">
        <f t="shared" ref="M218:M281" si="43">(SUMIF($13:$13,L218,$14:$14)-SUMIF($13:$13,$L$24,$14:$14)+100)/100</f>
        <v>1</v>
      </c>
      <c r="N218" s="962"/>
      <c r="O218" s="52">
        <f t="shared" ref="O218:O281" si="44">(SUMIF($15:$15,N218,$16:$16)-SUMIF($15:$15,$N$24,$16:$16)+100)/100</f>
        <v>1</v>
      </c>
      <c r="P218" s="962"/>
      <c r="Q218" s="52">
        <f t="shared" ref="Q218:Q281" si="45">(SUMIF($17:$17,P218,$18:$18)-SUMIF($17:$17,$P$24,$18:$18)+100)/100</f>
        <v>1</v>
      </c>
      <c r="R218" s="492">
        <f t="shared" ref="R218:R281" si="46">IF(B218="",0,ROUND($R$24*C218*E218*G218*I218*K218*M218*O218*Q218,0))</f>
        <v>0</v>
      </c>
      <c r="S218" s="800">
        <f t="shared" si="37"/>
        <v>0</v>
      </c>
    </row>
    <row r="219" spans="1:19">
      <c r="A219" s="964"/>
      <c r="B219" s="136"/>
      <c r="C219" s="52">
        <f t="shared" si="38"/>
        <v>1</v>
      </c>
      <c r="D219" s="962"/>
      <c r="E219" s="52">
        <f t="shared" si="39"/>
        <v>1</v>
      </c>
      <c r="F219" s="962"/>
      <c r="G219" s="52">
        <f t="shared" si="40"/>
        <v>1</v>
      </c>
      <c r="H219" s="962"/>
      <c r="I219" s="52">
        <f t="shared" si="41"/>
        <v>1</v>
      </c>
      <c r="J219" s="962"/>
      <c r="K219" s="52">
        <f t="shared" si="42"/>
        <v>1</v>
      </c>
      <c r="L219" s="962"/>
      <c r="M219" s="52">
        <f t="shared" si="43"/>
        <v>1</v>
      </c>
      <c r="N219" s="962"/>
      <c r="O219" s="52">
        <f t="shared" si="44"/>
        <v>1</v>
      </c>
      <c r="P219" s="962"/>
      <c r="Q219" s="52">
        <f t="shared" si="45"/>
        <v>1</v>
      </c>
      <c r="R219" s="492">
        <f t="shared" si="46"/>
        <v>0</v>
      </c>
      <c r="S219" s="800">
        <f t="shared" si="37"/>
        <v>0</v>
      </c>
    </row>
    <row r="220" spans="1:19">
      <c r="A220" s="964"/>
      <c r="B220" s="136"/>
      <c r="C220" s="52">
        <f t="shared" si="38"/>
        <v>1</v>
      </c>
      <c r="D220" s="962"/>
      <c r="E220" s="52">
        <f t="shared" si="39"/>
        <v>1</v>
      </c>
      <c r="F220" s="962"/>
      <c r="G220" s="52">
        <f t="shared" si="40"/>
        <v>1</v>
      </c>
      <c r="H220" s="962"/>
      <c r="I220" s="52">
        <f t="shared" si="41"/>
        <v>1</v>
      </c>
      <c r="J220" s="962"/>
      <c r="K220" s="52">
        <f t="shared" si="42"/>
        <v>1</v>
      </c>
      <c r="L220" s="962"/>
      <c r="M220" s="52">
        <f t="shared" si="43"/>
        <v>1</v>
      </c>
      <c r="N220" s="962"/>
      <c r="O220" s="52">
        <f t="shared" si="44"/>
        <v>1</v>
      </c>
      <c r="P220" s="962"/>
      <c r="Q220" s="52">
        <f t="shared" si="45"/>
        <v>1</v>
      </c>
      <c r="R220" s="492">
        <f t="shared" si="46"/>
        <v>0</v>
      </c>
      <c r="S220" s="800">
        <f t="shared" si="37"/>
        <v>0</v>
      </c>
    </row>
    <row r="221" spans="1:19">
      <c r="A221" s="964"/>
      <c r="B221" s="136"/>
      <c r="C221" s="52">
        <f t="shared" si="38"/>
        <v>1</v>
      </c>
      <c r="D221" s="962"/>
      <c r="E221" s="52">
        <f t="shared" si="39"/>
        <v>1</v>
      </c>
      <c r="F221" s="962"/>
      <c r="G221" s="52">
        <f t="shared" si="40"/>
        <v>1</v>
      </c>
      <c r="H221" s="962"/>
      <c r="I221" s="52">
        <f t="shared" si="41"/>
        <v>1</v>
      </c>
      <c r="J221" s="962"/>
      <c r="K221" s="52">
        <f t="shared" si="42"/>
        <v>1</v>
      </c>
      <c r="L221" s="962"/>
      <c r="M221" s="52">
        <f t="shared" si="43"/>
        <v>1</v>
      </c>
      <c r="N221" s="962"/>
      <c r="O221" s="52">
        <f t="shared" si="44"/>
        <v>1</v>
      </c>
      <c r="P221" s="962"/>
      <c r="Q221" s="52">
        <f t="shared" si="45"/>
        <v>1</v>
      </c>
      <c r="R221" s="492">
        <f t="shared" si="46"/>
        <v>0</v>
      </c>
      <c r="S221" s="800">
        <f t="shared" si="37"/>
        <v>0</v>
      </c>
    </row>
    <row r="222" spans="1:19">
      <c r="A222" s="964"/>
      <c r="B222" s="136"/>
      <c r="C222" s="52">
        <f t="shared" si="38"/>
        <v>1</v>
      </c>
      <c r="D222" s="962"/>
      <c r="E222" s="52">
        <f t="shared" si="39"/>
        <v>1</v>
      </c>
      <c r="F222" s="962"/>
      <c r="G222" s="52">
        <f t="shared" si="40"/>
        <v>1</v>
      </c>
      <c r="H222" s="962"/>
      <c r="I222" s="52">
        <f t="shared" si="41"/>
        <v>1</v>
      </c>
      <c r="J222" s="962"/>
      <c r="K222" s="52">
        <f t="shared" si="42"/>
        <v>1</v>
      </c>
      <c r="L222" s="962"/>
      <c r="M222" s="52">
        <f t="shared" si="43"/>
        <v>1</v>
      </c>
      <c r="N222" s="962"/>
      <c r="O222" s="52">
        <f t="shared" si="44"/>
        <v>1</v>
      </c>
      <c r="P222" s="962"/>
      <c r="Q222" s="52">
        <f t="shared" si="45"/>
        <v>1</v>
      </c>
      <c r="R222" s="492">
        <f t="shared" si="46"/>
        <v>0</v>
      </c>
      <c r="S222" s="800">
        <f t="shared" si="37"/>
        <v>0</v>
      </c>
    </row>
    <row r="223" spans="1:19">
      <c r="A223" s="964"/>
      <c r="B223" s="136"/>
      <c r="C223" s="52">
        <f t="shared" si="38"/>
        <v>1</v>
      </c>
      <c r="D223" s="962"/>
      <c r="E223" s="52">
        <f t="shared" si="39"/>
        <v>1</v>
      </c>
      <c r="F223" s="962"/>
      <c r="G223" s="52">
        <f t="shared" si="40"/>
        <v>1</v>
      </c>
      <c r="H223" s="962"/>
      <c r="I223" s="52">
        <f t="shared" si="41"/>
        <v>1</v>
      </c>
      <c r="J223" s="962"/>
      <c r="K223" s="52">
        <f t="shared" si="42"/>
        <v>1</v>
      </c>
      <c r="L223" s="962"/>
      <c r="M223" s="52">
        <f t="shared" si="43"/>
        <v>1</v>
      </c>
      <c r="N223" s="962"/>
      <c r="O223" s="52">
        <f t="shared" si="44"/>
        <v>1</v>
      </c>
      <c r="P223" s="962"/>
      <c r="Q223" s="52">
        <f t="shared" si="45"/>
        <v>1</v>
      </c>
      <c r="R223" s="492">
        <f t="shared" si="46"/>
        <v>0</v>
      </c>
      <c r="S223" s="800">
        <f t="shared" ref="S223:S286" si="47">ROUND(R223*B223/10000,0)</f>
        <v>0</v>
      </c>
    </row>
    <row r="224" spans="1:19">
      <c r="A224" s="964"/>
      <c r="B224" s="136"/>
      <c r="C224" s="52">
        <f t="shared" si="38"/>
        <v>1</v>
      </c>
      <c r="D224" s="962"/>
      <c r="E224" s="52">
        <f t="shared" si="39"/>
        <v>1</v>
      </c>
      <c r="F224" s="962"/>
      <c r="G224" s="52">
        <f t="shared" si="40"/>
        <v>1</v>
      </c>
      <c r="H224" s="962"/>
      <c r="I224" s="52">
        <f t="shared" si="41"/>
        <v>1</v>
      </c>
      <c r="J224" s="962"/>
      <c r="K224" s="52">
        <f t="shared" si="42"/>
        <v>1</v>
      </c>
      <c r="L224" s="962"/>
      <c r="M224" s="52">
        <f t="shared" si="43"/>
        <v>1</v>
      </c>
      <c r="N224" s="962"/>
      <c r="O224" s="52">
        <f t="shared" si="44"/>
        <v>1</v>
      </c>
      <c r="P224" s="962"/>
      <c r="Q224" s="52">
        <f t="shared" si="45"/>
        <v>1</v>
      </c>
      <c r="R224" s="492">
        <f t="shared" si="46"/>
        <v>0</v>
      </c>
      <c r="S224" s="800">
        <f t="shared" si="47"/>
        <v>0</v>
      </c>
    </row>
    <row r="225" spans="1:19">
      <c r="A225" s="964"/>
      <c r="B225" s="136"/>
      <c r="C225" s="52">
        <f t="shared" si="38"/>
        <v>1</v>
      </c>
      <c r="D225" s="962"/>
      <c r="E225" s="52">
        <f t="shared" si="39"/>
        <v>1</v>
      </c>
      <c r="F225" s="962"/>
      <c r="G225" s="52">
        <f t="shared" si="40"/>
        <v>1</v>
      </c>
      <c r="H225" s="962"/>
      <c r="I225" s="52">
        <f t="shared" si="41"/>
        <v>1</v>
      </c>
      <c r="J225" s="962"/>
      <c r="K225" s="52">
        <f t="shared" si="42"/>
        <v>1</v>
      </c>
      <c r="L225" s="962"/>
      <c r="M225" s="52">
        <f t="shared" si="43"/>
        <v>1</v>
      </c>
      <c r="N225" s="962"/>
      <c r="O225" s="52">
        <f t="shared" si="44"/>
        <v>1</v>
      </c>
      <c r="P225" s="962"/>
      <c r="Q225" s="52">
        <f t="shared" si="45"/>
        <v>1</v>
      </c>
      <c r="R225" s="492">
        <f t="shared" si="46"/>
        <v>0</v>
      </c>
      <c r="S225" s="800">
        <f t="shared" si="47"/>
        <v>0</v>
      </c>
    </row>
    <row r="226" spans="1:19">
      <c r="A226" s="964"/>
      <c r="B226" s="136"/>
      <c r="C226" s="52">
        <f t="shared" si="38"/>
        <v>1</v>
      </c>
      <c r="D226" s="962"/>
      <c r="E226" s="52">
        <f t="shared" si="39"/>
        <v>1</v>
      </c>
      <c r="F226" s="962"/>
      <c r="G226" s="52">
        <f t="shared" si="40"/>
        <v>1</v>
      </c>
      <c r="H226" s="962"/>
      <c r="I226" s="52">
        <f t="shared" si="41"/>
        <v>1</v>
      </c>
      <c r="J226" s="962"/>
      <c r="K226" s="52">
        <f t="shared" si="42"/>
        <v>1</v>
      </c>
      <c r="L226" s="962"/>
      <c r="M226" s="52">
        <f t="shared" si="43"/>
        <v>1</v>
      </c>
      <c r="N226" s="962"/>
      <c r="O226" s="52">
        <f t="shared" si="44"/>
        <v>1</v>
      </c>
      <c r="P226" s="962"/>
      <c r="Q226" s="52">
        <f t="shared" si="45"/>
        <v>1</v>
      </c>
      <c r="R226" s="492">
        <f t="shared" si="46"/>
        <v>0</v>
      </c>
      <c r="S226" s="800">
        <f t="shared" si="47"/>
        <v>0</v>
      </c>
    </row>
    <row r="227" spans="1:19">
      <c r="A227" s="964"/>
      <c r="B227" s="136"/>
      <c r="C227" s="52">
        <f t="shared" si="38"/>
        <v>1</v>
      </c>
      <c r="D227" s="962"/>
      <c r="E227" s="52">
        <f t="shared" si="39"/>
        <v>1</v>
      </c>
      <c r="F227" s="962"/>
      <c r="G227" s="52">
        <f t="shared" si="40"/>
        <v>1</v>
      </c>
      <c r="H227" s="962"/>
      <c r="I227" s="52">
        <f t="shared" si="41"/>
        <v>1</v>
      </c>
      <c r="J227" s="962"/>
      <c r="K227" s="52">
        <f t="shared" si="42"/>
        <v>1</v>
      </c>
      <c r="L227" s="962"/>
      <c r="M227" s="52">
        <f t="shared" si="43"/>
        <v>1</v>
      </c>
      <c r="N227" s="962"/>
      <c r="O227" s="52">
        <f t="shared" si="44"/>
        <v>1</v>
      </c>
      <c r="P227" s="962"/>
      <c r="Q227" s="52">
        <f t="shared" si="45"/>
        <v>1</v>
      </c>
      <c r="R227" s="492">
        <f t="shared" si="46"/>
        <v>0</v>
      </c>
      <c r="S227" s="800">
        <f t="shared" si="47"/>
        <v>0</v>
      </c>
    </row>
    <row r="228" spans="1:19">
      <c r="A228" s="964"/>
      <c r="B228" s="136"/>
      <c r="C228" s="52">
        <f t="shared" si="38"/>
        <v>1</v>
      </c>
      <c r="D228" s="962"/>
      <c r="E228" s="52">
        <f t="shared" si="39"/>
        <v>1</v>
      </c>
      <c r="F228" s="962"/>
      <c r="G228" s="52">
        <f t="shared" si="40"/>
        <v>1</v>
      </c>
      <c r="H228" s="962"/>
      <c r="I228" s="52">
        <f t="shared" si="41"/>
        <v>1</v>
      </c>
      <c r="J228" s="962"/>
      <c r="K228" s="52">
        <f t="shared" si="42"/>
        <v>1</v>
      </c>
      <c r="L228" s="962"/>
      <c r="M228" s="52">
        <f t="shared" si="43"/>
        <v>1</v>
      </c>
      <c r="N228" s="962"/>
      <c r="O228" s="52">
        <f t="shared" si="44"/>
        <v>1</v>
      </c>
      <c r="P228" s="962"/>
      <c r="Q228" s="52">
        <f t="shared" si="45"/>
        <v>1</v>
      </c>
      <c r="R228" s="492">
        <f t="shared" si="46"/>
        <v>0</v>
      </c>
      <c r="S228" s="800">
        <f t="shared" si="47"/>
        <v>0</v>
      </c>
    </row>
    <row r="229" spans="1:19">
      <c r="A229" s="964"/>
      <c r="B229" s="136"/>
      <c r="C229" s="52">
        <f t="shared" si="38"/>
        <v>1</v>
      </c>
      <c r="D229" s="962"/>
      <c r="E229" s="52">
        <f t="shared" si="39"/>
        <v>1</v>
      </c>
      <c r="F229" s="962"/>
      <c r="G229" s="52">
        <f t="shared" si="40"/>
        <v>1</v>
      </c>
      <c r="H229" s="962"/>
      <c r="I229" s="52">
        <f t="shared" si="41"/>
        <v>1</v>
      </c>
      <c r="J229" s="962"/>
      <c r="K229" s="52">
        <f t="shared" si="42"/>
        <v>1</v>
      </c>
      <c r="L229" s="962"/>
      <c r="M229" s="52">
        <f t="shared" si="43"/>
        <v>1</v>
      </c>
      <c r="N229" s="962"/>
      <c r="O229" s="52">
        <f t="shared" si="44"/>
        <v>1</v>
      </c>
      <c r="P229" s="962"/>
      <c r="Q229" s="52">
        <f t="shared" si="45"/>
        <v>1</v>
      </c>
      <c r="R229" s="492">
        <f t="shared" si="46"/>
        <v>0</v>
      </c>
      <c r="S229" s="800">
        <f t="shared" si="47"/>
        <v>0</v>
      </c>
    </row>
    <row r="230" spans="1:19">
      <c r="A230" s="964"/>
      <c r="B230" s="136"/>
      <c r="C230" s="52">
        <f t="shared" si="38"/>
        <v>1</v>
      </c>
      <c r="D230" s="962"/>
      <c r="E230" s="52">
        <f t="shared" si="39"/>
        <v>1</v>
      </c>
      <c r="F230" s="962"/>
      <c r="G230" s="52">
        <f t="shared" si="40"/>
        <v>1</v>
      </c>
      <c r="H230" s="962"/>
      <c r="I230" s="52">
        <f t="shared" si="41"/>
        <v>1</v>
      </c>
      <c r="J230" s="962"/>
      <c r="K230" s="52">
        <f t="shared" si="42"/>
        <v>1</v>
      </c>
      <c r="L230" s="962"/>
      <c r="M230" s="52">
        <f t="shared" si="43"/>
        <v>1</v>
      </c>
      <c r="N230" s="962"/>
      <c r="O230" s="52">
        <f t="shared" si="44"/>
        <v>1</v>
      </c>
      <c r="P230" s="962"/>
      <c r="Q230" s="52">
        <f t="shared" si="45"/>
        <v>1</v>
      </c>
      <c r="R230" s="492">
        <f t="shared" si="46"/>
        <v>0</v>
      </c>
      <c r="S230" s="800">
        <f t="shared" si="47"/>
        <v>0</v>
      </c>
    </row>
    <row r="231" spans="1:19">
      <c r="A231" s="964"/>
      <c r="B231" s="136"/>
      <c r="C231" s="52">
        <f t="shared" si="38"/>
        <v>1</v>
      </c>
      <c r="D231" s="962"/>
      <c r="E231" s="52">
        <f t="shared" si="39"/>
        <v>1</v>
      </c>
      <c r="F231" s="962"/>
      <c r="G231" s="52">
        <f t="shared" si="40"/>
        <v>1</v>
      </c>
      <c r="H231" s="962"/>
      <c r="I231" s="52">
        <f t="shared" si="41"/>
        <v>1</v>
      </c>
      <c r="J231" s="962"/>
      <c r="K231" s="52">
        <f t="shared" si="42"/>
        <v>1</v>
      </c>
      <c r="L231" s="962"/>
      <c r="M231" s="52">
        <f t="shared" si="43"/>
        <v>1</v>
      </c>
      <c r="N231" s="962"/>
      <c r="O231" s="52">
        <f t="shared" si="44"/>
        <v>1</v>
      </c>
      <c r="P231" s="962"/>
      <c r="Q231" s="52">
        <f t="shared" si="45"/>
        <v>1</v>
      </c>
      <c r="R231" s="492">
        <f t="shared" si="46"/>
        <v>0</v>
      </c>
      <c r="S231" s="800">
        <f t="shared" si="47"/>
        <v>0</v>
      </c>
    </row>
    <row r="232" spans="1:19">
      <c r="A232" s="964"/>
      <c r="B232" s="136"/>
      <c r="C232" s="52">
        <f t="shared" si="38"/>
        <v>1</v>
      </c>
      <c r="D232" s="962"/>
      <c r="E232" s="52">
        <f t="shared" si="39"/>
        <v>1</v>
      </c>
      <c r="F232" s="962"/>
      <c r="G232" s="52">
        <f t="shared" si="40"/>
        <v>1</v>
      </c>
      <c r="H232" s="962"/>
      <c r="I232" s="52">
        <f t="shared" si="41"/>
        <v>1</v>
      </c>
      <c r="J232" s="962"/>
      <c r="K232" s="52">
        <f t="shared" si="42"/>
        <v>1</v>
      </c>
      <c r="L232" s="962"/>
      <c r="M232" s="52">
        <f t="shared" si="43"/>
        <v>1</v>
      </c>
      <c r="N232" s="962"/>
      <c r="O232" s="52">
        <f t="shared" si="44"/>
        <v>1</v>
      </c>
      <c r="P232" s="962"/>
      <c r="Q232" s="52">
        <f t="shared" si="45"/>
        <v>1</v>
      </c>
      <c r="R232" s="492">
        <f t="shared" si="46"/>
        <v>0</v>
      </c>
      <c r="S232" s="800">
        <f t="shared" si="47"/>
        <v>0</v>
      </c>
    </row>
    <row r="233" spans="1:19">
      <c r="A233" s="964"/>
      <c r="B233" s="136"/>
      <c r="C233" s="52">
        <f t="shared" si="38"/>
        <v>1</v>
      </c>
      <c r="D233" s="962"/>
      <c r="E233" s="52">
        <f t="shared" si="39"/>
        <v>1</v>
      </c>
      <c r="F233" s="962"/>
      <c r="G233" s="52">
        <f t="shared" si="40"/>
        <v>1</v>
      </c>
      <c r="H233" s="962"/>
      <c r="I233" s="52">
        <f t="shared" si="41"/>
        <v>1</v>
      </c>
      <c r="J233" s="962"/>
      <c r="K233" s="52">
        <f t="shared" si="42"/>
        <v>1</v>
      </c>
      <c r="L233" s="962"/>
      <c r="M233" s="52">
        <f t="shared" si="43"/>
        <v>1</v>
      </c>
      <c r="N233" s="962"/>
      <c r="O233" s="52">
        <f t="shared" si="44"/>
        <v>1</v>
      </c>
      <c r="P233" s="962"/>
      <c r="Q233" s="52">
        <f t="shared" si="45"/>
        <v>1</v>
      </c>
      <c r="R233" s="492">
        <f t="shared" si="46"/>
        <v>0</v>
      </c>
      <c r="S233" s="800">
        <f t="shared" si="47"/>
        <v>0</v>
      </c>
    </row>
    <row r="234" spans="1:19">
      <c r="A234" s="964"/>
      <c r="B234" s="136"/>
      <c r="C234" s="52">
        <f t="shared" si="38"/>
        <v>1</v>
      </c>
      <c r="D234" s="962"/>
      <c r="E234" s="52">
        <f t="shared" si="39"/>
        <v>1</v>
      </c>
      <c r="F234" s="962"/>
      <c r="G234" s="52">
        <f t="shared" si="40"/>
        <v>1</v>
      </c>
      <c r="H234" s="962"/>
      <c r="I234" s="52">
        <f t="shared" si="41"/>
        <v>1</v>
      </c>
      <c r="J234" s="962"/>
      <c r="K234" s="52">
        <f t="shared" si="42"/>
        <v>1</v>
      </c>
      <c r="L234" s="962"/>
      <c r="M234" s="52">
        <f t="shared" si="43"/>
        <v>1</v>
      </c>
      <c r="N234" s="962"/>
      <c r="O234" s="52">
        <f t="shared" si="44"/>
        <v>1</v>
      </c>
      <c r="P234" s="962"/>
      <c r="Q234" s="52">
        <f t="shared" si="45"/>
        <v>1</v>
      </c>
      <c r="R234" s="492">
        <f t="shared" si="46"/>
        <v>0</v>
      </c>
      <c r="S234" s="800">
        <f t="shared" si="47"/>
        <v>0</v>
      </c>
    </row>
    <row r="235" spans="1:19">
      <c r="A235" s="964"/>
      <c r="B235" s="136"/>
      <c r="C235" s="52">
        <f t="shared" si="38"/>
        <v>1</v>
      </c>
      <c r="D235" s="962"/>
      <c r="E235" s="52">
        <f t="shared" si="39"/>
        <v>1</v>
      </c>
      <c r="F235" s="962"/>
      <c r="G235" s="52">
        <f t="shared" si="40"/>
        <v>1</v>
      </c>
      <c r="H235" s="962"/>
      <c r="I235" s="52">
        <f t="shared" si="41"/>
        <v>1</v>
      </c>
      <c r="J235" s="962"/>
      <c r="K235" s="52">
        <f t="shared" si="42"/>
        <v>1</v>
      </c>
      <c r="L235" s="962"/>
      <c r="M235" s="52">
        <f t="shared" si="43"/>
        <v>1</v>
      </c>
      <c r="N235" s="962"/>
      <c r="O235" s="52">
        <f t="shared" si="44"/>
        <v>1</v>
      </c>
      <c r="P235" s="962"/>
      <c r="Q235" s="52">
        <f t="shared" si="45"/>
        <v>1</v>
      </c>
      <c r="R235" s="492">
        <f t="shared" si="46"/>
        <v>0</v>
      </c>
      <c r="S235" s="800">
        <f t="shared" si="47"/>
        <v>0</v>
      </c>
    </row>
    <row r="236" spans="1:19">
      <c r="A236" s="964"/>
      <c r="B236" s="136"/>
      <c r="C236" s="52">
        <f t="shared" si="38"/>
        <v>1</v>
      </c>
      <c r="D236" s="962"/>
      <c r="E236" s="52">
        <f t="shared" si="39"/>
        <v>1</v>
      </c>
      <c r="F236" s="962"/>
      <c r="G236" s="52">
        <f t="shared" si="40"/>
        <v>1</v>
      </c>
      <c r="H236" s="962"/>
      <c r="I236" s="52">
        <f t="shared" si="41"/>
        <v>1</v>
      </c>
      <c r="J236" s="962"/>
      <c r="K236" s="52">
        <f t="shared" si="42"/>
        <v>1</v>
      </c>
      <c r="L236" s="962"/>
      <c r="M236" s="52">
        <f t="shared" si="43"/>
        <v>1</v>
      </c>
      <c r="N236" s="962"/>
      <c r="O236" s="52">
        <f t="shared" si="44"/>
        <v>1</v>
      </c>
      <c r="P236" s="962"/>
      <c r="Q236" s="52">
        <f t="shared" si="45"/>
        <v>1</v>
      </c>
      <c r="R236" s="492">
        <f t="shared" si="46"/>
        <v>0</v>
      </c>
      <c r="S236" s="800">
        <f t="shared" si="47"/>
        <v>0</v>
      </c>
    </row>
    <row r="237" spans="1:19">
      <c r="A237" s="964"/>
      <c r="B237" s="136"/>
      <c r="C237" s="52">
        <f t="shared" si="38"/>
        <v>1</v>
      </c>
      <c r="D237" s="962"/>
      <c r="E237" s="52">
        <f t="shared" si="39"/>
        <v>1</v>
      </c>
      <c r="F237" s="962"/>
      <c r="G237" s="52">
        <f t="shared" si="40"/>
        <v>1</v>
      </c>
      <c r="H237" s="962"/>
      <c r="I237" s="52">
        <f t="shared" si="41"/>
        <v>1</v>
      </c>
      <c r="J237" s="962"/>
      <c r="K237" s="52">
        <f t="shared" si="42"/>
        <v>1</v>
      </c>
      <c r="L237" s="962"/>
      <c r="M237" s="52">
        <f t="shared" si="43"/>
        <v>1</v>
      </c>
      <c r="N237" s="962"/>
      <c r="O237" s="52">
        <f t="shared" si="44"/>
        <v>1</v>
      </c>
      <c r="P237" s="962"/>
      <c r="Q237" s="52">
        <f t="shared" si="45"/>
        <v>1</v>
      </c>
      <c r="R237" s="492">
        <f t="shared" si="46"/>
        <v>0</v>
      </c>
      <c r="S237" s="800">
        <f t="shared" si="47"/>
        <v>0</v>
      </c>
    </row>
    <row r="238" spans="1:19">
      <c r="A238" s="964"/>
      <c r="B238" s="136"/>
      <c r="C238" s="52">
        <f t="shared" si="38"/>
        <v>1</v>
      </c>
      <c r="D238" s="962"/>
      <c r="E238" s="52">
        <f t="shared" si="39"/>
        <v>1</v>
      </c>
      <c r="F238" s="962"/>
      <c r="G238" s="52">
        <f t="shared" si="40"/>
        <v>1</v>
      </c>
      <c r="H238" s="962"/>
      <c r="I238" s="52">
        <f t="shared" si="41"/>
        <v>1</v>
      </c>
      <c r="J238" s="962"/>
      <c r="K238" s="52">
        <f t="shared" si="42"/>
        <v>1</v>
      </c>
      <c r="L238" s="962"/>
      <c r="M238" s="52">
        <f t="shared" si="43"/>
        <v>1</v>
      </c>
      <c r="N238" s="962"/>
      <c r="O238" s="52">
        <f t="shared" si="44"/>
        <v>1</v>
      </c>
      <c r="P238" s="962"/>
      <c r="Q238" s="52">
        <f t="shared" si="45"/>
        <v>1</v>
      </c>
      <c r="R238" s="492">
        <f t="shared" si="46"/>
        <v>0</v>
      </c>
      <c r="S238" s="800">
        <f t="shared" si="47"/>
        <v>0</v>
      </c>
    </row>
    <row r="239" spans="1:19">
      <c r="A239" s="964"/>
      <c r="B239" s="136"/>
      <c r="C239" s="52">
        <f t="shared" si="38"/>
        <v>1</v>
      </c>
      <c r="D239" s="962"/>
      <c r="E239" s="52">
        <f t="shared" si="39"/>
        <v>1</v>
      </c>
      <c r="F239" s="962"/>
      <c r="G239" s="52">
        <f t="shared" si="40"/>
        <v>1</v>
      </c>
      <c r="H239" s="962"/>
      <c r="I239" s="52">
        <f t="shared" si="41"/>
        <v>1</v>
      </c>
      <c r="J239" s="962"/>
      <c r="K239" s="52">
        <f t="shared" si="42"/>
        <v>1</v>
      </c>
      <c r="L239" s="962"/>
      <c r="M239" s="52">
        <f t="shared" si="43"/>
        <v>1</v>
      </c>
      <c r="N239" s="962"/>
      <c r="O239" s="52">
        <f t="shared" si="44"/>
        <v>1</v>
      </c>
      <c r="P239" s="962"/>
      <c r="Q239" s="52">
        <f t="shared" si="45"/>
        <v>1</v>
      </c>
      <c r="R239" s="492">
        <f t="shared" si="46"/>
        <v>0</v>
      </c>
      <c r="S239" s="800">
        <f t="shared" si="47"/>
        <v>0</v>
      </c>
    </row>
    <row r="240" spans="1:19">
      <c r="A240" s="964"/>
      <c r="B240" s="136"/>
      <c r="C240" s="52">
        <f t="shared" si="38"/>
        <v>1</v>
      </c>
      <c r="D240" s="962"/>
      <c r="E240" s="52">
        <f t="shared" si="39"/>
        <v>1</v>
      </c>
      <c r="F240" s="962"/>
      <c r="G240" s="52">
        <f t="shared" si="40"/>
        <v>1</v>
      </c>
      <c r="H240" s="962"/>
      <c r="I240" s="52">
        <f t="shared" si="41"/>
        <v>1</v>
      </c>
      <c r="J240" s="962"/>
      <c r="K240" s="52">
        <f t="shared" si="42"/>
        <v>1</v>
      </c>
      <c r="L240" s="962"/>
      <c r="M240" s="52">
        <f t="shared" si="43"/>
        <v>1</v>
      </c>
      <c r="N240" s="962"/>
      <c r="O240" s="52">
        <f t="shared" si="44"/>
        <v>1</v>
      </c>
      <c r="P240" s="962"/>
      <c r="Q240" s="52">
        <f t="shared" si="45"/>
        <v>1</v>
      </c>
      <c r="R240" s="492">
        <f t="shared" si="46"/>
        <v>0</v>
      </c>
      <c r="S240" s="800">
        <f t="shared" si="47"/>
        <v>0</v>
      </c>
    </row>
    <row r="241" spans="1:19">
      <c r="A241" s="964"/>
      <c r="B241" s="136"/>
      <c r="C241" s="52">
        <f t="shared" si="38"/>
        <v>1</v>
      </c>
      <c r="D241" s="962"/>
      <c r="E241" s="52">
        <f t="shared" si="39"/>
        <v>1</v>
      </c>
      <c r="F241" s="962"/>
      <c r="G241" s="52">
        <f t="shared" si="40"/>
        <v>1</v>
      </c>
      <c r="H241" s="962"/>
      <c r="I241" s="52">
        <f t="shared" si="41"/>
        <v>1</v>
      </c>
      <c r="J241" s="962"/>
      <c r="K241" s="52">
        <f t="shared" si="42"/>
        <v>1</v>
      </c>
      <c r="L241" s="962"/>
      <c r="M241" s="52">
        <f t="shared" si="43"/>
        <v>1</v>
      </c>
      <c r="N241" s="962"/>
      <c r="O241" s="52">
        <f t="shared" si="44"/>
        <v>1</v>
      </c>
      <c r="P241" s="962"/>
      <c r="Q241" s="52">
        <f t="shared" si="45"/>
        <v>1</v>
      </c>
      <c r="R241" s="492">
        <f t="shared" si="46"/>
        <v>0</v>
      </c>
      <c r="S241" s="800">
        <f t="shared" si="47"/>
        <v>0</v>
      </c>
    </row>
    <row r="242" spans="1:19">
      <c r="A242" s="964"/>
      <c r="B242" s="136"/>
      <c r="C242" s="52">
        <f t="shared" si="38"/>
        <v>1</v>
      </c>
      <c r="D242" s="962"/>
      <c r="E242" s="52">
        <f t="shared" si="39"/>
        <v>1</v>
      </c>
      <c r="F242" s="962"/>
      <c r="G242" s="52">
        <f t="shared" si="40"/>
        <v>1</v>
      </c>
      <c r="H242" s="962"/>
      <c r="I242" s="52">
        <f t="shared" si="41"/>
        <v>1</v>
      </c>
      <c r="J242" s="962"/>
      <c r="K242" s="52">
        <f t="shared" si="42"/>
        <v>1</v>
      </c>
      <c r="L242" s="962"/>
      <c r="M242" s="52">
        <f t="shared" si="43"/>
        <v>1</v>
      </c>
      <c r="N242" s="962"/>
      <c r="O242" s="52">
        <f t="shared" si="44"/>
        <v>1</v>
      </c>
      <c r="P242" s="962"/>
      <c r="Q242" s="52">
        <f t="shared" si="45"/>
        <v>1</v>
      </c>
      <c r="R242" s="492">
        <f t="shared" si="46"/>
        <v>0</v>
      </c>
      <c r="S242" s="800">
        <f t="shared" si="47"/>
        <v>0</v>
      </c>
    </row>
    <row r="243" spans="1:19">
      <c r="A243" s="964"/>
      <c r="B243" s="136"/>
      <c r="C243" s="52">
        <f t="shared" si="38"/>
        <v>1</v>
      </c>
      <c r="D243" s="962"/>
      <c r="E243" s="52">
        <f t="shared" si="39"/>
        <v>1</v>
      </c>
      <c r="F243" s="962"/>
      <c r="G243" s="52">
        <f t="shared" si="40"/>
        <v>1</v>
      </c>
      <c r="H243" s="962"/>
      <c r="I243" s="52">
        <f t="shared" si="41"/>
        <v>1</v>
      </c>
      <c r="J243" s="962"/>
      <c r="K243" s="52">
        <f t="shared" si="42"/>
        <v>1</v>
      </c>
      <c r="L243" s="962"/>
      <c r="M243" s="52">
        <f t="shared" si="43"/>
        <v>1</v>
      </c>
      <c r="N243" s="962"/>
      <c r="O243" s="52">
        <f t="shared" si="44"/>
        <v>1</v>
      </c>
      <c r="P243" s="962"/>
      <c r="Q243" s="52">
        <f t="shared" si="45"/>
        <v>1</v>
      </c>
      <c r="R243" s="492">
        <f t="shared" si="46"/>
        <v>0</v>
      </c>
      <c r="S243" s="800">
        <f t="shared" si="47"/>
        <v>0</v>
      </c>
    </row>
    <row r="244" spans="1:19">
      <c r="A244" s="964"/>
      <c r="B244" s="136"/>
      <c r="C244" s="52">
        <f t="shared" si="38"/>
        <v>1</v>
      </c>
      <c r="D244" s="962"/>
      <c r="E244" s="52">
        <f t="shared" si="39"/>
        <v>1</v>
      </c>
      <c r="F244" s="962"/>
      <c r="G244" s="52">
        <f t="shared" si="40"/>
        <v>1</v>
      </c>
      <c r="H244" s="962"/>
      <c r="I244" s="52">
        <f t="shared" si="41"/>
        <v>1</v>
      </c>
      <c r="J244" s="962"/>
      <c r="K244" s="52">
        <f t="shared" si="42"/>
        <v>1</v>
      </c>
      <c r="L244" s="962"/>
      <c r="M244" s="52">
        <f t="shared" si="43"/>
        <v>1</v>
      </c>
      <c r="N244" s="962"/>
      <c r="O244" s="52">
        <f t="shared" si="44"/>
        <v>1</v>
      </c>
      <c r="P244" s="962"/>
      <c r="Q244" s="52">
        <f t="shared" si="45"/>
        <v>1</v>
      </c>
      <c r="R244" s="492">
        <f t="shared" si="46"/>
        <v>0</v>
      </c>
      <c r="S244" s="800">
        <f t="shared" si="47"/>
        <v>0</v>
      </c>
    </row>
    <row r="245" spans="1:19">
      <c r="A245" s="964"/>
      <c r="B245" s="136"/>
      <c r="C245" s="52">
        <f t="shared" si="38"/>
        <v>1</v>
      </c>
      <c r="D245" s="962"/>
      <c r="E245" s="52">
        <f t="shared" si="39"/>
        <v>1</v>
      </c>
      <c r="F245" s="962"/>
      <c r="G245" s="52">
        <f t="shared" si="40"/>
        <v>1</v>
      </c>
      <c r="H245" s="962"/>
      <c r="I245" s="52">
        <f t="shared" si="41"/>
        <v>1</v>
      </c>
      <c r="J245" s="962"/>
      <c r="K245" s="52">
        <f t="shared" si="42"/>
        <v>1</v>
      </c>
      <c r="L245" s="962"/>
      <c r="M245" s="52">
        <f t="shared" si="43"/>
        <v>1</v>
      </c>
      <c r="N245" s="962"/>
      <c r="O245" s="52">
        <f t="shared" si="44"/>
        <v>1</v>
      </c>
      <c r="P245" s="962"/>
      <c r="Q245" s="52">
        <f t="shared" si="45"/>
        <v>1</v>
      </c>
      <c r="R245" s="492">
        <f t="shared" si="46"/>
        <v>0</v>
      </c>
      <c r="S245" s="800">
        <f t="shared" si="47"/>
        <v>0</v>
      </c>
    </row>
    <row r="246" spans="1:19">
      <c r="A246" s="964"/>
      <c r="B246" s="136"/>
      <c r="C246" s="52">
        <f t="shared" si="38"/>
        <v>1</v>
      </c>
      <c r="D246" s="962"/>
      <c r="E246" s="52">
        <f t="shared" si="39"/>
        <v>1</v>
      </c>
      <c r="F246" s="962"/>
      <c r="G246" s="52">
        <f t="shared" si="40"/>
        <v>1</v>
      </c>
      <c r="H246" s="962"/>
      <c r="I246" s="52">
        <f t="shared" si="41"/>
        <v>1</v>
      </c>
      <c r="J246" s="962"/>
      <c r="K246" s="52">
        <f t="shared" si="42"/>
        <v>1</v>
      </c>
      <c r="L246" s="962"/>
      <c r="M246" s="52">
        <f t="shared" si="43"/>
        <v>1</v>
      </c>
      <c r="N246" s="962"/>
      <c r="O246" s="52">
        <f t="shared" si="44"/>
        <v>1</v>
      </c>
      <c r="P246" s="962"/>
      <c r="Q246" s="52">
        <f t="shared" si="45"/>
        <v>1</v>
      </c>
      <c r="R246" s="492">
        <f t="shared" si="46"/>
        <v>0</v>
      </c>
      <c r="S246" s="800">
        <f t="shared" si="47"/>
        <v>0</v>
      </c>
    </row>
    <row r="247" spans="1:19">
      <c r="A247" s="964"/>
      <c r="B247" s="136"/>
      <c r="C247" s="52">
        <f t="shared" si="38"/>
        <v>1</v>
      </c>
      <c r="D247" s="962"/>
      <c r="E247" s="52">
        <f t="shared" si="39"/>
        <v>1</v>
      </c>
      <c r="F247" s="962"/>
      <c r="G247" s="52">
        <f t="shared" si="40"/>
        <v>1</v>
      </c>
      <c r="H247" s="962"/>
      <c r="I247" s="52">
        <f t="shared" si="41"/>
        <v>1</v>
      </c>
      <c r="J247" s="962"/>
      <c r="K247" s="52">
        <f t="shared" si="42"/>
        <v>1</v>
      </c>
      <c r="L247" s="962"/>
      <c r="M247" s="52">
        <f t="shared" si="43"/>
        <v>1</v>
      </c>
      <c r="N247" s="962"/>
      <c r="O247" s="52">
        <f t="shared" si="44"/>
        <v>1</v>
      </c>
      <c r="P247" s="962"/>
      <c r="Q247" s="52">
        <f t="shared" si="45"/>
        <v>1</v>
      </c>
      <c r="R247" s="492">
        <f t="shared" si="46"/>
        <v>0</v>
      </c>
      <c r="S247" s="800">
        <f t="shared" si="47"/>
        <v>0</v>
      </c>
    </row>
    <row r="248" spans="1:19">
      <c r="A248" s="964"/>
      <c r="B248" s="136"/>
      <c r="C248" s="52">
        <f t="shared" si="38"/>
        <v>1</v>
      </c>
      <c r="D248" s="962"/>
      <c r="E248" s="52">
        <f t="shared" si="39"/>
        <v>1</v>
      </c>
      <c r="F248" s="962"/>
      <c r="G248" s="52">
        <f t="shared" si="40"/>
        <v>1</v>
      </c>
      <c r="H248" s="962"/>
      <c r="I248" s="52">
        <f t="shared" si="41"/>
        <v>1</v>
      </c>
      <c r="J248" s="962"/>
      <c r="K248" s="52">
        <f t="shared" si="42"/>
        <v>1</v>
      </c>
      <c r="L248" s="962"/>
      <c r="M248" s="52">
        <f t="shared" si="43"/>
        <v>1</v>
      </c>
      <c r="N248" s="962"/>
      <c r="O248" s="52">
        <f t="shared" si="44"/>
        <v>1</v>
      </c>
      <c r="P248" s="962"/>
      <c r="Q248" s="52">
        <f t="shared" si="45"/>
        <v>1</v>
      </c>
      <c r="R248" s="492">
        <f t="shared" si="46"/>
        <v>0</v>
      </c>
      <c r="S248" s="800">
        <f t="shared" si="47"/>
        <v>0</v>
      </c>
    </row>
    <row r="249" spans="1:19">
      <c r="A249" s="964"/>
      <c r="B249" s="136"/>
      <c r="C249" s="52">
        <f t="shared" si="38"/>
        <v>1</v>
      </c>
      <c r="D249" s="962"/>
      <c r="E249" s="52">
        <f t="shared" si="39"/>
        <v>1</v>
      </c>
      <c r="F249" s="962"/>
      <c r="G249" s="52">
        <f t="shared" si="40"/>
        <v>1</v>
      </c>
      <c r="H249" s="962"/>
      <c r="I249" s="52">
        <f t="shared" si="41"/>
        <v>1</v>
      </c>
      <c r="J249" s="962"/>
      <c r="K249" s="52">
        <f t="shared" si="42"/>
        <v>1</v>
      </c>
      <c r="L249" s="962"/>
      <c r="M249" s="52">
        <f t="shared" si="43"/>
        <v>1</v>
      </c>
      <c r="N249" s="962"/>
      <c r="O249" s="52">
        <f t="shared" si="44"/>
        <v>1</v>
      </c>
      <c r="P249" s="962"/>
      <c r="Q249" s="52">
        <f t="shared" si="45"/>
        <v>1</v>
      </c>
      <c r="R249" s="492">
        <f t="shared" si="46"/>
        <v>0</v>
      </c>
      <c r="S249" s="800">
        <f t="shared" si="47"/>
        <v>0</v>
      </c>
    </row>
    <row r="250" spans="1:19">
      <c r="A250" s="964"/>
      <c r="B250" s="136"/>
      <c r="C250" s="52">
        <f t="shared" si="38"/>
        <v>1</v>
      </c>
      <c r="D250" s="962"/>
      <c r="E250" s="52">
        <f t="shared" si="39"/>
        <v>1</v>
      </c>
      <c r="F250" s="962"/>
      <c r="G250" s="52">
        <f t="shared" si="40"/>
        <v>1</v>
      </c>
      <c r="H250" s="962"/>
      <c r="I250" s="52">
        <f t="shared" si="41"/>
        <v>1</v>
      </c>
      <c r="J250" s="962"/>
      <c r="K250" s="52">
        <f t="shared" si="42"/>
        <v>1</v>
      </c>
      <c r="L250" s="962"/>
      <c r="M250" s="52">
        <f t="shared" si="43"/>
        <v>1</v>
      </c>
      <c r="N250" s="962"/>
      <c r="O250" s="52">
        <f t="shared" si="44"/>
        <v>1</v>
      </c>
      <c r="P250" s="962"/>
      <c r="Q250" s="52">
        <f t="shared" si="45"/>
        <v>1</v>
      </c>
      <c r="R250" s="492">
        <f t="shared" si="46"/>
        <v>0</v>
      </c>
      <c r="S250" s="800">
        <f t="shared" si="47"/>
        <v>0</v>
      </c>
    </row>
    <row r="251" spans="1:19">
      <c r="A251" s="964"/>
      <c r="B251" s="136"/>
      <c r="C251" s="52">
        <f t="shared" si="38"/>
        <v>1</v>
      </c>
      <c r="D251" s="962"/>
      <c r="E251" s="52">
        <f t="shared" si="39"/>
        <v>1</v>
      </c>
      <c r="F251" s="962"/>
      <c r="G251" s="52">
        <f t="shared" si="40"/>
        <v>1</v>
      </c>
      <c r="H251" s="962"/>
      <c r="I251" s="52">
        <f t="shared" si="41"/>
        <v>1</v>
      </c>
      <c r="J251" s="962"/>
      <c r="K251" s="52">
        <f t="shared" si="42"/>
        <v>1</v>
      </c>
      <c r="L251" s="962"/>
      <c r="M251" s="52">
        <f t="shared" si="43"/>
        <v>1</v>
      </c>
      <c r="N251" s="962"/>
      <c r="O251" s="52">
        <f t="shared" si="44"/>
        <v>1</v>
      </c>
      <c r="P251" s="962"/>
      <c r="Q251" s="52">
        <f t="shared" si="45"/>
        <v>1</v>
      </c>
      <c r="R251" s="492">
        <f t="shared" si="46"/>
        <v>0</v>
      </c>
      <c r="S251" s="800">
        <f t="shared" si="47"/>
        <v>0</v>
      </c>
    </row>
    <row r="252" spans="1:19">
      <c r="A252" s="964"/>
      <c r="B252" s="136"/>
      <c r="C252" s="52">
        <f t="shared" si="38"/>
        <v>1</v>
      </c>
      <c r="D252" s="962"/>
      <c r="E252" s="52">
        <f t="shared" si="39"/>
        <v>1</v>
      </c>
      <c r="F252" s="962"/>
      <c r="G252" s="52">
        <f t="shared" si="40"/>
        <v>1</v>
      </c>
      <c r="H252" s="962"/>
      <c r="I252" s="52">
        <f t="shared" si="41"/>
        <v>1</v>
      </c>
      <c r="J252" s="962"/>
      <c r="K252" s="52">
        <f t="shared" si="42"/>
        <v>1</v>
      </c>
      <c r="L252" s="962"/>
      <c r="M252" s="52">
        <f t="shared" si="43"/>
        <v>1</v>
      </c>
      <c r="N252" s="962"/>
      <c r="O252" s="52">
        <f t="shared" si="44"/>
        <v>1</v>
      </c>
      <c r="P252" s="962"/>
      <c r="Q252" s="52">
        <f t="shared" si="45"/>
        <v>1</v>
      </c>
      <c r="R252" s="492">
        <f t="shared" si="46"/>
        <v>0</v>
      </c>
      <c r="S252" s="800">
        <f t="shared" si="47"/>
        <v>0</v>
      </c>
    </row>
    <row r="253" spans="1:19">
      <c r="A253" s="964"/>
      <c r="B253" s="136"/>
      <c r="C253" s="52">
        <f t="shared" si="38"/>
        <v>1</v>
      </c>
      <c r="D253" s="962"/>
      <c r="E253" s="52">
        <f t="shared" si="39"/>
        <v>1</v>
      </c>
      <c r="F253" s="962"/>
      <c r="G253" s="52">
        <f t="shared" si="40"/>
        <v>1</v>
      </c>
      <c r="H253" s="962"/>
      <c r="I253" s="52">
        <f t="shared" si="41"/>
        <v>1</v>
      </c>
      <c r="J253" s="962"/>
      <c r="K253" s="52">
        <f t="shared" si="42"/>
        <v>1</v>
      </c>
      <c r="L253" s="962"/>
      <c r="M253" s="52">
        <f t="shared" si="43"/>
        <v>1</v>
      </c>
      <c r="N253" s="962"/>
      <c r="O253" s="52">
        <f t="shared" si="44"/>
        <v>1</v>
      </c>
      <c r="P253" s="962"/>
      <c r="Q253" s="52">
        <f t="shared" si="45"/>
        <v>1</v>
      </c>
      <c r="R253" s="492">
        <f t="shared" si="46"/>
        <v>0</v>
      </c>
      <c r="S253" s="800">
        <f t="shared" si="47"/>
        <v>0</v>
      </c>
    </row>
    <row r="254" spans="1:19">
      <c r="A254" s="964"/>
      <c r="B254" s="136"/>
      <c r="C254" s="52">
        <f t="shared" si="38"/>
        <v>1</v>
      </c>
      <c r="D254" s="962"/>
      <c r="E254" s="52">
        <f t="shared" si="39"/>
        <v>1</v>
      </c>
      <c r="F254" s="962"/>
      <c r="G254" s="52">
        <f t="shared" si="40"/>
        <v>1</v>
      </c>
      <c r="H254" s="962"/>
      <c r="I254" s="52">
        <f t="shared" si="41"/>
        <v>1</v>
      </c>
      <c r="J254" s="962"/>
      <c r="K254" s="52">
        <f t="shared" si="42"/>
        <v>1</v>
      </c>
      <c r="L254" s="962"/>
      <c r="M254" s="52">
        <f t="shared" si="43"/>
        <v>1</v>
      </c>
      <c r="N254" s="962"/>
      <c r="O254" s="52">
        <f t="shared" si="44"/>
        <v>1</v>
      </c>
      <c r="P254" s="962"/>
      <c r="Q254" s="52">
        <f t="shared" si="45"/>
        <v>1</v>
      </c>
      <c r="R254" s="492">
        <f t="shared" si="46"/>
        <v>0</v>
      </c>
      <c r="S254" s="800">
        <f t="shared" si="47"/>
        <v>0</v>
      </c>
    </row>
    <row r="255" spans="1:19">
      <c r="A255" s="964"/>
      <c r="B255" s="136"/>
      <c r="C255" s="52">
        <f t="shared" si="38"/>
        <v>1</v>
      </c>
      <c r="D255" s="962"/>
      <c r="E255" s="52">
        <f t="shared" si="39"/>
        <v>1</v>
      </c>
      <c r="F255" s="962"/>
      <c r="G255" s="52">
        <f t="shared" si="40"/>
        <v>1</v>
      </c>
      <c r="H255" s="962"/>
      <c r="I255" s="52">
        <f t="shared" si="41"/>
        <v>1</v>
      </c>
      <c r="J255" s="962"/>
      <c r="K255" s="52">
        <f t="shared" si="42"/>
        <v>1</v>
      </c>
      <c r="L255" s="962"/>
      <c r="M255" s="52">
        <f t="shared" si="43"/>
        <v>1</v>
      </c>
      <c r="N255" s="962"/>
      <c r="O255" s="52">
        <f t="shared" si="44"/>
        <v>1</v>
      </c>
      <c r="P255" s="962"/>
      <c r="Q255" s="52">
        <f t="shared" si="45"/>
        <v>1</v>
      </c>
      <c r="R255" s="492">
        <f t="shared" si="46"/>
        <v>0</v>
      </c>
      <c r="S255" s="800">
        <f t="shared" si="47"/>
        <v>0</v>
      </c>
    </row>
    <row r="256" spans="1:19">
      <c r="A256" s="964"/>
      <c r="B256" s="136"/>
      <c r="C256" s="52">
        <f t="shared" si="38"/>
        <v>1</v>
      </c>
      <c r="D256" s="962"/>
      <c r="E256" s="52">
        <f t="shared" si="39"/>
        <v>1</v>
      </c>
      <c r="F256" s="962"/>
      <c r="G256" s="52">
        <f t="shared" si="40"/>
        <v>1</v>
      </c>
      <c r="H256" s="962"/>
      <c r="I256" s="52">
        <f t="shared" si="41"/>
        <v>1</v>
      </c>
      <c r="J256" s="962"/>
      <c r="K256" s="52">
        <f t="shared" si="42"/>
        <v>1</v>
      </c>
      <c r="L256" s="962"/>
      <c r="M256" s="52">
        <f t="shared" si="43"/>
        <v>1</v>
      </c>
      <c r="N256" s="962"/>
      <c r="O256" s="52">
        <f t="shared" si="44"/>
        <v>1</v>
      </c>
      <c r="P256" s="962"/>
      <c r="Q256" s="52">
        <f t="shared" si="45"/>
        <v>1</v>
      </c>
      <c r="R256" s="492">
        <f t="shared" si="46"/>
        <v>0</v>
      </c>
      <c r="S256" s="800">
        <f t="shared" si="47"/>
        <v>0</v>
      </c>
    </row>
    <row r="257" spans="1:19">
      <c r="A257" s="964"/>
      <c r="B257" s="136"/>
      <c r="C257" s="52">
        <f t="shared" si="38"/>
        <v>1</v>
      </c>
      <c r="D257" s="962"/>
      <c r="E257" s="52">
        <f t="shared" si="39"/>
        <v>1</v>
      </c>
      <c r="F257" s="962"/>
      <c r="G257" s="52">
        <f t="shared" si="40"/>
        <v>1</v>
      </c>
      <c r="H257" s="962"/>
      <c r="I257" s="52">
        <f t="shared" si="41"/>
        <v>1</v>
      </c>
      <c r="J257" s="962"/>
      <c r="K257" s="52">
        <f t="shared" si="42"/>
        <v>1</v>
      </c>
      <c r="L257" s="962"/>
      <c r="M257" s="52">
        <f t="shared" si="43"/>
        <v>1</v>
      </c>
      <c r="N257" s="962"/>
      <c r="O257" s="52">
        <f t="shared" si="44"/>
        <v>1</v>
      </c>
      <c r="P257" s="962"/>
      <c r="Q257" s="52">
        <f t="shared" si="45"/>
        <v>1</v>
      </c>
      <c r="R257" s="492">
        <f t="shared" si="46"/>
        <v>0</v>
      </c>
      <c r="S257" s="800">
        <f t="shared" si="47"/>
        <v>0</v>
      </c>
    </row>
    <row r="258" spans="1:19">
      <c r="A258" s="964"/>
      <c r="B258" s="136"/>
      <c r="C258" s="52">
        <f t="shared" si="38"/>
        <v>1</v>
      </c>
      <c r="D258" s="962"/>
      <c r="E258" s="52">
        <f t="shared" si="39"/>
        <v>1</v>
      </c>
      <c r="F258" s="962"/>
      <c r="G258" s="52">
        <f t="shared" si="40"/>
        <v>1</v>
      </c>
      <c r="H258" s="962"/>
      <c r="I258" s="52">
        <f t="shared" si="41"/>
        <v>1</v>
      </c>
      <c r="J258" s="962"/>
      <c r="K258" s="52">
        <f t="shared" si="42"/>
        <v>1</v>
      </c>
      <c r="L258" s="962"/>
      <c r="M258" s="52">
        <f t="shared" si="43"/>
        <v>1</v>
      </c>
      <c r="N258" s="962"/>
      <c r="O258" s="52">
        <f t="shared" si="44"/>
        <v>1</v>
      </c>
      <c r="P258" s="962"/>
      <c r="Q258" s="52">
        <f t="shared" si="45"/>
        <v>1</v>
      </c>
      <c r="R258" s="492">
        <f t="shared" si="46"/>
        <v>0</v>
      </c>
      <c r="S258" s="800">
        <f t="shared" si="47"/>
        <v>0</v>
      </c>
    </row>
    <row r="259" spans="1:19">
      <c r="A259" s="964"/>
      <c r="B259" s="136"/>
      <c r="C259" s="52">
        <f t="shared" si="38"/>
        <v>1</v>
      </c>
      <c r="D259" s="962"/>
      <c r="E259" s="52">
        <f t="shared" si="39"/>
        <v>1</v>
      </c>
      <c r="F259" s="962"/>
      <c r="G259" s="52">
        <f t="shared" si="40"/>
        <v>1</v>
      </c>
      <c r="H259" s="962"/>
      <c r="I259" s="52">
        <f t="shared" si="41"/>
        <v>1</v>
      </c>
      <c r="J259" s="962"/>
      <c r="K259" s="52">
        <f t="shared" si="42"/>
        <v>1</v>
      </c>
      <c r="L259" s="962"/>
      <c r="M259" s="52">
        <f t="shared" si="43"/>
        <v>1</v>
      </c>
      <c r="N259" s="962"/>
      <c r="O259" s="52">
        <f t="shared" si="44"/>
        <v>1</v>
      </c>
      <c r="P259" s="962"/>
      <c r="Q259" s="52">
        <f t="shared" si="45"/>
        <v>1</v>
      </c>
      <c r="R259" s="492">
        <f t="shared" si="46"/>
        <v>0</v>
      </c>
      <c r="S259" s="800">
        <f t="shared" si="47"/>
        <v>0</v>
      </c>
    </row>
    <row r="260" spans="1:19">
      <c r="A260" s="964"/>
      <c r="B260" s="136"/>
      <c r="C260" s="52">
        <f t="shared" si="38"/>
        <v>1</v>
      </c>
      <c r="D260" s="962"/>
      <c r="E260" s="52">
        <f t="shared" si="39"/>
        <v>1</v>
      </c>
      <c r="F260" s="962"/>
      <c r="G260" s="52">
        <f t="shared" si="40"/>
        <v>1</v>
      </c>
      <c r="H260" s="962"/>
      <c r="I260" s="52">
        <f t="shared" si="41"/>
        <v>1</v>
      </c>
      <c r="J260" s="962"/>
      <c r="K260" s="52">
        <f t="shared" si="42"/>
        <v>1</v>
      </c>
      <c r="L260" s="962"/>
      <c r="M260" s="52">
        <f t="shared" si="43"/>
        <v>1</v>
      </c>
      <c r="N260" s="962"/>
      <c r="O260" s="52">
        <f t="shared" si="44"/>
        <v>1</v>
      </c>
      <c r="P260" s="962"/>
      <c r="Q260" s="52">
        <f t="shared" si="45"/>
        <v>1</v>
      </c>
      <c r="R260" s="492">
        <f t="shared" si="46"/>
        <v>0</v>
      </c>
      <c r="S260" s="800">
        <f t="shared" si="47"/>
        <v>0</v>
      </c>
    </row>
    <row r="261" spans="1:19">
      <c r="A261" s="964"/>
      <c r="B261" s="136"/>
      <c r="C261" s="52">
        <f t="shared" si="38"/>
        <v>1</v>
      </c>
      <c r="D261" s="962"/>
      <c r="E261" s="52">
        <f t="shared" si="39"/>
        <v>1</v>
      </c>
      <c r="F261" s="962"/>
      <c r="G261" s="52">
        <f t="shared" si="40"/>
        <v>1</v>
      </c>
      <c r="H261" s="962"/>
      <c r="I261" s="52">
        <f t="shared" si="41"/>
        <v>1</v>
      </c>
      <c r="J261" s="962"/>
      <c r="K261" s="52">
        <f t="shared" si="42"/>
        <v>1</v>
      </c>
      <c r="L261" s="962"/>
      <c r="M261" s="52">
        <f t="shared" si="43"/>
        <v>1</v>
      </c>
      <c r="N261" s="962"/>
      <c r="O261" s="52">
        <f t="shared" si="44"/>
        <v>1</v>
      </c>
      <c r="P261" s="962"/>
      <c r="Q261" s="52">
        <f t="shared" si="45"/>
        <v>1</v>
      </c>
      <c r="R261" s="492">
        <f t="shared" si="46"/>
        <v>0</v>
      </c>
      <c r="S261" s="800">
        <f t="shared" si="47"/>
        <v>0</v>
      </c>
    </row>
    <row r="262" spans="1:19">
      <c r="A262" s="964"/>
      <c r="B262" s="136"/>
      <c r="C262" s="52">
        <f t="shared" si="38"/>
        <v>1</v>
      </c>
      <c r="D262" s="962"/>
      <c r="E262" s="52">
        <f t="shared" si="39"/>
        <v>1</v>
      </c>
      <c r="F262" s="962"/>
      <c r="G262" s="52">
        <f t="shared" si="40"/>
        <v>1</v>
      </c>
      <c r="H262" s="962"/>
      <c r="I262" s="52">
        <f t="shared" si="41"/>
        <v>1</v>
      </c>
      <c r="J262" s="962"/>
      <c r="K262" s="52">
        <f t="shared" si="42"/>
        <v>1</v>
      </c>
      <c r="L262" s="962"/>
      <c r="M262" s="52">
        <f t="shared" si="43"/>
        <v>1</v>
      </c>
      <c r="N262" s="962"/>
      <c r="O262" s="52">
        <f t="shared" si="44"/>
        <v>1</v>
      </c>
      <c r="P262" s="962"/>
      <c r="Q262" s="52">
        <f t="shared" si="45"/>
        <v>1</v>
      </c>
      <c r="R262" s="492">
        <f t="shared" si="46"/>
        <v>0</v>
      </c>
      <c r="S262" s="800">
        <f t="shared" si="47"/>
        <v>0</v>
      </c>
    </row>
    <row r="263" spans="1:19">
      <c r="A263" s="964"/>
      <c r="B263" s="136"/>
      <c r="C263" s="52">
        <f t="shared" si="38"/>
        <v>1</v>
      </c>
      <c r="D263" s="962"/>
      <c r="E263" s="52">
        <f t="shared" si="39"/>
        <v>1</v>
      </c>
      <c r="F263" s="962"/>
      <c r="G263" s="52">
        <f t="shared" si="40"/>
        <v>1</v>
      </c>
      <c r="H263" s="962"/>
      <c r="I263" s="52">
        <f t="shared" si="41"/>
        <v>1</v>
      </c>
      <c r="J263" s="962"/>
      <c r="K263" s="52">
        <f t="shared" si="42"/>
        <v>1</v>
      </c>
      <c r="L263" s="962"/>
      <c r="M263" s="52">
        <f t="shared" si="43"/>
        <v>1</v>
      </c>
      <c r="N263" s="962"/>
      <c r="O263" s="52">
        <f t="shared" si="44"/>
        <v>1</v>
      </c>
      <c r="P263" s="962"/>
      <c r="Q263" s="52">
        <f t="shared" si="45"/>
        <v>1</v>
      </c>
      <c r="R263" s="492">
        <f t="shared" si="46"/>
        <v>0</v>
      </c>
      <c r="S263" s="800">
        <f t="shared" si="47"/>
        <v>0</v>
      </c>
    </row>
    <row r="264" spans="1:19">
      <c r="A264" s="964"/>
      <c r="B264" s="136"/>
      <c r="C264" s="52">
        <f t="shared" si="38"/>
        <v>1</v>
      </c>
      <c r="D264" s="962"/>
      <c r="E264" s="52">
        <f t="shared" si="39"/>
        <v>1</v>
      </c>
      <c r="F264" s="962"/>
      <c r="G264" s="52">
        <f t="shared" si="40"/>
        <v>1</v>
      </c>
      <c r="H264" s="962"/>
      <c r="I264" s="52">
        <f t="shared" si="41"/>
        <v>1</v>
      </c>
      <c r="J264" s="962"/>
      <c r="K264" s="52">
        <f t="shared" si="42"/>
        <v>1</v>
      </c>
      <c r="L264" s="962"/>
      <c r="M264" s="52">
        <f t="shared" si="43"/>
        <v>1</v>
      </c>
      <c r="N264" s="962"/>
      <c r="O264" s="52">
        <f t="shared" si="44"/>
        <v>1</v>
      </c>
      <c r="P264" s="962"/>
      <c r="Q264" s="52">
        <f t="shared" si="45"/>
        <v>1</v>
      </c>
      <c r="R264" s="492">
        <f t="shared" si="46"/>
        <v>0</v>
      </c>
      <c r="S264" s="800">
        <f t="shared" si="47"/>
        <v>0</v>
      </c>
    </row>
    <row r="265" spans="1:19">
      <c r="A265" s="964"/>
      <c r="B265" s="136"/>
      <c r="C265" s="52">
        <f t="shared" si="38"/>
        <v>1</v>
      </c>
      <c r="D265" s="962"/>
      <c r="E265" s="52">
        <f t="shared" si="39"/>
        <v>1</v>
      </c>
      <c r="F265" s="962"/>
      <c r="G265" s="52">
        <f t="shared" si="40"/>
        <v>1</v>
      </c>
      <c r="H265" s="962"/>
      <c r="I265" s="52">
        <f t="shared" si="41"/>
        <v>1</v>
      </c>
      <c r="J265" s="962"/>
      <c r="K265" s="52">
        <f t="shared" si="42"/>
        <v>1</v>
      </c>
      <c r="L265" s="962"/>
      <c r="M265" s="52">
        <f t="shared" si="43"/>
        <v>1</v>
      </c>
      <c r="N265" s="962"/>
      <c r="O265" s="52">
        <f t="shared" si="44"/>
        <v>1</v>
      </c>
      <c r="P265" s="962"/>
      <c r="Q265" s="52">
        <f t="shared" si="45"/>
        <v>1</v>
      </c>
      <c r="R265" s="492">
        <f t="shared" si="46"/>
        <v>0</v>
      </c>
      <c r="S265" s="800">
        <f t="shared" si="47"/>
        <v>0</v>
      </c>
    </row>
    <row r="266" spans="1:19">
      <c r="A266" s="964"/>
      <c r="B266" s="136"/>
      <c r="C266" s="52">
        <f t="shared" si="38"/>
        <v>1</v>
      </c>
      <c r="D266" s="962"/>
      <c r="E266" s="52">
        <f t="shared" si="39"/>
        <v>1</v>
      </c>
      <c r="F266" s="962"/>
      <c r="G266" s="52">
        <f t="shared" si="40"/>
        <v>1</v>
      </c>
      <c r="H266" s="962"/>
      <c r="I266" s="52">
        <f t="shared" si="41"/>
        <v>1</v>
      </c>
      <c r="J266" s="962"/>
      <c r="K266" s="52">
        <f t="shared" si="42"/>
        <v>1</v>
      </c>
      <c r="L266" s="962"/>
      <c r="M266" s="52">
        <f t="shared" si="43"/>
        <v>1</v>
      </c>
      <c r="N266" s="962"/>
      <c r="O266" s="52">
        <f t="shared" si="44"/>
        <v>1</v>
      </c>
      <c r="P266" s="962"/>
      <c r="Q266" s="52">
        <f t="shared" si="45"/>
        <v>1</v>
      </c>
      <c r="R266" s="492">
        <f t="shared" si="46"/>
        <v>0</v>
      </c>
      <c r="S266" s="800">
        <f t="shared" si="47"/>
        <v>0</v>
      </c>
    </row>
    <row r="267" spans="1:19">
      <c r="A267" s="964"/>
      <c r="B267" s="136"/>
      <c r="C267" s="52">
        <f t="shared" si="38"/>
        <v>1</v>
      </c>
      <c r="D267" s="962"/>
      <c r="E267" s="52">
        <f t="shared" si="39"/>
        <v>1</v>
      </c>
      <c r="F267" s="962"/>
      <c r="G267" s="52">
        <f t="shared" si="40"/>
        <v>1</v>
      </c>
      <c r="H267" s="962"/>
      <c r="I267" s="52">
        <f t="shared" si="41"/>
        <v>1</v>
      </c>
      <c r="J267" s="962"/>
      <c r="K267" s="52">
        <f t="shared" si="42"/>
        <v>1</v>
      </c>
      <c r="L267" s="962"/>
      <c r="M267" s="52">
        <f t="shared" si="43"/>
        <v>1</v>
      </c>
      <c r="N267" s="962"/>
      <c r="O267" s="52">
        <f t="shared" si="44"/>
        <v>1</v>
      </c>
      <c r="P267" s="962"/>
      <c r="Q267" s="52">
        <f t="shared" si="45"/>
        <v>1</v>
      </c>
      <c r="R267" s="492">
        <f t="shared" si="46"/>
        <v>0</v>
      </c>
      <c r="S267" s="800">
        <f t="shared" si="47"/>
        <v>0</v>
      </c>
    </row>
    <row r="268" spans="1:19">
      <c r="A268" s="964"/>
      <c r="B268" s="136"/>
      <c r="C268" s="52">
        <f t="shared" si="38"/>
        <v>1</v>
      </c>
      <c r="D268" s="962"/>
      <c r="E268" s="52">
        <f t="shared" si="39"/>
        <v>1</v>
      </c>
      <c r="F268" s="962"/>
      <c r="G268" s="52">
        <f t="shared" si="40"/>
        <v>1</v>
      </c>
      <c r="H268" s="962"/>
      <c r="I268" s="52">
        <f t="shared" si="41"/>
        <v>1</v>
      </c>
      <c r="J268" s="962"/>
      <c r="K268" s="52">
        <f t="shared" si="42"/>
        <v>1</v>
      </c>
      <c r="L268" s="962"/>
      <c r="M268" s="52">
        <f t="shared" si="43"/>
        <v>1</v>
      </c>
      <c r="N268" s="962"/>
      <c r="O268" s="52">
        <f t="shared" si="44"/>
        <v>1</v>
      </c>
      <c r="P268" s="962"/>
      <c r="Q268" s="52">
        <f t="shared" si="45"/>
        <v>1</v>
      </c>
      <c r="R268" s="492">
        <f t="shared" si="46"/>
        <v>0</v>
      </c>
      <c r="S268" s="800">
        <f t="shared" si="47"/>
        <v>0</v>
      </c>
    </row>
    <row r="269" spans="1:19">
      <c r="A269" s="964"/>
      <c r="B269" s="136"/>
      <c r="C269" s="52">
        <f t="shared" si="38"/>
        <v>1</v>
      </c>
      <c r="D269" s="962"/>
      <c r="E269" s="52">
        <f t="shared" si="39"/>
        <v>1</v>
      </c>
      <c r="F269" s="962"/>
      <c r="G269" s="52">
        <f t="shared" si="40"/>
        <v>1</v>
      </c>
      <c r="H269" s="962"/>
      <c r="I269" s="52">
        <f t="shared" si="41"/>
        <v>1</v>
      </c>
      <c r="J269" s="962"/>
      <c r="K269" s="52">
        <f t="shared" si="42"/>
        <v>1</v>
      </c>
      <c r="L269" s="962"/>
      <c r="M269" s="52">
        <f t="shared" si="43"/>
        <v>1</v>
      </c>
      <c r="N269" s="962"/>
      <c r="O269" s="52">
        <f t="shared" si="44"/>
        <v>1</v>
      </c>
      <c r="P269" s="962"/>
      <c r="Q269" s="52">
        <f t="shared" si="45"/>
        <v>1</v>
      </c>
      <c r="R269" s="492">
        <f t="shared" si="46"/>
        <v>0</v>
      </c>
      <c r="S269" s="800">
        <f t="shared" si="47"/>
        <v>0</v>
      </c>
    </row>
    <row r="270" spans="1:19">
      <c r="A270" s="964"/>
      <c r="B270" s="136"/>
      <c r="C270" s="52">
        <f t="shared" si="38"/>
        <v>1</v>
      </c>
      <c r="D270" s="962"/>
      <c r="E270" s="52">
        <f t="shared" si="39"/>
        <v>1</v>
      </c>
      <c r="F270" s="962"/>
      <c r="G270" s="52">
        <f t="shared" si="40"/>
        <v>1</v>
      </c>
      <c r="H270" s="962"/>
      <c r="I270" s="52">
        <f t="shared" si="41"/>
        <v>1</v>
      </c>
      <c r="J270" s="962"/>
      <c r="K270" s="52">
        <f t="shared" si="42"/>
        <v>1</v>
      </c>
      <c r="L270" s="962"/>
      <c r="M270" s="52">
        <f t="shared" si="43"/>
        <v>1</v>
      </c>
      <c r="N270" s="962"/>
      <c r="O270" s="52">
        <f t="shared" si="44"/>
        <v>1</v>
      </c>
      <c r="P270" s="962"/>
      <c r="Q270" s="52">
        <f t="shared" si="45"/>
        <v>1</v>
      </c>
      <c r="R270" s="492">
        <f t="shared" si="46"/>
        <v>0</v>
      </c>
      <c r="S270" s="800">
        <f t="shared" si="47"/>
        <v>0</v>
      </c>
    </row>
    <row r="271" spans="1:19">
      <c r="A271" s="964"/>
      <c r="B271" s="136"/>
      <c r="C271" s="52">
        <f t="shared" si="38"/>
        <v>1</v>
      </c>
      <c r="D271" s="962"/>
      <c r="E271" s="52">
        <f t="shared" si="39"/>
        <v>1</v>
      </c>
      <c r="F271" s="962"/>
      <c r="G271" s="52">
        <f t="shared" si="40"/>
        <v>1</v>
      </c>
      <c r="H271" s="962"/>
      <c r="I271" s="52">
        <f t="shared" si="41"/>
        <v>1</v>
      </c>
      <c r="J271" s="962"/>
      <c r="K271" s="52">
        <f t="shared" si="42"/>
        <v>1</v>
      </c>
      <c r="L271" s="962"/>
      <c r="M271" s="52">
        <f t="shared" si="43"/>
        <v>1</v>
      </c>
      <c r="N271" s="962"/>
      <c r="O271" s="52">
        <f t="shared" si="44"/>
        <v>1</v>
      </c>
      <c r="P271" s="962"/>
      <c r="Q271" s="52">
        <f t="shared" si="45"/>
        <v>1</v>
      </c>
      <c r="R271" s="492">
        <f t="shared" si="46"/>
        <v>0</v>
      </c>
      <c r="S271" s="800">
        <f t="shared" si="47"/>
        <v>0</v>
      </c>
    </row>
    <row r="272" spans="1:19">
      <c r="A272" s="964"/>
      <c r="B272" s="136"/>
      <c r="C272" s="52">
        <f t="shared" si="38"/>
        <v>1</v>
      </c>
      <c r="D272" s="962"/>
      <c r="E272" s="52">
        <f t="shared" si="39"/>
        <v>1</v>
      </c>
      <c r="F272" s="962"/>
      <c r="G272" s="52">
        <f t="shared" si="40"/>
        <v>1</v>
      </c>
      <c r="H272" s="962"/>
      <c r="I272" s="52">
        <f t="shared" si="41"/>
        <v>1</v>
      </c>
      <c r="J272" s="962"/>
      <c r="K272" s="52">
        <f t="shared" si="42"/>
        <v>1</v>
      </c>
      <c r="L272" s="962"/>
      <c r="M272" s="52">
        <f t="shared" si="43"/>
        <v>1</v>
      </c>
      <c r="N272" s="962"/>
      <c r="O272" s="52">
        <f t="shared" si="44"/>
        <v>1</v>
      </c>
      <c r="P272" s="962"/>
      <c r="Q272" s="52">
        <f t="shared" si="45"/>
        <v>1</v>
      </c>
      <c r="R272" s="492">
        <f t="shared" si="46"/>
        <v>0</v>
      </c>
      <c r="S272" s="800">
        <f t="shared" si="47"/>
        <v>0</v>
      </c>
    </row>
    <row r="273" spans="1:19">
      <c r="A273" s="964"/>
      <c r="B273" s="136"/>
      <c r="C273" s="52">
        <f t="shared" si="38"/>
        <v>1</v>
      </c>
      <c r="D273" s="962"/>
      <c r="E273" s="52">
        <f t="shared" si="39"/>
        <v>1</v>
      </c>
      <c r="F273" s="962"/>
      <c r="G273" s="52">
        <f t="shared" si="40"/>
        <v>1</v>
      </c>
      <c r="H273" s="962"/>
      <c r="I273" s="52">
        <f t="shared" si="41"/>
        <v>1</v>
      </c>
      <c r="J273" s="962"/>
      <c r="K273" s="52">
        <f t="shared" si="42"/>
        <v>1</v>
      </c>
      <c r="L273" s="962"/>
      <c r="M273" s="52">
        <f t="shared" si="43"/>
        <v>1</v>
      </c>
      <c r="N273" s="962"/>
      <c r="O273" s="52">
        <f t="shared" si="44"/>
        <v>1</v>
      </c>
      <c r="P273" s="962"/>
      <c r="Q273" s="52">
        <f t="shared" si="45"/>
        <v>1</v>
      </c>
      <c r="R273" s="492">
        <f t="shared" si="46"/>
        <v>0</v>
      </c>
      <c r="S273" s="800">
        <f t="shared" si="47"/>
        <v>0</v>
      </c>
    </row>
    <row r="274" spans="1:19">
      <c r="A274" s="964"/>
      <c r="B274" s="136"/>
      <c r="C274" s="52">
        <f t="shared" si="38"/>
        <v>1</v>
      </c>
      <c r="D274" s="962"/>
      <c r="E274" s="52">
        <f t="shared" si="39"/>
        <v>1</v>
      </c>
      <c r="F274" s="962"/>
      <c r="G274" s="52">
        <f t="shared" si="40"/>
        <v>1</v>
      </c>
      <c r="H274" s="962"/>
      <c r="I274" s="52">
        <f t="shared" si="41"/>
        <v>1</v>
      </c>
      <c r="J274" s="962"/>
      <c r="K274" s="52">
        <f t="shared" si="42"/>
        <v>1</v>
      </c>
      <c r="L274" s="962"/>
      <c r="M274" s="52">
        <f t="shared" si="43"/>
        <v>1</v>
      </c>
      <c r="N274" s="962"/>
      <c r="O274" s="52">
        <f t="shared" si="44"/>
        <v>1</v>
      </c>
      <c r="P274" s="962"/>
      <c r="Q274" s="52">
        <f t="shared" si="45"/>
        <v>1</v>
      </c>
      <c r="R274" s="492">
        <f t="shared" si="46"/>
        <v>0</v>
      </c>
      <c r="S274" s="800">
        <f t="shared" si="47"/>
        <v>0</v>
      </c>
    </row>
    <row r="275" spans="1:19">
      <c r="A275" s="964"/>
      <c r="B275" s="136"/>
      <c r="C275" s="52">
        <f t="shared" si="38"/>
        <v>1</v>
      </c>
      <c r="D275" s="962"/>
      <c r="E275" s="52">
        <f t="shared" si="39"/>
        <v>1</v>
      </c>
      <c r="F275" s="962"/>
      <c r="G275" s="52">
        <f t="shared" si="40"/>
        <v>1</v>
      </c>
      <c r="H275" s="962"/>
      <c r="I275" s="52">
        <f t="shared" si="41"/>
        <v>1</v>
      </c>
      <c r="J275" s="962"/>
      <c r="K275" s="52">
        <f t="shared" si="42"/>
        <v>1</v>
      </c>
      <c r="L275" s="962"/>
      <c r="M275" s="52">
        <f t="shared" si="43"/>
        <v>1</v>
      </c>
      <c r="N275" s="962"/>
      <c r="O275" s="52">
        <f t="shared" si="44"/>
        <v>1</v>
      </c>
      <c r="P275" s="962"/>
      <c r="Q275" s="52">
        <f t="shared" si="45"/>
        <v>1</v>
      </c>
      <c r="R275" s="492">
        <f t="shared" si="46"/>
        <v>0</v>
      </c>
      <c r="S275" s="800">
        <f t="shared" si="47"/>
        <v>0</v>
      </c>
    </row>
    <row r="276" spans="1:19">
      <c r="A276" s="964"/>
      <c r="B276" s="136"/>
      <c r="C276" s="52">
        <f t="shared" si="38"/>
        <v>1</v>
      </c>
      <c r="D276" s="962"/>
      <c r="E276" s="52">
        <f t="shared" si="39"/>
        <v>1</v>
      </c>
      <c r="F276" s="962"/>
      <c r="G276" s="52">
        <f t="shared" si="40"/>
        <v>1</v>
      </c>
      <c r="H276" s="962"/>
      <c r="I276" s="52">
        <f t="shared" si="41"/>
        <v>1</v>
      </c>
      <c r="J276" s="962"/>
      <c r="K276" s="52">
        <f t="shared" si="42"/>
        <v>1</v>
      </c>
      <c r="L276" s="962"/>
      <c r="M276" s="52">
        <f t="shared" si="43"/>
        <v>1</v>
      </c>
      <c r="N276" s="962"/>
      <c r="O276" s="52">
        <f t="shared" si="44"/>
        <v>1</v>
      </c>
      <c r="P276" s="962"/>
      <c r="Q276" s="52">
        <f t="shared" si="45"/>
        <v>1</v>
      </c>
      <c r="R276" s="492">
        <f t="shared" si="46"/>
        <v>0</v>
      </c>
      <c r="S276" s="800">
        <f t="shared" si="47"/>
        <v>0</v>
      </c>
    </row>
    <row r="277" spans="1:19">
      <c r="A277" s="964"/>
      <c r="B277" s="136"/>
      <c r="C277" s="52">
        <f t="shared" si="38"/>
        <v>1</v>
      </c>
      <c r="D277" s="962"/>
      <c r="E277" s="52">
        <f t="shared" si="39"/>
        <v>1</v>
      </c>
      <c r="F277" s="962"/>
      <c r="G277" s="52">
        <f t="shared" si="40"/>
        <v>1</v>
      </c>
      <c r="H277" s="962"/>
      <c r="I277" s="52">
        <f t="shared" si="41"/>
        <v>1</v>
      </c>
      <c r="J277" s="962"/>
      <c r="K277" s="52">
        <f t="shared" si="42"/>
        <v>1</v>
      </c>
      <c r="L277" s="962"/>
      <c r="M277" s="52">
        <f t="shared" si="43"/>
        <v>1</v>
      </c>
      <c r="N277" s="962"/>
      <c r="O277" s="52">
        <f t="shared" si="44"/>
        <v>1</v>
      </c>
      <c r="P277" s="962"/>
      <c r="Q277" s="52">
        <f t="shared" si="45"/>
        <v>1</v>
      </c>
      <c r="R277" s="492">
        <f t="shared" si="46"/>
        <v>0</v>
      </c>
      <c r="S277" s="800">
        <f t="shared" si="47"/>
        <v>0</v>
      </c>
    </row>
    <row r="278" spans="1:19">
      <c r="A278" s="964"/>
      <c r="B278" s="136"/>
      <c r="C278" s="52">
        <f t="shared" si="38"/>
        <v>1</v>
      </c>
      <c r="D278" s="962"/>
      <c r="E278" s="52">
        <f t="shared" si="39"/>
        <v>1</v>
      </c>
      <c r="F278" s="962"/>
      <c r="G278" s="52">
        <f t="shared" si="40"/>
        <v>1</v>
      </c>
      <c r="H278" s="962"/>
      <c r="I278" s="52">
        <f t="shared" si="41"/>
        <v>1</v>
      </c>
      <c r="J278" s="962"/>
      <c r="K278" s="52">
        <f t="shared" si="42"/>
        <v>1</v>
      </c>
      <c r="L278" s="962"/>
      <c r="M278" s="52">
        <f t="shared" si="43"/>
        <v>1</v>
      </c>
      <c r="N278" s="962"/>
      <c r="O278" s="52">
        <f t="shared" si="44"/>
        <v>1</v>
      </c>
      <c r="P278" s="962"/>
      <c r="Q278" s="52">
        <f t="shared" si="45"/>
        <v>1</v>
      </c>
      <c r="R278" s="492">
        <f t="shared" si="46"/>
        <v>0</v>
      </c>
      <c r="S278" s="800">
        <f t="shared" si="47"/>
        <v>0</v>
      </c>
    </row>
    <row r="279" spans="1:19">
      <c r="A279" s="964"/>
      <c r="B279" s="136"/>
      <c r="C279" s="52">
        <f t="shared" si="38"/>
        <v>1</v>
      </c>
      <c r="D279" s="962"/>
      <c r="E279" s="52">
        <f t="shared" si="39"/>
        <v>1</v>
      </c>
      <c r="F279" s="962"/>
      <c r="G279" s="52">
        <f t="shared" si="40"/>
        <v>1</v>
      </c>
      <c r="H279" s="962"/>
      <c r="I279" s="52">
        <f t="shared" si="41"/>
        <v>1</v>
      </c>
      <c r="J279" s="962"/>
      <c r="K279" s="52">
        <f t="shared" si="42"/>
        <v>1</v>
      </c>
      <c r="L279" s="962"/>
      <c r="M279" s="52">
        <f t="shared" si="43"/>
        <v>1</v>
      </c>
      <c r="N279" s="962"/>
      <c r="O279" s="52">
        <f t="shared" si="44"/>
        <v>1</v>
      </c>
      <c r="P279" s="962"/>
      <c r="Q279" s="52">
        <f t="shared" si="45"/>
        <v>1</v>
      </c>
      <c r="R279" s="492">
        <f t="shared" si="46"/>
        <v>0</v>
      </c>
      <c r="S279" s="800">
        <f t="shared" si="47"/>
        <v>0</v>
      </c>
    </row>
    <row r="280" spans="1:19">
      <c r="A280" s="964"/>
      <c r="B280" s="136"/>
      <c r="C280" s="52">
        <f t="shared" si="38"/>
        <v>1</v>
      </c>
      <c r="D280" s="962"/>
      <c r="E280" s="52">
        <f t="shared" si="39"/>
        <v>1</v>
      </c>
      <c r="F280" s="962"/>
      <c r="G280" s="52">
        <f t="shared" si="40"/>
        <v>1</v>
      </c>
      <c r="H280" s="962"/>
      <c r="I280" s="52">
        <f t="shared" si="41"/>
        <v>1</v>
      </c>
      <c r="J280" s="962"/>
      <c r="K280" s="52">
        <f t="shared" si="42"/>
        <v>1</v>
      </c>
      <c r="L280" s="962"/>
      <c r="M280" s="52">
        <f t="shared" si="43"/>
        <v>1</v>
      </c>
      <c r="N280" s="962"/>
      <c r="O280" s="52">
        <f t="shared" si="44"/>
        <v>1</v>
      </c>
      <c r="P280" s="962"/>
      <c r="Q280" s="52">
        <f t="shared" si="45"/>
        <v>1</v>
      </c>
      <c r="R280" s="492">
        <f t="shared" si="46"/>
        <v>0</v>
      </c>
      <c r="S280" s="800">
        <f t="shared" si="47"/>
        <v>0</v>
      </c>
    </row>
    <row r="281" spans="1:19">
      <c r="A281" s="964"/>
      <c r="B281" s="136"/>
      <c r="C281" s="52">
        <f t="shared" si="38"/>
        <v>1</v>
      </c>
      <c r="D281" s="962"/>
      <c r="E281" s="52">
        <f t="shared" si="39"/>
        <v>1</v>
      </c>
      <c r="F281" s="962"/>
      <c r="G281" s="52">
        <f t="shared" si="40"/>
        <v>1</v>
      </c>
      <c r="H281" s="962"/>
      <c r="I281" s="52">
        <f t="shared" si="41"/>
        <v>1</v>
      </c>
      <c r="J281" s="962"/>
      <c r="K281" s="52">
        <f t="shared" si="42"/>
        <v>1</v>
      </c>
      <c r="L281" s="962"/>
      <c r="M281" s="52">
        <f t="shared" si="43"/>
        <v>1</v>
      </c>
      <c r="N281" s="962"/>
      <c r="O281" s="52">
        <f t="shared" si="44"/>
        <v>1</v>
      </c>
      <c r="P281" s="962"/>
      <c r="Q281" s="52">
        <f t="shared" si="45"/>
        <v>1</v>
      </c>
      <c r="R281" s="492">
        <f t="shared" si="46"/>
        <v>0</v>
      </c>
      <c r="S281" s="800">
        <f t="shared" si="47"/>
        <v>0</v>
      </c>
    </row>
    <row r="282" spans="1:19">
      <c r="A282" s="964"/>
      <c r="B282" s="136"/>
      <c r="C282" s="52">
        <f t="shared" ref="C282:C345" si="48">IF(B282="",1,(LOOKUP(B282,$3:$3,$4:$4)-LOOKUP($B$24,$3:$3,$4:$4)+100)/100)</f>
        <v>1</v>
      </c>
      <c r="D282" s="962"/>
      <c r="E282" s="52">
        <f t="shared" ref="E282:E345" si="49">(SUMIF($5:$5,D282,$6:$6)-SUMIF($5:$5,$D$24,$6:$6)+100)/100</f>
        <v>1</v>
      </c>
      <c r="F282" s="962"/>
      <c r="G282" s="52">
        <f t="shared" ref="G282:G345" si="50">(SUMIF($7:$7,F282,$8:$8)-SUMIF($7:$7,$F$24,$8:$8)+100)/100</f>
        <v>1</v>
      </c>
      <c r="H282" s="962"/>
      <c r="I282" s="52">
        <f t="shared" ref="I282:I345" si="51">(SUMIF($9:$9,H282,$10:$10)-SUMIF($9:$9,$H$24,$10:$10)+100)/100</f>
        <v>1</v>
      </c>
      <c r="J282" s="962"/>
      <c r="K282" s="52">
        <f t="shared" ref="K282:K345" si="52">(SUMIF($11:$11,J282,$12:$12)-SUMIF($11:$11,$J$24,$12:$12)+100)/100</f>
        <v>1</v>
      </c>
      <c r="L282" s="962"/>
      <c r="M282" s="52">
        <f t="shared" ref="M282:M345" si="53">(SUMIF($13:$13,L282,$14:$14)-SUMIF($13:$13,$L$24,$14:$14)+100)/100</f>
        <v>1</v>
      </c>
      <c r="N282" s="962"/>
      <c r="O282" s="52">
        <f t="shared" ref="O282:O345" si="54">(SUMIF($15:$15,N282,$16:$16)-SUMIF($15:$15,$N$24,$16:$16)+100)/100</f>
        <v>1</v>
      </c>
      <c r="P282" s="962"/>
      <c r="Q282" s="52">
        <f t="shared" ref="Q282:Q345" si="55">(SUMIF($17:$17,P282,$18:$18)-SUMIF($17:$17,$P$24,$18:$18)+100)/100</f>
        <v>1</v>
      </c>
      <c r="R282" s="492">
        <f t="shared" ref="R282:R345" si="56">IF(B282="",0,ROUND($R$24*C282*E282*G282*I282*K282*M282*O282*Q282,0))</f>
        <v>0</v>
      </c>
      <c r="S282" s="800">
        <f t="shared" si="47"/>
        <v>0</v>
      </c>
    </row>
    <row r="283" spans="1:19">
      <c r="A283" s="964"/>
      <c r="B283" s="136"/>
      <c r="C283" s="52">
        <f t="shared" si="48"/>
        <v>1</v>
      </c>
      <c r="D283" s="962"/>
      <c r="E283" s="52">
        <f t="shared" si="49"/>
        <v>1</v>
      </c>
      <c r="F283" s="962"/>
      <c r="G283" s="52">
        <f t="shared" si="50"/>
        <v>1</v>
      </c>
      <c r="H283" s="962"/>
      <c r="I283" s="52">
        <f t="shared" si="51"/>
        <v>1</v>
      </c>
      <c r="J283" s="962"/>
      <c r="K283" s="52">
        <f t="shared" si="52"/>
        <v>1</v>
      </c>
      <c r="L283" s="962"/>
      <c r="M283" s="52">
        <f t="shared" si="53"/>
        <v>1</v>
      </c>
      <c r="N283" s="962"/>
      <c r="O283" s="52">
        <f t="shared" si="54"/>
        <v>1</v>
      </c>
      <c r="P283" s="962"/>
      <c r="Q283" s="52">
        <f t="shared" si="55"/>
        <v>1</v>
      </c>
      <c r="R283" s="492">
        <f t="shared" si="56"/>
        <v>0</v>
      </c>
      <c r="S283" s="800">
        <f t="shared" si="47"/>
        <v>0</v>
      </c>
    </row>
    <row r="284" spans="1:19">
      <c r="A284" s="964"/>
      <c r="B284" s="136"/>
      <c r="C284" s="52">
        <f t="shared" si="48"/>
        <v>1</v>
      </c>
      <c r="D284" s="962"/>
      <c r="E284" s="52">
        <f t="shared" si="49"/>
        <v>1</v>
      </c>
      <c r="F284" s="962"/>
      <c r="G284" s="52">
        <f t="shared" si="50"/>
        <v>1</v>
      </c>
      <c r="H284" s="962"/>
      <c r="I284" s="52">
        <f t="shared" si="51"/>
        <v>1</v>
      </c>
      <c r="J284" s="962"/>
      <c r="K284" s="52">
        <f t="shared" si="52"/>
        <v>1</v>
      </c>
      <c r="L284" s="962"/>
      <c r="M284" s="52">
        <f t="shared" si="53"/>
        <v>1</v>
      </c>
      <c r="N284" s="962"/>
      <c r="O284" s="52">
        <f t="shared" si="54"/>
        <v>1</v>
      </c>
      <c r="P284" s="962"/>
      <c r="Q284" s="52">
        <f t="shared" si="55"/>
        <v>1</v>
      </c>
      <c r="R284" s="492">
        <f t="shared" si="56"/>
        <v>0</v>
      </c>
      <c r="S284" s="800">
        <f t="shared" si="47"/>
        <v>0</v>
      </c>
    </row>
    <row r="285" spans="1:19">
      <c r="A285" s="964"/>
      <c r="B285" s="136"/>
      <c r="C285" s="52">
        <f t="shared" si="48"/>
        <v>1</v>
      </c>
      <c r="D285" s="962"/>
      <c r="E285" s="52">
        <f t="shared" si="49"/>
        <v>1</v>
      </c>
      <c r="F285" s="962"/>
      <c r="G285" s="52">
        <f t="shared" si="50"/>
        <v>1</v>
      </c>
      <c r="H285" s="962"/>
      <c r="I285" s="52">
        <f t="shared" si="51"/>
        <v>1</v>
      </c>
      <c r="J285" s="962"/>
      <c r="K285" s="52">
        <f t="shared" si="52"/>
        <v>1</v>
      </c>
      <c r="L285" s="962"/>
      <c r="M285" s="52">
        <f t="shared" si="53"/>
        <v>1</v>
      </c>
      <c r="N285" s="962"/>
      <c r="O285" s="52">
        <f t="shared" si="54"/>
        <v>1</v>
      </c>
      <c r="P285" s="962"/>
      <c r="Q285" s="52">
        <f t="shared" si="55"/>
        <v>1</v>
      </c>
      <c r="R285" s="492">
        <f t="shared" si="56"/>
        <v>0</v>
      </c>
      <c r="S285" s="800">
        <f t="shared" si="47"/>
        <v>0</v>
      </c>
    </row>
    <row r="286" spans="1:19">
      <c r="A286" s="964"/>
      <c r="B286" s="136"/>
      <c r="C286" s="52">
        <f t="shared" si="48"/>
        <v>1</v>
      </c>
      <c r="D286" s="962"/>
      <c r="E286" s="52">
        <f t="shared" si="49"/>
        <v>1</v>
      </c>
      <c r="F286" s="962"/>
      <c r="G286" s="52">
        <f t="shared" si="50"/>
        <v>1</v>
      </c>
      <c r="H286" s="962"/>
      <c r="I286" s="52">
        <f t="shared" si="51"/>
        <v>1</v>
      </c>
      <c r="J286" s="962"/>
      <c r="K286" s="52">
        <f t="shared" si="52"/>
        <v>1</v>
      </c>
      <c r="L286" s="962"/>
      <c r="M286" s="52">
        <f t="shared" si="53"/>
        <v>1</v>
      </c>
      <c r="N286" s="962"/>
      <c r="O286" s="52">
        <f t="shared" si="54"/>
        <v>1</v>
      </c>
      <c r="P286" s="962"/>
      <c r="Q286" s="52">
        <f t="shared" si="55"/>
        <v>1</v>
      </c>
      <c r="R286" s="492">
        <f t="shared" si="56"/>
        <v>0</v>
      </c>
      <c r="S286" s="800">
        <f t="shared" si="47"/>
        <v>0</v>
      </c>
    </row>
    <row r="287" spans="1:19">
      <c r="A287" s="964"/>
      <c r="B287" s="136"/>
      <c r="C287" s="52">
        <f t="shared" si="48"/>
        <v>1</v>
      </c>
      <c r="D287" s="962"/>
      <c r="E287" s="52">
        <f t="shared" si="49"/>
        <v>1</v>
      </c>
      <c r="F287" s="962"/>
      <c r="G287" s="52">
        <f t="shared" si="50"/>
        <v>1</v>
      </c>
      <c r="H287" s="962"/>
      <c r="I287" s="52">
        <f t="shared" si="51"/>
        <v>1</v>
      </c>
      <c r="J287" s="962"/>
      <c r="K287" s="52">
        <f t="shared" si="52"/>
        <v>1</v>
      </c>
      <c r="L287" s="962"/>
      <c r="M287" s="52">
        <f t="shared" si="53"/>
        <v>1</v>
      </c>
      <c r="N287" s="962"/>
      <c r="O287" s="52">
        <f t="shared" si="54"/>
        <v>1</v>
      </c>
      <c r="P287" s="962"/>
      <c r="Q287" s="52">
        <f t="shared" si="55"/>
        <v>1</v>
      </c>
      <c r="R287" s="492">
        <f t="shared" si="56"/>
        <v>0</v>
      </c>
      <c r="S287" s="800">
        <f t="shared" ref="S287:S320" si="57">ROUND(R287*B287/10000,0)</f>
        <v>0</v>
      </c>
    </row>
    <row r="288" spans="1:19">
      <c r="A288" s="964"/>
      <c r="B288" s="136"/>
      <c r="C288" s="52">
        <f t="shared" si="48"/>
        <v>1</v>
      </c>
      <c r="D288" s="962"/>
      <c r="E288" s="52">
        <f t="shared" si="49"/>
        <v>1</v>
      </c>
      <c r="F288" s="962"/>
      <c r="G288" s="52">
        <f t="shared" si="50"/>
        <v>1</v>
      </c>
      <c r="H288" s="962"/>
      <c r="I288" s="52">
        <f t="shared" si="51"/>
        <v>1</v>
      </c>
      <c r="J288" s="962"/>
      <c r="K288" s="52">
        <f t="shared" si="52"/>
        <v>1</v>
      </c>
      <c r="L288" s="962"/>
      <c r="M288" s="52">
        <f t="shared" si="53"/>
        <v>1</v>
      </c>
      <c r="N288" s="962"/>
      <c r="O288" s="52">
        <f t="shared" si="54"/>
        <v>1</v>
      </c>
      <c r="P288" s="962"/>
      <c r="Q288" s="52">
        <f t="shared" si="55"/>
        <v>1</v>
      </c>
      <c r="R288" s="492">
        <f t="shared" si="56"/>
        <v>0</v>
      </c>
      <c r="S288" s="800">
        <f t="shared" si="57"/>
        <v>0</v>
      </c>
    </row>
    <row r="289" spans="1:19">
      <c r="A289" s="964"/>
      <c r="B289" s="136"/>
      <c r="C289" s="52">
        <f t="shared" si="48"/>
        <v>1</v>
      </c>
      <c r="D289" s="962"/>
      <c r="E289" s="52">
        <f t="shared" si="49"/>
        <v>1</v>
      </c>
      <c r="F289" s="962"/>
      <c r="G289" s="52">
        <f t="shared" si="50"/>
        <v>1</v>
      </c>
      <c r="H289" s="962"/>
      <c r="I289" s="52">
        <f t="shared" si="51"/>
        <v>1</v>
      </c>
      <c r="J289" s="962"/>
      <c r="K289" s="52">
        <f t="shared" si="52"/>
        <v>1</v>
      </c>
      <c r="L289" s="962"/>
      <c r="M289" s="52">
        <f t="shared" si="53"/>
        <v>1</v>
      </c>
      <c r="N289" s="962"/>
      <c r="O289" s="52">
        <f t="shared" si="54"/>
        <v>1</v>
      </c>
      <c r="P289" s="962"/>
      <c r="Q289" s="52">
        <f t="shared" si="55"/>
        <v>1</v>
      </c>
      <c r="R289" s="492">
        <f t="shared" si="56"/>
        <v>0</v>
      </c>
      <c r="S289" s="800">
        <f t="shared" si="57"/>
        <v>0</v>
      </c>
    </row>
    <row r="290" spans="1:19">
      <c r="A290" s="964"/>
      <c r="B290" s="136"/>
      <c r="C290" s="52">
        <f t="shared" si="48"/>
        <v>1</v>
      </c>
      <c r="D290" s="962"/>
      <c r="E290" s="52">
        <f t="shared" si="49"/>
        <v>1</v>
      </c>
      <c r="F290" s="962"/>
      <c r="G290" s="52">
        <f t="shared" si="50"/>
        <v>1</v>
      </c>
      <c r="H290" s="962"/>
      <c r="I290" s="52">
        <f t="shared" si="51"/>
        <v>1</v>
      </c>
      <c r="J290" s="962"/>
      <c r="K290" s="52">
        <f t="shared" si="52"/>
        <v>1</v>
      </c>
      <c r="L290" s="962"/>
      <c r="M290" s="52">
        <f t="shared" si="53"/>
        <v>1</v>
      </c>
      <c r="N290" s="962"/>
      <c r="O290" s="52">
        <f t="shared" si="54"/>
        <v>1</v>
      </c>
      <c r="P290" s="962"/>
      <c r="Q290" s="52">
        <f t="shared" si="55"/>
        <v>1</v>
      </c>
      <c r="R290" s="492">
        <f t="shared" si="56"/>
        <v>0</v>
      </c>
      <c r="S290" s="800">
        <f t="shared" si="57"/>
        <v>0</v>
      </c>
    </row>
    <row r="291" spans="1:19">
      <c r="A291" s="964"/>
      <c r="B291" s="136"/>
      <c r="C291" s="52">
        <f t="shared" si="48"/>
        <v>1</v>
      </c>
      <c r="D291" s="962"/>
      <c r="E291" s="52">
        <f t="shared" si="49"/>
        <v>1</v>
      </c>
      <c r="F291" s="962"/>
      <c r="G291" s="52">
        <f t="shared" si="50"/>
        <v>1</v>
      </c>
      <c r="H291" s="962"/>
      <c r="I291" s="52">
        <f t="shared" si="51"/>
        <v>1</v>
      </c>
      <c r="J291" s="962"/>
      <c r="K291" s="52">
        <f t="shared" si="52"/>
        <v>1</v>
      </c>
      <c r="L291" s="962"/>
      <c r="M291" s="52">
        <f t="shared" si="53"/>
        <v>1</v>
      </c>
      <c r="N291" s="962"/>
      <c r="O291" s="52">
        <f t="shared" si="54"/>
        <v>1</v>
      </c>
      <c r="P291" s="962"/>
      <c r="Q291" s="52">
        <f t="shared" si="55"/>
        <v>1</v>
      </c>
      <c r="R291" s="492">
        <f t="shared" si="56"/>
        <v>0</v>
      </c>
      <c r="S291" s="800">
        <f t="shared" si="57"/>
        <v>0</v>
      </c>
    </row>
    <row r="292" spans="1:19">
      <c r="A292" s="964"/>
      <c r="B292" s="136"/>
      <c r="C292" s="52">
        <f t="shared" si="48"/>
        <v>1</v>
      </c>
      <c r="D292" s="962"/>
      <c r="E292" s="52">
        <f t="shared" si="49"/>
        <v>1</v>
      </c>
      <c r="F292" s="962"/>
      <c r="G292" s="52">
        <f t="shared" si="50"/>
        <v>1</v>
      </c>
      <c r="H292" s="962"/>
      <c r="I292" s="52">
        <f t="shared" si="51"/>
        <v>1</v>
      </c>
      <c r="J292" s="962"/>
      <c r="K292" s="52">
        <f t="shared" si="52"/>
        <v>1</v>
      </c>
      <c r="L292" s="962"/>
      <c r="M292" s="52">
        <f t="shared" si="53"/>
        <v>1</v>
      </c>
      <c r="N292" s="962"/>
      <c r="O292" s="52">
        <f t="shared" si="54"/>
        <v>1</v>
      </c>
      <c r="P292" s="962"/>
      <c r="Q292" s="52">
        <f t="shared" si="55"/>
        <v>1</v>
      </c>
      <c r="R292" s="492">
        <f t="shared" si="56"/>
        <v>0</v>
      </c>
      <c r="S292" s="800">
        <f t="shared" si="57"/>
        <v>0</v>
      </c>
    </row>
    <row r="293" spans="1:19">
      <c r="A293" s="964"/>
      <c r="B293" s="136"/>
      <c r="C293" s="52">
        <f t="shared" si="48"/>
        <v>1</v>
      </c>
      <c r="D293" s="962"/>
      <c r="E293" s="52">
        <f t="shared" si="49"/>
        <v>1</v>
      </c>
      <c r="F293" s="962"/>
      <c r="G293" s="52">
        <f t="shared" si="50"/>
        <v>1</v>
      </c>
      <c r="H293" s="962"/>
      <c r="I293" s="52">
        <f t="shared" si="51"/>
        <v>1</v>
      </c>
      <c r="J293" s="962"/>
      <c r="K293" s="52">
        <f t="shared" si="52"/>
        <v>1</v>
      </c>
      <c r="L293" s="962"/>
      <c r="M293" s="52">
        <f t="shared" si="53"/>
        <v>1</v>
      </c>
      <c r="N293" s="962"/>
      <c r="O293" s="52">
        <f t="shared" si="54"/>
        <v>1</v>
      </c>
      <c r="P293" s="962"/>
      <c r="Q293" s="52">
        <f t="shared" si="55"/>
        <v>1</v>
      </c>
      <c r="R293" s="492">
        <f t="shared" si="56"/>
        <v>0</v>
      </c>
      <c r="S293" s="800">
        <f t="shared" si="57"/>
        <v>0</v>
      </c>
    </row>
    <row r="294" spans="1:19">
      <c r="A294" s="964"/>
      <c r="B294" s="136"/>
      <c r="C294" s="52">
        <f t="shared" si="48"/>
        <v>1</v>
      </c>
      <c r="D294" s="962"/>
      <c r="E294" s="52">
        <f t="shared" si="49"/>
        <v>1</v>
      </c>
      <c r="F294" s="962"/>
      <c r="G294" s="52">
        <f t="shared" si="50"/>
        <v>1</v>
      </c>
      <c r="H294" s="962"/>
      <c r="I294" s="52">
        <f t="shared" si="51"/>
        <v>1</v>
      </c>
      <c r="J294" s="962"/>
      <c r="K294" s="52">
        <f t="shared" si="52"/>
        <v>1</v>
      </c>
      <c r="L294" s="962"/>
      <c r="M294" s="52">
        <f t="shared" si="53"/>
        <v>1</v>
      </c>
      <c r="N294" s="962"/>
      <c r="O294" s="52">
        <f t="shared" si="54"/>
        <v>1</v>
      </c>
      <c r="P294" s="962"/>
      <c r="Q294" s="52">
        <f t="shared" si="55"/>
        <v>1</v>
      </c>
      <c r="R294" s="492">
        <f t="shared" si="56"/>
        <v>0</v>
      </c>
      <c r="S294" s="800">
        <f t="shared" si="57"/>
        <v>0</v>
      </c>
    </row>
    <row r="295" spans="1:19">
      <c r="A295" s="964"/>
      <c r="B295" s="136"/>
      <c r="C295" s="52">
        <f t="shared" si="48"/>
        <v>1</v>
      </c>
      <c r="D295" s="962"/>
      <c r="E295" s="52">
        <f t="shared" si="49"/>
        <v>1</v>
      </c>
      <c r="F295" s="962"/>
      <c r="G295" s="52">
        <f t="shared" si="50"/>
        <v>1</v>
      </c>
      <c r="H295" s="962"/>
      <c r="I295" s="52">
        <f t="shared" si="51"/>
        <v>1</v>
      </c>
      <c r="J295" s="962"/>
      <c r="K295" s="52">
        <f t="shared" si="52"/>
        <v>1</v>
      </c>
      <c r="L295" s="962"/>
      <c r="M295" s="52">
        <f t="shared" si="53"/>
        <v>1</v>
      </c>
      <c r="N295" s="962"/>
      <c r="O295" s="52">
        <f t="shared" si="54"/>
        <v>1</v>
      </c>
      <c r="P295" s="962"/>
      <c r="Q295" s="52">
        <f t="shared" si="55"/>
        <v>1</v>
      </c>
      <c r="R295" s="492">
        <f t="shared" si="56"/>
        <v>0</v>
      </c>
      <c r="S295" s="800">
        <f t="shared" si="57"/>
        <v>0</v>
      </c>
    </row>
    <row r="296" spans="1:19">
      <c r="A296" s="964"/>
      <c r="B296" s="136"/>
      <c r="C296" s="52">
        <f t="shared" si="48"/>
        <v>1</v>
      </c>
      <c r="D296" s="962"/>
      <c r="E296" s="52">
        <f t="shared" si="49"/>
        <v>1</v>
      </c>
      <c r="F296" s="962"/>
      <c r="G296" s="52">
        <f t="shared" si="50"/>
        <v>1</v>
      </c>
      <c r="H296" s="962"/>
      <c r="I296" s="52">
        <f t="shared" si="51"/>
        <v>1</v>
      </c>
      <c r="J296" s="962"/>
      <c r="K296" s="52">
        <f t="shared" si="52"/>
        <v>1</v>
      </c>
      <c r="L296" s="962"/>
      <c r="M296" s="52">
        <f t="shared" si="53"/>
        <v>1</v>
      </c>
      <c r="N296" s="962"/>
      <c r="O296" s="52">
        <f t="shared" si="54"/>
        <v>1</v>
      </c>
      <c r="P296" s="962"/>
      <c r="Q296" s="52">
        <f t="shared" si="55"/>
        <v>1</v>
      </c>
      <c r="R296" s="492">
        <f t="shared" si="56"/>
        <v>0</v>
      </c>
      <c r="S296" s="800">
        <f t="shared" si="57"/>
        <v>0</v>
      </c>
    </row>
    <row r="297" spans="1:19">
      <c r="A297" s="964"/>
      <c r="B297" s="136"/>
      <c r="C297" s="52">
        <f t="shared" si="48"/>
        <v>1</v>
      </c>
      <c r="D297" s="962"/>
      <c r="E297" s="52">
        <f t="shared" si="49"/>
        <v>1</v>
      </c>
      <c r="F297" s="962"/>
      <c r="G297" s="52">
        <f t="shared" si="50"/>
        <v>1</v>
      </c>
      <c r="H297" s="962"/>
      <c r="I297" s="52">
        <f t="shared" si="51"/>
        <v>1</v>
      </c>
      <c r="J297" s="962"/>
      <c r="K297" s="52">
        <f t="shared" si="52"/>
        <v>1</v>
      </c>
      <c r="L297" s="962"/>
      <c r="M297" s="52">
        <f t="shared" si="53"/>
        <v>1</v>
      </c>
      <c r="N297" s="962"/>
      <c r="O297" s="52">
        <f t="shared" si="54"/>
        <v>1</v>
      </c>
      <c r="P297" s="962"/>
      <c r="Q297" s="52">
        <f t="shared" si="55"/>
        <v>1</v>
      </c>
      <c r="R297" s="492">
        <f t="shared" si="56"/>
        <v>0</v>
      </c>
      <c r="S297" s="800">
        <f t="shared" si="57"/>
        <v>0</v>
      </c>
    </row>
    <row r="298" spans="1:19">
      <c r="A298" s="964"/>
      <c r="B298" s="136"/>
      <c r="C298" s="52">
        <f t="shared" si="48"/>
        <v>1</v>
      </c>
      <c r="D298" s="962"/>
      <c r="E298" s="52">
        <f t="shared" si="49"/>
        <v>1</v>
      </c>
      <c r="F298" s="962"/>
      <c r="G298" s="52">
        <f t="shared" si="50"/>
        <v>1</v>
      </c>
      <c r="H298" s="962"/>
      <c r="I298" s="52">
        <f t="shared" si="51"/>
        <v>1</v>
      </c>
      <c r="J298" s="962"/>
      <c r="K298" s="52">
        <f t="shared" si="52"/>
        <v>1</v>
      </c>
      <c r="L298" s="962"/>
      <c r="M298" s="52">
        <f t="shared" si="53"/>
        <v>1</v>
      </c>
      <c r="N298" s="962"/>
      <c r="O298" s="52">
        <f t="shared" si="54"/>
        <v>1</v>
      </c>
      <c r="P298" s="962"/>
      <c r="Q298" s="52">
        <f t="shared" si="55"/>
        <v>1</v>
      </c>
      <c r="R298" s="492">
        <f t="shared" si="56"/>
        <v>0</v>
      </c>
      <c r="S298" s="800">
        <f t="shared" si="57"/>
        <v>0</v>
      </c>
    </row>
    <row r="299" spans="1:19">
      <c r="A299" s="964"/>
      <c r="B299" s="136"/>
      <c r="C299" s="52">
        <f t="shared" si="48"/>
        <v>1</v>
      </c>
      <c r="D299" s="962"/>
      <c r="E299" s="52">
        <f t="shared" si="49"/>
        <v>1</v>
      </c>
      <c r="F299" s="962"/>
      <c r="G299" s="52">
        <f t="shared" si="50"/>
        <v>1</v>
      </c>
      <c r="H299" s="962"/>
      <c r="I299" s="52">
        <f t="shared" si="51"/>
        <v>1</v>
      </c>
      <c r="J299" s="962"/>
      <c r="K299" s="52">
        <f t="shared" si="52"/>
        <v>1</v>
      </c>
      <c r="L299" s="962"/>
      <c r="M299" s="52">
        <f t="shared" si="53"/>
        <v>1</v>
      </c>
      <c r="N299" s="962"/>
      <c r="O299" s="52">
        <f t="shared" si="54"/>
        <v>1</v>
      </c>
      <c r="P299" s="962"/>
      <c r="Q299" s="52">
        <f t="shared" si="55"/>
        <v>1</v>
      </c>
      <c r="R299" s="492">
        <f t="shared" si="56"/>
        <v>0</v>
      </c>
      <c r="S299" s="800">
        <f t="shared" si="57"/>
        <v>0</v>
      </c>
    </row>
    <row r="300" spans="1:19">
      <c r="A300" s="964"/>
      <c r="B300" s="136"/>
      <c r="C300" s="52">
        <f t="shared" si="48"/>
        <v>1</v>
      </c>
      <c r="D300" s="962"/>
      <c r="E300" s="52">
        <f t="shared" si="49"/>
        <v>1</v>
      </c>
      <c r="F300" s="962"/>
      <c r="G300" s="52">
        <f t="shared" si="50"/>
        <v>1</v>
      </c>
      <c r="H300" s="962"/>
      <c r="I300" s="52">
        <f t="shared" si="51"/>
        <v>1</v>
      </c>
      <c r="J300" s="962"/>
      <c r="K300" s="52">
        <f t="shared" si="52"/>
        <v>1</v>
      </c>
      <c r="L300" s="962"/>
      <c r="M300" s="52">
        <f t="shared" si="53"/>
        <v>1</v>
      </c>
      <c r="N300" s="962"/>
      <c r="O300" s="52">
        <f t="shared" si="54"/>
        <v>1</v>
      </c>
      <c r="P300" s="962"/>
      <c r="Q300" s="52">
        <f t="shared" si="55"/>
        <v>1</v>
      </c>
      <c r="R300" s="492">
        <f t="shared" si="56"/>
        <v>0</v>
      </c>
      <c r="S300" s="800">
        <f t="shared" si="57"/>
        <v>0</v>
      </c>
    </row>
    <row r="301" spans="1:19">
      <c r="A301" s="964"/>
      <c r="B301" s="136"/>
      <c r="C301" s="52">
        <f t="shared" si="48"/>
        <v>1</v>
      </c>
      <c r="D301" s="962"/>
      <c r="E301" s="52">
        <f t="shared" si="49"/>
        <v>1</v>
      </c>
      <c r="F301" s="962"/>
      <c r="G301" s="52">
        <f t="shared" si="50"/>
        <v>1</v>
      </c>
      <c r="H301" s="962"/>
      <c r="I301" s="52">
        <f t="shared" si="51"/>
        <v>1</v>
      </c>
      <c r="J301" s="962"/>
      <c r="K301" s="52">
        <f t="shared" si="52"/>
        <v>1</v>
      </c>
      <c r="L301" s="962"/>
      <c r="M301" s="52">
        <f t="shared" si="53"/>
        <v>1</v>
      </c>
      <c r="N301" s="962"/>
      <c r="O301" s="52">
        <f t="shared" si="54"/>
        <v>1</v>
      </c>
      <c r="P301" s="962"/>
      <c r="Q301" s="52">
        <f t="shared" si="55"/>
        <v>1</v>
      </c>
      <c r="R301" s="492">
        <f t="shared" si="56"/>
        <v>0</v>
      </c>
      <c r="S301" s="800">
        <f t="shared" si="57"/>
        <v>0</v>
      </c>
    </row>
    <row r="302" spans="1:19">
      <c r="A302" s="964"/>
      <c r="B302" s="136"/>
      <c r="C302" s="52">
        <f t="shared" si="48"/>
        <v>1</v>
      </c>
      <c r="D302" s="962"/>
      <c r="E302" s="52">
        <f t="shared" si="49"/>
        <v>1</v>
      </c>
      <c r="F302" s="962"/>
      <c r="G302" s="52">
        <f t="shared" si="50"/>
        <v>1</v>
      </c>
      <c r="H302" s="962"/>
      <c r="I302" s="52">
        <f t="shared" si="51"/>
        <v>1</v>
      </c>
      <c r="J302" s="962"/>
      <c r="K302" s="52">
        <f t="shared" si="52"/>
        <v>1</v>
      </c>
      <c r="L302" s="962"/>
      <c r="M302" s="52">
        <f t="shared" si="53"/>
        <v>1</v>
      </c>
      <c r="N302" s="962"/>
      <c r="O302" s="52">
        <f t="shared" si="54"/>
        <v>1</v>
      </c>
      <c r="P302" s="962"/>
      <c r="Q302" s="52">
        <f t="shared" si="55"/>
        <v>1</v>
      </c>
      <c r="R302" s="492">
        <f t="shared" si="56"/>
        <v>0</v>
      </c>
      <c r="S302" s="800">
        <f t="shared" si="57"/>
        <v>0</v>
      </c>
    </row>
    <row r="303" spans="1:19">
      <c r="A303" s="964"/>
      <c r="B303" s="136"/>
      <c r="C303" s="52">
        <f t="shared" si="48"/>
        <v>1</v>
      </c>
      <c r="D303" s="962"/>
      <c r="E303" s="52">
        <f t="shared" si="49"/>
        <v>1</v>
      </c>
      <c r="F303" s="962"/>
      <c r="G303" s="52">
        <f t="shared" si="50"/>
        <v>1</v>
      </c>
      <c r="H303" s="962"/>
      <c r="I303" s="52">
        <f t="shared" si="51"/>
        <v>1</v>
      </c>
      <c r="J303" s="962"/>
      <c r="K303" s="52">
        <f t="shared" si="52"/>
        <v>1</v>
      </c>
      <c r="L303" s="962"/>
      <c r="M303" s="52">
        <f t="shared" si="53"/>
        <v>1</v>
      </c>
      <c r="N303" s="962"/>
      <c r="O303" s="52">
        <f t="shared" si="54"/>
        <v>1</v>
      </c>
      <c r="P303" s="962"/>
      <c r="Q303" s="52">
        <f t="shared" si="55"/>
        <v>1</v>
      </c>
      <c r="R303" s="492">
        <f t="shared" si="56"/>
        <v>0</v>
      </c>
      <c r="S303" s="800">
        <f t="shared" si="57"/>
        <v>0</v>
      </c>
    </row>
    <row r="304" spans="1:19">
      <c r="A304" s="964"/>
      <c r="B304" s="136"/>
      <c r="C304" s="52">
        <f t="shared" si="48"/>
        <v>1</v>
      </c>
      <c r="D304" s="962"/>
      <c r="E304" s="52">
        <f t="shared" si="49"/>
        <v>1</v>
      </c>
      <c r="F304" s="962"/>
      <c r="G304" s="52">
        <f t="shared" si="50"/>
        <v>1</v>
      </c>
      <c r="H304" s="962"/>
      <c r="I304" s="52">
        <f t="shared" si="51"/>
        <v>1</v>
      </c>
      <c r="J304" s="962"/>
      <c r="K304" s="52">
        <f t="shared" si="52"/>
        <v>1</v>
      </c>
      <c r="L304" s="962"/>
      <c r="M304" s="52">
        <f t="shared" si="53"/>
        <v>1</v>
      </c>
      <c r="N304" s="962"/>
      <c r="O304" s="52">
        <f t="shared" si="54"/>
        <v>1</v>
      </c>
      <c r="P304" s="962"/>
      <c r="Q304" s="52">
        <f t="shared" si="55"/>
        <v>1</v>
      </c>
      <c r="R304" s="492">
        <f t="shared" si="56"/>
        <v>0</v>
      </c>
      <c r="S304" s="800">
        <f t="shared" si="57"/>
        <v>0</v>
      </c>
    </row>
    <row r="305" spans="1:19">
      <c r="A305" s="964"/>
      <c r="B305" s="136"/>
      <c r="C305" s="52">
        <f t="shared" si="48"/>
        <v>1</v>
      </c>
      <c r="D305" s="962"/>
      <c r="E305" s="52">
        <f t="shared" si="49"/>
        <v>1</v>
      </c>
      <c r="F305" s="962"/>
      <c r="G305" s="52">
        <f t="shared" si="50"/>
        <v>1</v>
      </c>
      <c r="H305" s="962"/>
      <c r="I305" s="52">
        <f t="shared" si="51"/>
        <v>1</v>
      </c>
      <c r="J305" s="962"/>
      <c r="K305" s="52">
        <f t="shared" si="52"/>
        <v>1</v>
      </c>
      <c r="L305" s="962"/>
      <c r="M305" s="52">
        <f t="shared" si="53"/>
        <v>1</v>
      </c>
      <c r="N305" s="962"/>
      <c r="O305" s="52">
        <f t="shared" si="54"/>
        <v>1</v>
      </c>
      <c r="P305" s="962"/>
      <c r="Q305" s="52">
        <f t="shared" si="55"/>
        <v>1</v>
      </c>
      <c r="R305" s="492">
        <f t="shared" si="56"/>
        <v>0</v>
      </c>
      <c r="S305" s="800">
        <f t="shared" si="57"/>
        <v>0</v>
      </c>
    </row>
    <row r="306" spans="1:19">
      <c r="A306" s="964"/>
      <c r="B306" s="136"/>
      <c r="C306" s="52">
        <f t="shared" si="48"/>
        <v>1</v>
      </c>
      <c r="D306" s="962"/>
      <c r="E306" s="52">
        <f t="shared" si="49"/>
        <v>1</v>
      </c>
      <c r="F306" s="962"/>
      <c r="G306" s="52">
        <f t="shared" si="50"/>
        <v>1</v>
      </c>
      <c r="H306" s="962"/>
      <c r="I306" s="52">
        <f t="shared" si="51"/>
        <v>1</v>
      </c>
      <c r="J306" s="962"/>
      <c r="K306" s="52">
        <f t="shared" si="52"/>
        <v>1</v>
      </c>
      <c r="L306" s="962"/>
      <c r="M306" s="52">
        <f t="shared" si="53"/>
        <v>1</v>
      </c>
      <c r="N306" s="962"/>
      <c r="O306" s="52">
        <f t="shared" si="54"/>
        <v>1</v>
      </c>
      <c r="P306" s="962"/>
      <c r="Q306" s="52">
        <f t="shared" si="55"/>
        <v>1</v>
      </c>
      <c r="R306" s="492">
        <f t="shared" si="56"/>
        <v>0</v>
      </c>
      <c r="S306" s="800">
        <f t="shared" si="57"/>
        <v>0</v>
      </c>
    </row>
    <row r="307" spans="1:19">
      <c r="A307" s="964"/>
      <c r="B307" s="136"/>
      <c r="C307" s="52">
        <f t="shared" si="48"/>
        <v>1</v>
      </c>
      <c r="D307" s="962"/>
      <c r="E307" s="52">
        <f t="shared" si="49"/>
        <v>1</v>
      </c>
      <c r="F307" s="962"/>
      <c r="G307" s="52">
        <f t="shared" si="50"/>
        <v>1</v>
      </c>
      <c r="H307" s="962"/>
      <c r="I307" s="52">
        <f t="shared" si="51"/>
        <v>1</v>
      </c>
      <c r="J307" s="962"/>
      <c r="K307" s="52">
        <f t="shared" si="52"/>
        <v>1</v>
      </c>
      <c r="L307" s="962"/>
      <c r="M307" s="52">
        <f t="shared" si="53"/>
        <v>1</v>
      </c>
      <c r="N307" s="962"/>
      <c r="O307" s="52">
        <f t="shared" si="54"/>
        <v>1</v>
      </c>
      <c r="P307" s="962"/>
      <c r="Q307" s="52">
        <f t="shared" si="55"/>
        <v>1</v>
      </c>
      <c r="R307" s="492">
        <f t="shared" si="56"/>
        <v>0</v>
      </c>
      <c r="S307" s="800">
        <f t="shared" si="57"/>
        <v>0</v>
      </c>
    </row>
    <row r="308" spans="1:19">
      <c r="A308" s="964"/>
      <c r="B308" s="136"/>
      <c r="C308" s="52">
        <f t="shared" si="48"/>
        <v>1</v>
      </c>
      <c r="D308" s="962"/>
      <c r="E308" s="52">
        <f t="shared" si="49"/>
        <v>1</v>
      </c>
      <c r="F308" s="962"/>
      <c r="G308" s="52">
        <f t="shared" si="50"/>
        <v>1</v>
      </c>
      <c r="H308" s="962"/>
      <c r="I308" s="52">
        <f t="shared" si="51"/>
        <v>1</v>
      </c>
      <c r="J308" s="962"/>
      <c r="K308" s="52">
        <f t="shared" si="52"/>
        <v>1</v>
      </c>
      <c r="L308" s="962"/>
      <c r="M308" s="52">
        <f t="shared" si="53"/>
        <v>1</v>
      </c>
      <c r="N308" s="962"/>
      <c r="O308" s="52">
        <f t="shared" si="54"/>
        <v>1</v>
      </c>
      <c r="P308" s="962"/>
      <c r="Q308" s="52">
        <f t="shared" si="55"/>
        <v>1</v>
      </c>
      <c r="R308" s="492">
        <f t="shared" si="56"/>
        <v>0</v>
      </c>
      <c r="S308" s="800">
        <f t="shared" si="57"/>
        <v>0</v>
      </c>
    </row>
    <row r="309" spans="1:19">
      <c r="A309" s="964"/>
      <c r="B309" s="136"/>
      <c r="C309" s="52">
        <f t="shared" si="48"/>
        <v>1</v>
      </c>
      <c r="D309" s="962"/>
      <c r="E309" s="52">
        <f t="shared" si="49"/>
        <v>1</v>
      </c>
      <c r="F309" s="962"/>
      <c r="G309" s="52">
        <f t="shared" si="50"/>
        <v>1</v>
      </c>
      <c r="H309" s="962"/>
      <c r="I309" s="52">
        <f t="shared" si="51"/>
        <v>1</v>
      </c>
      <c r="J309" s="962"/>
      <c r="K309" s="52">
        <f t="shared" si="52"/>
        <v>1</v>
      </c>
      <c r="L309" s="962"/>
      <c r="M309" s="52">
        <f t="shared" si="53"/>
        <v>1</v>
      </c>
      <c r="N309" s="962"/>
      <c r="O309" s="52">
        <f t="shared" si="54"/>
        <v>1</v>
      </c>
      <c r="P309" s="962"/>
      <c r="Q309" s="52">
        <f t="shared" si="55"/>
        <v>1</v>
      </c>
      <c r="R309" s="492">
        <f t="shared" si="56"/>
        <v>0</v>
      </c>
      <c r="S309" s="800">
        <f t="shared" si="57"/>
        <v>0</v>
      </c>
    </row>
    <row r="310" spans="1:19">
      <c r="A310" s="964"/>
      <c r="B310" s="136"/>
      <c r="C310" s="52">
        <f t="shared" si="48"/>
        <v>1</v>
      </c>
      <c r="D310" s="962"/>
      <c r="E310" s="52">
        <f t="shared" si="49"/>
        <v>1</v>
      </c>
      <c r="F310" s="962"/>
      <c r="G310" s="52">
        <f t="shared" si="50"/>
        <v>1</v>
      </c>
      <c r="H310" s="962"/>
      <c r="I310" s="52">
        <f t="shared" si="51"/>
        <v>1</v>
      </c>
      <c r="J310" s="962"/>
      <c r="K310" s="52">
        <f t="shared" si="52"/>
        <v>1</v>
      </c>
      <c r="L310" s="962"/>
      <c r="M310" s="52">
        <f t="shared" si="53"/>
        <v>1</v>
      </c>
      <c r="N310" s="962"/>
      <c r="O310" s="52">
        <f t="shared" si="54"/>
        <v>1</v>
      </c>
      <c r="P310" s="962"/>
      <c r="Q310" s="52">
        <f t="shared" si="55"/>
        <v>1</v>
      </c>
      <c r="R310" s="492">
        <f t="shared" si="56"/>
        <v>0</v>
      </c>
      <c r="S310" s="800">
        <f t="shared" si="57"/>
        <v>0</v>
      </c>
    </row>
    <row r="311" spans="1:19">
      <c r="A311" s="964"/>
      <c r="B311" s="136"/>
      <c r="C311" s="52">
        <f t="shared" si="48"/>
        <v>1</v>
      </c>
      <c r="D311" s="962"/>
      <c r="E311" s="52">
        <f t="shared" si="49"/>
        <v>1</v>
      </c>
      <c r="F311" s="962"/>
      <c r="G311" s="52">
        <f t="shared" si="50"/>
        <v>1</v>
      </c>
      <c r="H311" s="962"/>
      <c r="I311" s="52">
        <f t="shared" si="51"/>
        <v>1</v>
      </c>
      <c r="J311" s="962"/>
      <c r="K311" s="52">
        <f t="shared" si="52"/>
        <v>1</v>
      </c>
      <c r="L311" s="962"/>
      <c r="M311" s="52">
        <f t="shared" si="53"/>
        <v>1</v>
      </c>
      <c r="N311" s="962"/>
      <c r="O311" s="52">
        <f t="shared" si="54"/>
        <v>1</v>
      </c>
      <c r="P311" s="962"/>
      <c r="Q311" s="52">
        <f t="shared" si="55"/>
        <v>1</v>
      </c>
      <c r="R311" s="492">
        <f t="shared" si="56"/>
        <v>0</v>
      </c>
      <c r="S311" s="800">
        <f t="shared" si="57"/>
        <v>0</v>
      </c>
    </row>
    <row r="312" spans="1:19">
      <c r="A312" s="964"/>
      <c r="B312" s="136"/>
      <c r="C312" s="52">
        <f t="shared" si="48"/>
        <v>1</v>
      </c>
      <c r="D312" s="962"/>
      <c r="E312" s="52">
        <f t="shared" si="49"/>
        <v>1</v>
      </c>
      <c r="F312" s="962"/>
      <c r="G312" s="52">
        <f t="shared" si="50"/>
        <v>1</v>
      </c>
      <c r="H312" s="962"/>
      <c r="I312" s="52">
        <f t="shared" si="51"/>
        <v>1</v>
      </c>
      <c r="J312" s="962"/>
      <c r="K312" s="52">
        <f t="shared" si="52"/>
        <v>1</v>
      </c>
      <c r="L312" s="962"/>
      <c r="M312" s="52">
        <f t="shared" si="53"/>
        <v>1</v>
      </c>
      <c r="N312" s="962"/>
      <c r="O312" s="52">
        <f t="shared" si="54"/>
        <v>1</v>
      </c>
      <c r="P312" s="962"/>
      <c r="Q312" s="52">
        <f t="shared" si="55"/>
        <v>1</v>
      </c>
      <c r="R312" s="492">
        <f t="shared" si="56"/>
        <v>0</v>
      </c>
      <c r="S312" s="800">
        <f t="shared" si="57"/>
        <v>0</v>
      </c>
    </row>
    <row r="313" spans="1:19">
      <c r="A313" s="964"/>
      <c r="B313" s="136"/>
      <c r="C313" s="52">
        <f t="shared" si="48"/>
        <v>1</v>
      </c>
      <c r="D313" s="962"/>
      <c r="E313" s="52">
        <f t="shared" si="49"/>
        <v>1</v>
      </c>
      <c r="F313" s="962"/>
      <c r="G313" s="52">
        <f t="shared" si="50"/>
        <v>1</v>
      </c>
      <c r="H313" s="962"/>
      <c r="I313" s="52">
        <f t="shared" si="51"/>
        <v>1</v>
      </c>
      <c r="J313" s="962"/>
      <c r="K313" s="52">
        <f t="shared" si="52"/>
        <v>1</v>
      </c>
      <c r="L313" s="962"/>
      <c r="M313" s="52">
        <f t="shared" si="53"/>
        <v>1</v>
      </c>
      <c r="N313" s="962"/>
      <c r="O313" s="52">
        <f t="shared" si="54"/>
        <v>1</v>
      </c>
      <c r="P313" s="962"/>
      <c r="Q313" s="52">
        <f t="shared" si="55"/>
        <v>1</v>
      </c>
      <c r="R313" s="492">
        <f t="shared" si="56"/>
        <v>0</v>
      </c>
      <c r="S313" s="800">
        <f t="shared" si="57"/>
        <v>0</v>
      </c>
    </row>
    <row r="314" spans="1:19">
      <c r="A314" s="964"/>
      <c r="B314" s="136"/>
      <c r="C314" s="52">
        <f t="shared" si="48"/>
        <v>1</v>
      </c>
      <c r="D314" s="962"/>
      <c r="E314" s="52">
        <f t="shared" si="49"/>
        <v>1</v>
      </c>
      <c r="F314" s="962"/>
      <c r="G314" s="52">
        <f t="shared" si="50"/>
        <v>1</v>
      </c>
      <c r="H314" s="962"/>
      <c r="I314" s="52">
        <f t="shared" si="51"/>
        <v>1</v>
      </c>
      <c r="J314" s="962"/>
      <c r="K314" s="52">
        <f t="shared" si="52"/>
        <v>1</v>
      </c>
      <c r="L314" s="962"/>
      <c r="M314" s="52">
        <f t="shared" si="53"/>
        <v>1</v>
      </c>
      <c r="N314" s="962"/>
      <c r="O314" s="52">
        <f t="shared" si="54"/>
        <v>1</v>
      </c>
      <c r="P314" s="962"/>
      <c r="Q314" s="52">
        <f t="shared" si="55"/>
        <v>1</v>
      </c>
      <c r="R314" s="492">
        <f t="shared" si="56"/>
        <v>0</v>
      </c>
      <c r="S314" s="800">
        <f t="shared" si="57"/>
        <v>0</v>
      </c>
    </row>
    <row r="315" spans="1:19">
      <c r="A315" s="964"/>
      <c r="B315" s="136"/>
      <c r="C315" s="52">
        <f t="shared" si="48"/>
        <v>1</v>
      </c>
      <c r="D315" s="962"/>
      <c r="E315" s="52">
        <f t="shared" si="49"/>
        <v>1</v>
      </c>
      <c r="F315" s="962"/>
      <c r="G315" s="52">
        <f t="shared" si="50"/>
        <v>1</v>
      </c>
      <c r="H315" s="962"/>
      <c r="I315" s="52">
        <f t="shared" si="51"/>
        <v>1</v>
      </c>
      <c r="J315" s="962"/>
      <c r="K315" s="52">
        <f t="shared" si="52"/>
        <v>1</v>
      </c>
      <c r="L315" s="962"/>
      <c r="M315" s="52">
        <f t="shared" si="53"/>
        <v>1</v>
      </c>
      <c r="N315" s="962"/>
      <c r="O315" s="52">
        <f t="shared" si="54"/>
        <v>1</v>
      </c>
      <c r="P315" s="962"/>
      <c r="Q315" s="52">
        <f t="shared" si="55"/>
        <v>1</v>
      </c>
      <c r="R315" s="492">
        <f t="shared" si="56"/>
        <v>0</v>
      </c>
      <c r="S315" s="800">
        <f t="shared" si="57"/>
        <v>0</v>
      </c>
    </row>
    <row r="316" spans="1:19">
      <c r="A316" s="964"/>
      <c r="B316" s="136"/>
      <c r="C316" s="52">
        <f t="shared" si="48"/>
        <v>1</v>
      </c>
      <c r="D316" s="962"/>
      <c r="E316" s="52">
        <f t="shared" si="49"/>
        <v>1</v>
      </c>
      <c r="F316" s="962"/>
      <c r="G316" s="52">
        <f t="shared" si="50"/>
        <v>1</v>
      </c>
      <c r="H316" s="962"/>
      <c r="I316" s="52">
        <f t="shared" si="51"/>
        <v>1</v>
      </c>
      <c r="J316" s="962"/>
      <c r="K316" s="52">
        <f t="shared" si="52"/>
        <v>1</v>
      </c>
      <c r="L316" s="962"/>
      <c r="M316" s="52">
        <f t="shared" si="53"/>
        <v>1</v>
      </c>
      <c r="N316" s="962"/>
      <c r="O316" s="52">
        <f t="shared" si="54"/>
        <v>1</v>
      </c>
      <c r="P316" s="962"/>
      <c r="Q316" s="52">
        <f t="shared" si="55"/>
        <v>1</v>
      </c>
      <c r="R316" s="492">
        <f t="shared" si="56"/>
        <v>0</v>
      </c>
      <c r="S316" s="800">
        <f t="shared" si="57"/>
        <v>0</v>
      </c>
    </row>
    <row r="317" spans="1:19">
      <c r="A317" s="964"/>
      <c r="B317" s="136"/>
      <c r="C317" s="52">
        <f t="shared" si="48"/>
        <v>1</v>
      </c>
      <c r="D317" s="962"/>
      <c r="E317" s="52">
        <f t="shared" si="49"/>
        <v>1</v>
      </c>
      <c r="F317" s="962"/>
      <c r="G317" s="52">
        <f t="shared" si="50"/>
        <v>1</v>
      </c>
      <c r="H317" s="962"/>
      <c r="I317" s="52">
        <f t="shared" si="51"/>
        <v>1</v>
      </c>
      <c r="J317" s="962"/>
      <c r="K317" s="52">
        <f t="shared" si="52"/>
        <v>1</v>
      </c>
      <c r="L317" s="962"/>
      <c r="M317" s="52">
        <f t="shared" si="53"/>
        <v>1</v>
      </c>
      <c r="N317" s="962"/>
      <c r="O317" s="52">
        <f t="shared" si="54"/>
        <v>1</v>
      </c>
      <c r="P317" s="962"/>
      <c r="Q317" s="52">
        <f t="shared" si="55"/>
        <v>1</v>
      </c>
      <c r="R317" s="492">
        <f t="shared" si="56"/>
        <v>0</v>
      </c>
      <c r="S317" s="800">
        <f t="shared" si="57"/>
        <v>0</v>
      </c>
    </row>
    <row r="318" spans="1:19">
      <c r="A318" s="964"/>
      <c r="B318" s="136"/>
      <c r="C318" s="52">
        <f t="shared" si="48"/>
        <v>1</v>
      </c>
      <c r="D318" s="962"/>
      <c r="E318" s="52">
        <f t="shared" si="49"/>
        <v>1</v>
      </c>
      <c r="F318" s="962"/>
      <c r="G318" s="52">
        <f t="shared" si="50"/>
        <v>1</v>
      </c>
      <c r="H318" s="962"/>
      <c r="I318" s="52">
        <f t="shared" si="51"/>
        <v>1</v>
      </c>
      <c r="J318" s="962"/>
      <c r="K318" s="52">
        <f t="shared" si="52"/>
        <v>1</v>
      </c>
      <c r="L318" s="962"/>
      <c r="M318" s="52">
        <f t="shared" si="53"/>
        <v>1</v>
      </c>
      <c r="N318" s="962"/>
      <c r="O318" s="52">
        <f t="shared" si="54"/>
        <v>1</v>
      </c>
      <c r="P318" s="962"/>
      <c r="Q318" s="52">
        <f t="shared" si="55"/>
        <v>1</v>
      </c>
      <c r="R318" s="492">
        <f t="shared" si="56"/>
        <v>0</v>
      </c>
      <c r="S318" s="800">
        <f t="shared" si="57"/>
        <v>0</v>
      </c>
    </row>
    <row r="319" spans="1:19">
      <c r="A319" s="964"/>
      <c r="B319" s="136"/>
      <c r="C319" s="52">
        <f t="shared" si="48"/>
        <v>1</v>
      </c>
      <c r="D319" s="962"/>
      <c r="E319" s="52">
        <f t="shared" si="49"/>
        <v>1</v>
      </c>
      <c r="F319" s="962"/>
      <c r="G319" s="52">
        <f t="shared" si="50"/>
        <v>1</v>
      </c>
      <c r="H319" s="962"/>
      <c r="I319" s="52">
        <f t="shared" si="51"/>
        <v>1</v>
      </c>
      <c r="J319" s="962"/>
      <c r="K319" s="52">
        <f t="shared" si="52"/>
        <v>1</v>
      </c>
      <c r="L319" s="962"/>
      <c r="M319" s="52">
        <f t="shared" si="53"/>
        <v>1</v>
      </c>
      <c r="N319" s="962"/>
      <c r="O319" s="52">
        <f t="shared" si="54"/>
        <v>1</v>
      </c>
      <c r="P319" s="962"/>
      <c r="Q319" s="52">
        <f t="shared" si="55"/>
        <v>1</v>
      </c>
      <c r="R319" s="492">
        <f t="shared" si="56"/>
        <v>0</v>
      </c>
      <c r="S319" s="800">
        <f t="shared" si="57"/>
        <v>0</v>
      </c>
    </row>
    <row r="320" spans="1:19">
      <c r="A320" s="964"/>
      <c r="B320" s="136"/>
      <c r="C320" s="52">
        <f t="shared" si="48"/>
        <v>1</v>
      </c>
      <c r="D320" s="962"/>
      <c r="E320" s="52">
        <f t="shared" si="49"/>
        <v>1</v>
      </c>
      <c r="F320" s="962"/>
      <c r="G320" s="52">
        <f t="shared" si="50"/>
        <v>1</v>
      </c>
      <c r="H320" s="962"/>
      <c r="I320" s="52">
        <f t="shared" si="51"/>
        <v>1</v>
      </c>
      <c r="J320" s="962"/>
      <c r="K320" s="52">
        <f t="shared" si="52"/>
        <v>1</v>
      </c>
      <c r="L320" s="962"/>
      <c r="M320" s="52">
        <f t="shared" si="53"/>
        <v>1</v>
      </c>
      <c r="N320" s="962"/>
      <c r="O320" s="52">
        <f t="shared" si="54"/>
        <v>1</v>
      </c>
      <c r="P320" s="962"/>
      <c r="Q320" s="52">
        <f t="shared" si="55"/>
        <v>1</v>
      </c>
      <c r="R320" s="492">
        <f t="shared" si="56"/>
        <v>0</v>
      </c>
      <c r="S320" s="800">
        <f t="shared" si="57"/>
        <v>0</v>
      </c>
    </row>
    <row r="321" spans="1:19">
      <c r="A321" s="964"/>
      <c r="B321" s="136"/>
      <c r="C321" s="52">
        <f t="shared" si="48"/>
        <v>1</v>
      </c>
      <c r="D321" s="962"/>
      <c r="E321" s="52">
        <f t="shared" si="49"/>
        <v>1</v>
      </c>
      <c r="F321" s="962"/>
      <c r="G321" s="52">
        <f t="shared" si="50"/>
        <v>1</v>
      </c>
      <c r="H321" s="962"/>
      <c r="I321" s="52">
        <f t="shared" si="51"/>
        <v>1</v>
      </c>
      <c r="J321" s="962"/>
      <c r="K321" s="52">
        <f t="shared" si="52"/>
        <v>1</v>
      </c>
      <c r="L321" s="962"/>
      <c r="M321" s="52">
        <f t="shared" si="53"/>
        <v>1</v>
      </c>
      <c r="N321" s="962"/>
      <c r="O321" s="52">
        <f t="shared" si="54"/>
        <v>1</v>
      </c>
      <c r="P321" s="962"/>
      <c r="Q321" s="52">
        <f t="shared" si="55"/>
        <v>1</v>
      </c>
      <c r="R321" s="492">
        <f t="shared" si="56"/>
        <v>0</v>
      </c>
      <c r="S321" s="800">
        <f t="shared" ref="S321:S384" si="58">ROUND(R321*B321/10000,0)</f>
        <v>0</v>
      </c>
    </row>
    <row r="322" spans="1:19">
      <c r="A322" s="964"/>
      <c r="B322" s="136"/>
      <c r="C322" s="52">
        <f t="shared" si="48"/>
        <v>1</v>
      </c>
      <c r="D322" s="962"/>
      <c r="E322" s="52">
        <f t="shared" si="49"/>
        <v>1</v>
      </c>
      <c r="F322" s="962"/>
      <c r="G322" s="52">
        <f t="shared" si="50"/>
        <v>1</v>
      </c>
      <c r="H322" s="962"/>
      <c r="I322" s="52">
        <f t="shared" si="51"/>
        <v>1</v>
      </c>
      <c r="J322" s="962"/>
      <c r="K322" s="52">
        <f t="shared" si="52"/>
        <v>1</v>
      </c>
      <c r="L322" s="962"/>
      <c r="M322" s="52">
        <f t="shared" si="53"/>
        <v>1</v>
      </c>
      <c r="N322" s="962"/>
      <c r="O322" s="52">
        <f t="shared" si="54"/>
        <v>1</v>
      </c>
      <c r="P322" s="962"/>
      <c r="Q322" s="52">
        <f t="shared" si="55"/>
        <v>1</v>
      </c>
      <c r="R322" s="492">
        <f t="shared" si="56"/>
        <v>0</v>
      </c>
      <c r="S322" s="800">
        <f t="shared" si="58"/>
        <v>0</v>
      </c>
    </row>
    <row r="323" spans="1:19">
      <c r="A323" s="964"/>
      <c r="B323" s="136"/>
      <c r="C323" s="52">
        <f t="shared" si="48"/>
        <v>1</v>
      </c>
      <c r="D323" s="962"/>
      <c r="E323" s="52">
        <f t="shared" si="49"/>
        <v>1</v>
      </c>
      <c r="F323" s="962"/>
      <c r="G323" s="52">
        <f t="shared" si="50"/>
        <v>1</v>
      </c>
      <c r="H323" s="962"/>
      <c r="I323" s="52">
        <f t="shared" si="51"/>
        <v>1</v>
      </c>
      <c r="J323" s="962"/>
      <c r="K323" s="52">
        <f t="shared" si="52"/>
        <v>1</v>
      </c>
      <c r="L323" s="962"/>
      <c r="M323" s="52">
        <f t="shared" si="53"/>
        <v>1</v>
      </c>
      <c r="N323" s="962"/>
      <c r="O323" s="52">
        <f t="shared" si="54"/>
        <v>1</v>
      </c>
      <c r="P323" s="962"/>
      <c r="Q323" s="52">
        <f t="shared" si="55"/>
        <v>1</v>
      </c>
      <c r="R323" s="492">
        <f t="shared" si="56"/>
        <v>0</v>
      </c>
      <c r="S323" s="800">
        <f t="shared" si="58"/>
        <v>0</v>
      </c>
    </row>
    <row r="324" spans="1:19">
      <c r="A324" s="964"/>
      <c r="B324" s="136"/>
      <c r="C324" s="52">
        <f t="shared" si="48"/>
        <v>1</v>
      </c>
      <c r="D324" s="962"/>
      <c r="E324" s="52">
        <f t="shared" si="49"/>
        <v>1</v>
      </c>
      <c r="F324" s="962"/>
      <c r="G324" s="52">
        <f t="shared" si="50"/>
        <v>1</v>
      </c>
      <c r="H324" s="962"/>
      <c r="I324" s="52">
        <f t="shared" si="51"/>
        <v>1</v>
      </c>
      <c r="J324" s="962"/>
      <c r="K324" s="52">
        <f t="shared" si="52"/>
        <v>1</v>
      </c>
      <c r="L324" s="962"/>
      <c r="M324" s="52">
        <f t="shared" si="53"/>
        <v>1</v>
      </c>
      <c r="N324" s="962"/>
      <c r="O324" s="52">
        <f t="shared" si="54"/>
        <v>1</v>
      </c>
      <c r="P324" s="962"/>
      <c r="Q324" s="52">
        <f t="shared" si="55"/>
        <v>1</v>
      </c>
      <c r="R324" s="492">
        <f t="shared" si="56"/>
        <v>0</v>
      </c>
      <c r="S324" s="800">
        <f t="shared" si="58"/>
        <v>0</v>
      </c>
    </row>
    <row r="325" spans="1:19">
      <c r="A325" s="964"/>
      <c r="B325" s="136"/>
      <c r="C325" s="52">
        <f t="shared" si="48"/>
        <v>1</v>
      </c>
      <c r="D325" s="962"/>
      <c r="E325" s="52">
        <f t="shared" si="49"/>
        <v>1</v>
      </c>
      <c r="F325" s="962"/>
      <c r="G325" s="52">
        <f t="shared" si="50"/>
        <v>1</v>
      </c>
      <c r="H325" s="962"/>
      <c r="I325" s="52">
        <f t="shared" si="51"/>
        <v>1</v>
      </c>
      <c r="J325" s="962"/>
      <c r="K325" s="52">
        <f t="shared" si="52"/>
        <v>1</v>
      </c>
      <c r="L325" s="962"/>
      <c r="M325" s="52">
        <f t="shared" si="53"/>
        <v>1</v>
      </c>
      <c r="N325" s="962"/>
      <c r="O325" s="52">
        <f t="shared" si="54"/>
        <v>1</v>
      </c>
      <c r="P325" s="962"/>
      <c r="Q325" s="52">
        <f t="shared" si="55"/>
        <v>1</v>
      </c>
      <c r="R325" s="492">
        <f t="shared" si="56"/>
        <v>0</v>
      </c>
      <c r="S325" s="800">
        <f t="shared" si="58"/>
        <v>0</v>
      </c>
    </row>
    <row r="326" spans="1:19">
      <c r="A326" s="964"/>
      <c r="B326" s="136"/>
      <c r="C326" s="52">
        <f t="shared" si="48"/>
        <v>1</v>
      </c>
      <c r="D326" s="962"/>
      <c r="E326" s="52">
        <f t="shared" si="49"/>
        <v>1</v>
      </c>
      <c r="F326" s="962"/>
      <c r="G326" s="52">
        <f t="shared" si="50"/>
        <v>1</v>
      </c>
      <c r="H326" s="962"/>
      <c r="I326" s="52">
        <f t="shared" si="51"/>
        <v>1</v>
      </c>
      <c r="J326" s="962"/>
      <c r="K326" s="52">
        <f t="shared" si="52"/>
        <v>1</v>
      </c>
      <c r="L326" s="962"/>
      <c r="M326" s="52">
        <f t="shared" si="53"/>
        <v>1</v>
      </c>
      <c r="N326" s="962"/>
      <c r="O326" s="52">
        <f t="shared" si="54"/>
        <v>1</v>
      </c>
      <c r="P326" s="962"/>
      <c r="Q326" s="52">
        <f t="shared" si="55"/>
        <v>1</v>
      </c>
      <c r="R326" s="492">
        <f t="shared" si="56"/>
        <v>0</v>
      </c>
      <c r="S326" s="800">
        <f t="shared" si="58"/>
        <v>0</v>
      </c>
    </row>
    <row r="327" spans="1:19">
      <c r="A327" s="964"/>
      <c r="B327" s="136"/>
      <c r="C327" s="52">
        <f t="shared" si="48"/>
        <v>1</v>
      </c>
      <c r="D327" s="962"/>
      <c r="E327" s="52">
        <f t="shared" si="49"/>
        <v>1</v>
      </c>
      <c r="F327" s="962"/>
      <c r="G327" s="52">
        <f t="shared" si="50"/>
        <v>1</v>
      </c>
      <c r="H327" s="962"/>
      <c r="I327" s="52">
        <f t="shared" si="51"/>
        <v>1</v>
      </c>
      <c r="J327" s="962"/>
      <c r="K327" s="52">
        <f t="shared" si="52"/>
        <v>1</v>
      </c>
      <c r="L327" s="962"/>
      <c r="M327" s="52">
        <f t="shared" si="53"/>
        <v>1</v>
      </c>
      <c r="N327" s="962"/>
      <c r="O327" s="52">
        <f t="shared" si="54"/>
        <v>1</v>
      </c>
      <c r="P327" s="962"/>
      <c r="Q327" s="52">
        <f t="shared" si="55"/>
        <v>1</v>
      </c>
      <c r="R327" s="492">
        <f t="shared" si="56"/>
        <v>0</v>
      </c>
      <c r="S327" s="800">
        <f t="shared" si="58"/>
        <v>0</v>
      </c>
    </row>
    <row r="328" spans="1:19">
      <c r="A328" s="964"/>
      <c r="B328" s="136"/>
      <c r="C328" s="52">
        <f t="shared" si="48"/>
        <v>1</v>
      </c>
      <c r="D328" s="962"/>
      <c r="E328" s="52">
        <f t="shared" si="49"/>
        <v>1</v>
      </c>
      <c r="F328" s="962"/>
      <c r="G328" s="52">
        <f t="shared" si="50"/>
        <v>1</v>
      </c>
      <c r="H328" s="962"/>
      <c r="I328" s="52">
        <f t="shared" si="51"/>
        <v>1</v>
      </c>
      <c r="J328" s="962"/>
      <c r="K328" s="52">
        <f t="shared" si="52"/>
        <v>1</v>
      </c>
      <c r="L328" s="962"/>
      <c r="M328" s="52">
        <f t="shared" si="53"/>
        <v>1</v>
      </c>
      <c r="N328" s="962"/>
      <c r="O328" s="52">
        <f t="shared" si="54"/>
        <v>1</v>
      </c>
      <c r="P328" s="962"/>
      <c r="Q328" s="52">
        <f t="shared" si="55"/>
        <v>1</v>
      </c>
      <c r="R328" s="492">
        <f t="shared" si="56"/>
        <v>0</v>
      </c>
      <c r="S328" s="800">
        <f t="shared" si="58"/>
        <v>0</v>
      </c>
    </row>
    <row r="329" spans="1:19">
      <c r="A329" s="964"/>
      <c r="B329" s="136"/>
      <c r="C329" s="52">
        <f t="shared" si="48"/>
        <v>1</v>
      </c>
      <c r="D329" s="962"/>
      <c r="E329" s="52">
        <f t="shared" si="49"/>
        <v>1</v>
      </c>
      <c r="F329" s="962"/>
      <c r="G329" s="52">
        <f t="shared" si="50"/>
        <v>1</v>
      </c>
      <c r="H329" s="962"/>
      <c r="I329" s="52">
        <f t="shared" si="51"/>
        <v>1</v>
      </c>
      <c r="J329" s="962"/>
      <c r="K329" s="52">
        <f t="shared" si="52"/>
        <v>1</v>
      </c>
      <c r="L329" s="962"/>
      <c r="M329" s="52">
        <f t="shared" si="53"/>
        <v>1</v>
      </c>
      <c r="N329" s="962"/>
      <c r="O329" s="52">
        <f t="shared" si="54"/>
        <v>1</v>
      </c>
      <c r="P329" s="962"/>
      <c r="Q329" s="52">
        <f t="shared" si="55"/>
        <v>1</v>
      </c>
      <c r="R329" s="492">
        <f t="shared" si="56"/>
        <v>0</v>
      </c>
      <c r="S329" s="800">
        <f t="shared" si="58"/>
        <v>0</v>
      </c>
    </row>
    <row r="330" spans="1:19">
      <c r="A330" s="964"/>
      <c r="B330" s="136"/>
      <c r="C330" s="52">
        <f t="shared" si="48"/>
        <v>1</v>
      </c>
      <c r="D330" s="962"/>
      <c r="E330" s="52">
        <f t="shared" si="49"/>
        <v>1</v>
      </c>
      <c r="F330" s="962"/>
      <c r="G330" s="52">
        <f t="shared" si="50"/>
        <v>1</v>
      </c>
      <c r="H330" s="962"/>
      <c r="I330" s="52">
        <f t="shared" si="51"/>
        <v>1</v>
      </c>
      <c r="J330" s="962"/>
      <c r="K330" s="52">
        <f t="shared" si="52"/>
        <v>1</v>
      </c>
      <c r="L330" s="962"/>
      <c r="M330" s="52">
        <f t="shared" si="53"/>
        <v>1</v>
      </c>
      <c r="N330" s="962"/>
      <c r="O330" s="52">
        <f t="shared" si="54"/>
        <v>1</v>
      </c>
      <c r="P330" s="962"/>
      <c r="Q330" s="52">
        <f t="shared" si="55"/>
        <v>1</v>
      </c>
      <c r="R330" s="492">
        <f t="shared" si="56"/>
        <v>0</v>
      </c>
      <c r="S330" s="800">
        <f t="shared" si="58"/>
        <v>0</v>
      </c>
    </row>
    <row r="331" spans="1:19">
      <c r="A331" s="964"/>
      <c r="B331" s="136"/>
      <c r="C331" s="52">
        <f t="shared" si="48"/>
        <v>1</v>
      </c>
      <c r="D331" s="962"/>
      <c r="E331" s="52">
        <f t="shared" si="49"/>
        <v>1</v>
      </c>
      <c r="F331" s="962"/>
      <c r="G331" s="52">
        <f t="shared" si="50"/>
        <v>1</v>
      </c>
      <c r="H331" s="962"/>
      <c r="I331" s="52">
        <f t="shared" si="51"/>
        <v>1</v>
      </c>
      <c r="J331" s="962"/>
      <c r="K331" s="52">
        <f t="shared" si="52"/>
        <v>1</v>
      </c>
      <c r="L331" s="962"/>
      <c r="M331" s="52">
        <f t="shared" si="53"/>
        <v>1</v>
      </c>
      <c r="N331" s="962"/>
      <c r="O331" s="52">
        <f t="shared" si="54"/>
        <v>1</v>
      </c>
      <c r="P331" s="962"/>
      <c r="Q331" s="52">
        <f t="shared" si="55"/>
        <v>1</v>
      </c>
      <c r="R331" s="492">
        <f t="shared" si="56"/>
        <v>0</v>
      </c>
      <c r="S331" s="800">
        <f t="shared" si="58"/>
        <v>0</v>
      </c>
    </row>
    <row r="332" spans="1:19">
      <c r="A332" s="964"/>
      <c r="B332" s="136"/>
      <c r="C332" s="52">
        <f t="shared" si="48"/>
        <v>1</v>
      </c>
      <c r="D332" s="962"/>
      <c r="E332" s="52">
        <f t="shared" si="49"/>
        <v>1</v>
      </c>
      <c r="F332" s="962"/>
      <c r="G332" s="52">
        <f t="shared" si="50"/>
        <v>1</v>
      </c>
      <c r="H332" s="962"/>
      <c r="I332" s="52">
        <f t="shared" si="51"/>
        <v>1</v>
      </c>
      <c r="J332" s="962"/>
      <c r="K332" s="52">
        <f t="shared" si="52"/>
        <v>1</v>
      </c>
      <c r="L332" s="962"/>
      <c r="M332" s="52">
        <f t="shared" si="53"/>
        <v>1</v>
      </c>
      <c r="N332" s="962"/>
      <c r="O332" s="52">
        <f t="shared" si="54"/>
        <v>1</v>
      </c>
      <c r="P332" s="962"/>
      <c r="Q332" s="52">
        <f t="shared" si="55"/>
        <v>1</v>
      </c>
      <c r="R332" s="492">
        <f t="shared" si="56"/>
        <v>0</v>
      </c>
      <c r="S332" s="800">
        <f t="shared" si="58"/>
        <v>0</v>
      </c>
    </row>
    <row r="333" spans="1:19">
      <c r="A333" s="964"/>
      <c r="B333" s="136"/>
      <c r="C333" s="52">
        <f t="shared" si="48"/>
        <v>1</v>
      </c>
      <c r="D333" s="962"/>
      <c r="E333" s="52">
        <f t="shared" si="49"/>
        <v>1</v>
      </c>
      <c r="F333" s="962"/>
      <c r="G333" s="52">
        <f t="shared" si="50"/>
        <v>1</v>
      </c>
      <c r="H333" s="962"/>
      <c r="I333" s="52">
        <f t="shared" si="51"/>
        <v>1</v>
      </c>
      <c r="J333" s="962"/>
      <c r="K333" s="52">
        <f t="shared" si="52"/>
        <v>1</v>
      </c>
      <c r="L333" s="962"/>
      <c r="M333" s="52">
        <f t="shared" si="53"/>
        <v>1</v>
      </c>
      <c r="N333" s="962"/>
      <c r="O333" s="52">
        <f t="shared" si="54"/>
        <v>1</v>
      </c>
      <c r="P333" s="962"/>
      <c r="Q333" s="52">
        <f t="shared" si="55"/>
        <v>1</v>
      </c>
      <c r="R333" s="492">
        <f t="shared" si="56"/>
        <v>0</v>
      </c>
      <c r="S333" s="800">
        <f t="shared" si="58"/>
        <v>0</v>
      </c>
    </row>
    <row r="334" spans="1:19">
      <c r="A334" s="964"/>
      <c r="B334" s="136"/>
      <c r="C334" s="52">
        <f t="shared" si="48"/>
        <v>1</v>
      </c>
      <c r="D334" s="962"/>
      <c r="E334" s="52">
        <f t="shared" si="49"/>
        <v>1</v>
      </c>
      <c r="F334" s="962"/>
      <c r="G334" s="52">
        <f t="shared" si="50"/>
        <v>1</v>
      </c>
      <c r="H334" s="962"/>
      <c r="I334" s="52">
        <f t="shared" si="51"/>
        <v>1</v>
      </c>
      <c r="J334" s="962"/>
      <c r="K334" s="52">
        <f t="shared" si="52"/>
        <v>1</v>
      </c>
      <c r="L334" s="962"/>
      <c r="M334" s="52">
        <f t="shared" si="53"/>
        <v>1</v>
      </c>
      <c r="N334" s="962"/>
      <c r="O334" s="52">
        <f t="shared" si="54"/>
        <v>1</v>
      </c>
      <c r="P334" s="962"/>
      <c r="Q334" s="52">
        <f t="shared" si="55"/>
        <v>1</v>
      </c>
      <c r="R334" s="492">
        <f t="shared" si="56"/>
        <v>0</v>
      </c>
      <c r="S334" s="800">
        <f t="shared" si="58"/>
        <v>0</v>
      </c>
    </row>
    <row r="335" spans="1:19">
      <c r="A335" s="964"/>
      <c r="B335" s="136"/>
      <c r="C335" s="52">
        <f t="shared" si="48"/>
        <v>1</v>
      </c>
      <c r="D335" s="962"/>
      <c r="E335" s="52">
        <f t="shared" si="49"/>
        <v>1</v>
      </c>
      <c r="F335" s="962"/>
      <c r="G335" s="52">
        <f t="shared" si="50"/>
        <v>1</v>
      </c>
      <c r="H335" s="962"/>
      <c r="I335" s="52">
        <f t="shared" si="51"/>
        <v>1</v>
      </c>
      <c r="J335" s="962"/>
      <c r="K335" s="52">
        <f t="shared" si="52"/>
        <v>1</v>
      </c>
      <c r="L335" s="962"/>
      <c r="M335" s="52">
        <f t="shared" si="53"/>
        <v>1</v>
      </c>
      <c r="N335" s="962"/>
      <c r="O335" s="52">
        <f t="shared" si="54"/>
        <v>1</v>
      </c>
      <c r="P335" s="962"/>
      <c r="Q335" s="52">
        <f t="shared" si="55"/>
        <v>1</v>
      </c>
      <c r="R335" s="492">
        <f t="shared" si="56"/>
        <v>0</v>
      </c>
      <c r="S335" s="800">
        <f t="shared" si="58"/>
        <v>0</v>
      </c>
    </row>
    <row r="336" spans="1:19">
      <c r="A336" s="964"/>
      <c r="B336" s="136"/>
      <c r="C336" s="52">
        <f t="shared" si="48"/>
        <v>1</v>
      </c>
      <c r="D336" s="962"/>
      <c r="E336" s="52">
        <f t="shared" si="49"/>
        <v>1</v>
      </c>
      <c r="F336" s="962"/>
      <c r="G336" s="52">
        <f t="shared" si="50"/>
        <v>1</v>
      </c>
      <c r="H336" s="962"/>
      <c r="I336" s="52">
        <f t="shared" si="51"/>
        <v>1</v>
      </c>
      <c r="J336" s="962"/>
      <c r="K336" s="52">
        <f t="shared" si="52"/>
        <v>1</v>
      </c>
      <c r="L336" s="962"/>
      <c r="M336" s="52">
        <f t="shared" si="53"/>
        <v>1</v>
      </c>
      <c r="N336" s="962"/>
      <c r="O336" s="52">
        <f t="shared" si="54"/>
        <v>1</v>
      </c>
      <c r="P336" s="962"/>
      <c r="Q336" s="52">
        <f t="shared" si="55"/>
        <v>1</v>
      </c>
      <c r="R336" s="492">
        <f t="shared" si="56"/>
        <v>0</v>
      </c>
      <c r="S336" s="800">
        <f t="shared" si="58"/>
        <v>0</v>
      </c>
    </row>
    <row r="337" spans="1:19">
      <c r="A337" s="964"/>
      <c r="B337" s="136"/>
      <c r="C337" s="52">
        <f t="shared" si="48"/>
        <v>1</v>
      </c>
      <c r="D337" s="962"/>
      <c r="E337" s="52">
        <f t="shared" si="49"/>
        <v>1</v>
      </c>
      <c r="F337" s="962"/>
      <c r="G337" s="52">
        <f t="shared" si="50"/>
        <v>1</v>
      </c>
      <c r="H337" s="962"/>
      <c r="I337" s="52">
        <f t="shared" si="51"/>
        <v>1</v>
      </c>
      <c r="J337" s="962"/>
      <c r="K337" s="52">
        <f t="shared" si="52"/>
        <v>1</v>
      </c>
      <c r="L337" s="962"/>
      <c r="M337" s="52">
        <f t="shared" si="53"/>
        <v>1</v>
      </c>
      <c r="N337" s="962"/>
      <c r="O337" s="52">
        <f t="shared" si="54"/>
        <v>1</v>
      </c>
      <c r="P337" s="962"/>
      <c r="Q337" s="52">
        <f t="shared" si="55"/>
        <v>1</v>
      </c>
      <c r="R337" s="492">
        <f t="shared" si="56"/>
        <v>0</v>
      </c>
      <c r="S337" s="800">
        <f t="shared" si="58"/>
        <v>0</v>
      </c>
    </row>
    <row r="338" spans="1:19">
      <c r="A338" s="964"/>
      <c r="B338" s="136"/>
      <c r="C338" s="52">
        <f t="shared" si="48"/>
        <v>1</v>
      </c>
      <c r="D338" s="962"/>
      <c r="E338" s="52">
        <f t="shared" si="49"/>
        <v>1</v>
      </c>
      <c r="F338" s="962"/>
      <c r="G338" s="52">
        <f t="shared" si="50"/>
        <v>1</v>
      </c>
      <c r="H338" s="962"/>
      <c r="I338" s="52">
        <f t="shared" si="51"/>
        <v>1</v>
      </c>
      <c r="J338" s="962"/>
      <c r="K338" s="52">
        <f t="shared" si="52"/>
        <v>1</v>
      </c>
      <c r="L338" s="962"/>
      <c r="M338" s="52">
        <f t="shared" si="53"/>
        <v>1</v>
      </c>
      <c r="N338" s="962"/>
      <c r="O338" s="52">
        <f t="shared" si="54"/>
        <v>1</v>
      </c>
      <c r="P338" s="962"/>
      <c r="Q338" s="52">
        <f t="shared" si="55"/>
        <v>1</v>
      </c>
      <c r="R338" s="492">
        <f t="shared" si="56"/>
        <v>0</v>
      </c>
      <c r="S338" s="800">
        <f t="shared" si="58"/>
        <v>0</v>
      </c>
    </row>
    <row r="339" spans="1:19">
      <c r="A339" s="964"/>
      <c r="B339" s="136"/>
      <c r="C339" s="52">
        <f t="shared" si="48"/>
        <v>1</v>
      </c>
      <c r="D339" s="962"/>
      <c r="E339" s="52">
        <f t="shared" si="49"/>
        <v>1</v>
      </c>
      <c r="F339" s="962"/>
      <c r="G339" s="52">
        <f t="shared" si="50"/>
        <v>1</v>
      </c>
      <c r="H339" s="962"/>
      <c r="I339" s="52">
        <f t="shared" si="51"/>
        <v>1</v>
      </c>
      <c r="J339" s="962"/>
      <c r="K339" s="52">
        <f t="shared" si="52"/>
        <v>1</v>
      </c>
      <c r="L339" s="962"/>
      <c r="M339" s="52">
        <f t="shared" si="53"/>
        <v>1</v>
      </c>
      <c r="N339" s="962"/>
      <c r="O339" s="52">
        <f t="shared" si="54"/>
        <v>1</v>
      </c>
      <c r="P339" s="962"/>
      <c r="Q339" s="52">
        <f t="shared" si="55"/>
        <v>1</v>
      </c>
      <c r="R339" s="492">
        <f t="shared" si="56"/>
        <v>0</v>
      </c>
      <c r="S339" s="800">
        <f t="shared" si="58"/>
        <v>0</v>
      </c>
    </row>
    <row r="340" spans="1:19">
      <c r="A340" s="964"/>
      <c r="B340" s="136"/>
      <c r="C340" s="52">
        <f t="shared" si="48"/>
        <v>1</v>
      </c>
      <c r="D340" s="962"/>
      <c r="E340" s="52">
        <f t="shared" si="49"/>
        <v>1</v>
      </c>
      <c r="F340" s="962"/>
      <c r="G340" s="52">
        <f t="shared" si="50"/>
        <v>1</v>
      </c>
      <c r="H340" s="962"/>
      <c r="I340" s="52">
        <f t="shared" si="51"/>
        <v>1</v>
      </c>
      <c r="J340" s="962"/>
      <c r="K340" s="52">
        <f t="shared" si="52"/>
        <v>1</v>
      </c>
      <c r="L340" s="962"/>
      <c r="M340" s="52">
        <f t="shared" si="53"/>
        <v>1</v>
      </c>
      <c r="N340" s="962"/>
      <c r="O340" s="52">
        <f t="shared" si="54"/>
        <v>1</v>
      </c>
      <c r="P340" s="962"/>
      <c r="Q340" s="52">
        <f t="shared" si="55"/>
        <v>1</v>
      </c>
      <c r="R340" s="492">
        <f t="shared" si="56"/>
        <v>0</v>
      </c>
      <c r="S340" s="800">
        <f t="shared" si="58"/>
        <v>0</v>
      </c>
    </row>
    <row r="341" spans="1:19">
      <c r="A341" s="964"/>
      <c r="B341" s="136"/>
      <c r="C341" s="52">
        <f t="shared" si="48"/>
        <v>1</v>
      </c>
      <c r="D341" s="962"/>
      <c r="E341" s="52">
        <f t="shared" si="49"/>
        <v>1</v>
      </c>
      <c r="F341" s="962"/>
      <c r="G341" s="52">
        <f t="shared" si="50"/>
        <v>1</v>
      </c>
      <c r="H341" s="962"/>
      <c r="I341" s="52">
        <f t="shared" si="51"/>
        <v>1</v>
      </c>
      <c r="J341" s="962"/>
      <c r="K341" s="52">
        <f t="shared" si="52"/>
        <v>1</v>
      </c>
      <c r="L341" s="962"/>
      <c r="M341" s="52">
        <f t="shared" si="53"/>
        <v>1</v>
      </c>
      <c r="N341" s="962"/>
      <c r="O341" s="52">
        <f t="shared" si="54"/>
        <v>1</v>
      </c>
      <c r="P341" s="962"/>
      <c r="Q341" s="52">
        <f t="shared" si="55"/>
        <v>1</v>
      </c>
      <c r="R341" s="492">
        <f t="shared" si="56"/>
        <v>0</v>
      </c>
      <c r="S341" s="800">
        <f t="shared" si="58"/>
        <v>0</v>
      </c>
    </row>
    <row r="342" spans="1:19">
      <c r="A342" s="964"/>
      <c r="B342" s="136"/>
      <c r="C342" s="52">
        <f t="shared" si="48"/>
        <v>1</v>
      </c>
      <c r="D342" s="962"/>
      <c r="E342" s="52">
        <f t="shared" si="49"/>
        <v>1</v>
      </c>
      <c r="F342" s="962"/>
      <c r="G342" s="52">
        <f t="shared" si="50"/>
        <v>1</v>
      </c>
      <c r="H342" s="962"/>
      <c r="I342" s="52">
        <f t="shared" si="51"/>
        <v>1</v>
      </c>
      <c r="J342" s="962"/>
      <c r="K342" s="52">
        <f t="shared" si="52"/>
        <v>1</v>
      </c>
      <c r="L342" s="962"/>
      <c r="M342" s="52">
        <f t="shared" si="53"/>
        <v>1</v>
      </c>
      <c r="N342" s="962"/>
      <c r="O342" s="52">
        <f t="shared" si="54"/>
        <v>1</v>
      </c>
      <c r="P342" s="962"/>
      <c r="Q342" s="52">
        <f t="shared" si="55"/>
        <v>1</v>
      </c>
      <c r="R342" s="492">
        <f t="shared" si="56"/>
        <v>0</v>
      </c>
      <c r="S342" s="800">
        <f t="shared" si="58"/>
        <v>0</v>
      </c>
    </row>
    <row r="343" spans="1:19">
      <c r="A343" s="964"/>
      <c r="B343" s="136"/>
      <c r="C343" s="52">
        <f t="shared" si="48"/>
        <v>1</v>
      </c>
      <c r="D343" s="962"/>
      <c r="E343" s="52">
        <f t="shared" si="49"/>
        <v>1</v>
      </c>
      <c r="F343" s="962"/>
      <c r="G343" s="52">
        <f t="shared" si="50"/>
        <v>1</v>
      </c>
      <c r="H343" s="962"/>
      <c r="I343" s="52">
        <f t="shared" si="51"/>
        <v>1</v>
      </c>
      <c r="J343" s="962"/>
      <c r="K343" s="52">
        <f t="shared" si="52"/>
        <v>1</v>
      </c>
      <c r="L343" s="962"/>
      <c r="M343" s="52">
        <f t="shared" si="53"/>
        <v>1</v>
      </c>
      <c r="N343" s="962"/>
      <c r="O343" s="52">
        <f t="shared" si="54"/>
        <v>1</v>
      </c>
      <c r="P343" s="962"/>
      <c r="Q343" s="52">
        <f t="shared" si="55"/>
        <v>1</v>
      </c>
      <c r="R343" s="492">
        <f t="shared" si="56"/>
        <v>0</v>
      </c>
      <c r="S343" s="800">
        <f t="shared" si="58"/>
        <v>0</v>
      </c>
    </row>
    <row r="344" spans="1:19">
      <c r="A344" s="964"/>
      <c r="B344" s="136"/>
      <c r="C344" s="52">
        <f t="shared" si="48"/>
        <v>1</v>
      </c>
      <c r="D344" s="962"/>
      <c r="E344" s="52">
        <f t="shared" si="49"/>
        <v>1</v>
      </c>
      <c r="F344" s="962"/>
      <c r="G344" s="52">
        <f t="shared" si="50"/>
        <v>1</v>
      </c>
      <c r="H344" s="962"/>
      <c r="I344" s="52">
        <f t="shared" si="51"/>
        <v>1</v>
      </c>
      <c r="J344" s="962"/>
      <c r="K344" s="52">
        <f t="shared" si="52"/>
        <v>1</v>
      </c>
      <c r="L344" s="962"/>
      <c r="M344" s="52">
        <f t="shared" si="53"/>
        <v>1</v>
      </c>
      <c r="N344" s="962"/>
      <c r="O344" s="52">
        <f t="shared" si="54"/>
        <v>1</v>
      </c>
      <c r="P344" s="962"/>
      <c r="Q344" s="52">
        <f t="shared" si="55"/>
        <v>1</v>
      </c>
      <c r="R344" s="492">
        <f t="shared" si="56"/>
        <v>0</v>
      </c>
      <c r="S344" s="800">
        <f t="shared" si="58"/>
        <v>0</v>
      </c>
    </row>
    <row r="345" spans="1:19">
      <c r="A345" s="964"/>
      <c r="B345" s="136"/>
      <c r="C345" s="52">
        <f t="shared" si="48"/>
        <v>1</v>
      </c>
      <c r="D345" s="962"/>
      <c r="E345" s="52">
        <f t="shared" si="49"/>
        <v>1</v>
      </c>
      <c r="F345" s="962"/>
      <c r="G345" s="52">
        <f t="shared" si="50"/>
        <v>1</v>
      </c>
      <c r="H345" s="962"/>
      <c r="I345" s="52">
        <f t="shared" si="51"/>
        <v>1</v>
      </c>
      <c r="J345" s="962"/>
      <c r="K345" s="52">
        <f t="shared" si="52"/>
        <v>1</v>
      </c>
      <c r="L345" s="962"/>
      <c r="M345" s="52">
        <f t="shared" si="53"/>
        <v>1</v>
      </c>
      <c r="N345" s="962"/>
      <c r="O345" s="52">
        <f t="shared" si="54"/>
        <v>1</v>
      </c>
      <c r="P345" s="962"/>
      <c r="Q345" s="52">
        <f t="shared" si="55"/>
        <v>1</v>
      </c>
      <c r="R345" s="492">
        <f t="shared" si="56"/>
        <v>0</v>
      </c>
      <c r="S345" s="800">
        <f t="shared" si="58"/>
        <v>0</v>
      </c>
    </row>
    <row r="346" spans="1:19">
      <c r="A346" s="964"/>
      <c r="B346" s="136"/>
      <c r="C346" s="52">
        <f t="shared" ref="C346:C409" si="59">IF(B346="",1,(LOOKUP(B346,$3:$3,$4:$4)-LOOKUP($B$24,$3:$3,$4:$4)+100)/100)</f>
        <v>1</v>
      </c>
      <c r="D346" s="962"/>
      <c r="E346" s="52">
        <f t="shared" ref="E346:E409" si="60">(SUMIF($5:$5,D346,$6:$6)-SUMIF($5:$5,$D$24,$6:$6)+100)/100</f>
        <v>1</v>
      </c>
      <c r="F346" s="962"/>
      <c r="G346" s="52">
        <f t="shared" ref="G346:G409" si="61">(SUMIF($7:$7,F346,$8:$8)-SUMIF($7:$7,$F$24,$8:$8)+100)/100</f>
        <v>1</v>
      </c>
      <c r="H346" s="962"/>
      <c r="I346" s="52">
        <f t="shared" ref="I346:I409" si="62">(SUMIF($9:$9,H346,$10:$10)-SUMIF($9:$9,$H$24,$10:$10)+100)/100</f>
        <v>1</v>
      </c>
      <c r="J346" s="962"/>
      <c r="K346" s="52">
        <f t="shared" ref="K346:K409" si="63">(SUMIF($11:$11,J346,$12:$12)-SUMIF($11:$11,$J$24,$12:$12)+100)/100</f>
        <v>1</v>
      </c>
      <c r="L346" s="962"/>
      <c r="M346" s="52">
        <f t="shared" ref="M346:M409" si="64">(SUMIF($13:$13,L346,$14:$14)-SUMIF($13:$13,$L$24,$14:$14)+100)/100</f>
        <v>1</v>
      </c>
      <c r="N346" s="962"/>
      <c r="O346" s="52">
        <f t="shared" ref="O346:O409" si="65">(SUMIF($15:$15,N346,$16:$16)-SUMIF($15:$15,$N$24,$16:$16)+100)/100</f>
        <v>1</v>
      </c>
      <c r="P346" s="962"/>
      <c r="Q346" s="52">
        <f t="shared" ref="Q346:Q409" si="66">(SUMIF($17:$17,P346,$18:$18)-SUMIF($17:$17,$P$24,$18:$18)+100)/100</f>
        <v>1</v>
      </c>
      <c r="R346" s="492">
        <f t="shared" ref="R346:R409" si="67">IF(B346="",0,ROUND($R$24*C346*E346*G346*I346*K346*M346*O346*Q346,0))</f>
        <v>0</v>
      </c>
      <c r="S346" s="800">
        <f t="shared" si="58"/>
        <v>0</v>
      </c>
    </row>
    <row r="347" spans="1:19">
      <c r="A347" s="964"/>
      <c r="B347" s="136"/>
      <c r="C347" s="52">
        <f t="shared" si="59"/>
        <v>1</v>
      </c>
      <c r="D347" s="962"/>
      <c r="E347" s="52">
        <f t="shared" si="60"/>
        <v>1</v>
      </c>
      <c r="F347" s="962"/>
      <c r="G347" s="52">
        <f t="shared" si="61"/>
        <v>1</v>
      </c>
      <c r="H347" s="962"/>
      <c r="I347" s="52">
        <f t="shared" si="62"/>
        <v>1</v>
      </c>
      <c r="J347" s="962"/>
      <c r="K347" s="52">
        <f t="shared" si="63"/>
        <v>1</v>
      </c>
      <c r="L347" s="962"/>
      <c r="M347" s="52">
        <f t="shared" si="64"/>
        <v>1</v>
      </c>
      <c r="N347" s="962"/>
      <c r="O347" s="52">
        <f t="shared" si="65"/>
        <v>1</v>
      </c>
      <c r="P347" s="962"/>
      <c r="Q347" s="52">
        <f t="shared" si="66"/>
        <v>1</v>
      </c>
      <c r="R347" s="492">
        <f t="shared" si="67"/>
        <v>0</v>
      </c>
      <c r="S347" s="800">
        <f t="shared" si="58"/>
        <v>0</v>
      </c>
    </row>
    <row r="348" spans="1:19">
      <c r="A348" s="964"/>
      <c r="B348" s="136"/>
      <c r="C348" s="52">
        <f t="shared" si="59"/>
        <v>1</v>
      </c>
      <c r="D348" s="962"/>
      <c r="E348" s="52">
        <f t="shared" si="60"/>
        <v>1</v>
      </c>
      <c r="F348" s="962"/>
      <c r="G348" s="52">
        <f t="shared" si="61"/>
        <v>1</v>
      </c>
      <c r="H348" s="962"/>
      <c r="I348" s="52">
        <f t="shared" si="62"/>
        <v>1</v>
      </c>
      <c r="J348" s="962"/>
      <c r="K348" s="52">
        <f t="shared" si="63"/>
        <v>1</v>
      </c>
      <c r="L348" s="962"/>
      <c r="M348" s="52">
        <f t="shared" si="64"/>
        <v>1</v>
      </c>
      <c r="N348" s="962"/>
      <c r="O348" s="52">
        <f t="shared" si="65"/>
        <v>1</v>
      </c>
      <c r="P348" s="962"/>
      <c r="Q348" s="52">
        <f t="shared" si="66"/>
        <v>1</v>
      </c>
      <c r="R348" s="492">
        <f t="shared" si="67"/>
        <v>0</v>
      </c>
      <c r="S348" s="800">
        <f t="shared" si="58"/>
        <v>0</v>
      </c>
    </row>
    <row r="349" spans="1:19">
      <c r="A349" s="964"/>
      <c r="B349" s="136"/>
      <c r="C349" s="52">
        <f t="shared" si="59"/>
        <v>1</v>
      </c>
      <c r="D349" s="962"/>
      <c r="E349" s="52">
        <f t="shared" si="60"/>
        <v>1</v>
      </c>
      <c r="F349" s="962"/>
      <c r="G349" s="52">
        <f t="shared" si="61"/>
        <v>1</v>
      </c>
      <c r="H349" s="962"/>
      <c r="I349" s="52">
        <f t="shared" si="62"/>
        <v>1</v>
      </c>
      <c r="J349" s="962"/>
      <c r="K349" s="52">
        <f t="shared" si="63"/>
        <v>1</v>
      </c>
      <c r="L349" s="962"/>
      <c r="M349" s="52">
        <f t="shared" si="64"/>
        <v>1</v>
      </c>
      <c r="N349" s="962"/>
      <c r="O349" s="52">
        <f t="shared" si="65"/>
        <v>1</v>
      </c>
      <c r="P349" s="962"/>
      <c r="Q349" s="52">
        <f t="shared" si="66"/>
        <v>1</v>
      </c>
      <c r="R349" s="492">
        <f t="shared" si="67"/>
        <v>0</v>
      </c>
      <c r="S349" s="800">
        <f t="shared" si="58"/>
        <v>0</v>
      </c>
    </row>
    <row r="350" spans="1:19">
      <c r="A350" s="964"/>
      <c r="B350" s="136"/>
      <c r="C350" s="52">
        <f t="shared" si="59"/>
        <v>1</v>
      </c>
      <c r="D350" s="962"/>
      <c r="E350" s="52">
        <f t="shared" si="60"/>
        <v>1</v>
      </c>
      <c r="F350" s="962"/>
      <c r="G350" s="52">
        <f t="shared" si="61"/>
        <v>1</v>
      </c>
      <c r="H350" s="962"/>
      <c r="I350" s="52">
        <f t="shared" si="62"/>
        <v>1</v>
      </c>
      <c r="J350" s="962"/>
      <c r="K350" s="52">
        <f t="shared" si="63"/>
        <v>1</v>
      </c>
      <c r="L350" s="962"/>
      <c r="M350" s="52">
        <f t="shared" si="64"/>
        <v>1</v>
      </c>
      <c r="N350" s="962"/>
      <c r="O350" s="52">
        <f t="shared" si="65"/>
        <v>1</v>
      </c>
      <c r="P350" s="962"/>
      <c r="Q350" s="52">
        <f t="shared" si="66"/>
        <v>1</v>
      </c>
      <c r="R350" s="492">
        <f t="shared" si="67"/>
        <v>0</v>
      </c>
      <c r="S350" s="800">
        <f t="shared" si="58"/>
        <v>0</v>
      </c>
    </row>
    <row r="351" spans="1:19">
      <c r="A351" s="964"/>
      <c r="B351" s="136"/>
      <c r="C351" s="52">
        <f t="shared" si="59"/>
        <v>1</v>
      </c>
      <c r="D351" s="962"/>
      <c r="E351" s="52">
        <f t="shared" si="60"/>
        <v>1</v>
      </c>
      <c r="F351" s="962"/>
      <c r="G351" s="52">
        <f t="shared" si="61"/>
        <v>1</v>
      </c>
      <c r="H351" s="962"/>
      <c r="I351" s="52">
        <f t="shared" si="62"/>
        <v>1</v>
      </c>
      <c r="J351" s="962"/>
      <c r="K351" s="52">
        <f t="shared" si="63"/>
        <v>1</v>
      </c>
      <c r="L351" s="962"/>
      <c r="M351" s="52">
        <f t="shared" si="64"/>
        <v>1</v>
      </c>
      <c r="N351" s="962"/>
      <c r="O351" s="52">
        <f t="shared" si="65"/>
        <v>1</v>
      </c>
      <c r="P351" s="962"/>
      <c r="Q351" s="52">
        <f t="shared" si="66"/>
        <v>1</v>
      </c>
      <c r="R351" s="492">
        <f t="shared" si="67"/>
        <v>0</v>
      </c>
      <c r="S351" s="800">
        <f t="shared" si="58"/>
        <v>0</v>
      </c>
    </row>
    <row r="352" spans="1:19">
      <c r="A352" s="964"/>
      <c r="B352" s="136"/>
      <c r="C352" s="52">
        <f t="shared" si="59"/>
        <v>1</v>
      </c>
      <c r="D352" s="962"/>
      <c r="E352" s="52">
        <f t="shared" si="60"/>
        <v>1</v>
      </c>
      <c r="F352" s="962"/>
      <c r="G352" s="52">
        <f t="shared" si="61"/>
        <v>1</v>
      </c>
      <c r="H352" s="962"/>
      <c r="I352" s="52">
        <f t="shared" si="62"/>
        <v>1</v>
      </c>
      <c r="J352" s="962"/>
      <c r="K352" s="52">
        <f t="shared" si="63"/>
        <v>1</v>
      </c>
      <c r="L352" s="962"/>
      <c r="M352" s="52">
        <f t="shared" si="64"/>
        <v>1</v>
      </c>
      <c r="N352" s="962"/>
      <c r="O352" s="52">
        <f t="shared" si="65"/>
        <v>1</v>
      </c>
      <c r="P352" s="962"/>
      <c r="Q352" s="52">
        <f t="shared" si="66"/>
        <v>1</v>
      </c>
      <c r="R352" s="492">
        <f t="shared" si="67"/>
        <v>0</v>
      </c>
      <c r="S352" s="800">
        <f t="shared" si="58"/>
        <v>0</v>
      </c>
    </row>
    <row r="353" spans="1:19">
      <c r="A353" s="964"/>
      <c r="B353" s="136"/>
      <c r="C353" s="52">
        <f t="shared" si="59"/>
        <v>1</v>
      </c>
      <c r="D353" s="962"/>
      <c r="E353" s="52">
        <f t="shared" si="60"/>
        <v>1</v>
      </c>
      <c r="F353" s="962"/>
      <c r="G353" s="52">
        <f t="shared" si="61"/>
        <v>1</v>
      </c>
      <c r="H353" s="962"/>
      <c r="I353" s="52">
        <f t="shared" si="62"/>
        <v>1</v>
      </c>
      <c r="J353" s="962"/>
      <c r="K353" s="52">
        <f t="shared" si="63"/>
        <v>1</v>
      </c>
      <c r="L353" s="962"/>
      <c r="M353" s="52">
        <f t="shared" si="64"/>
        <v>1</v>
      </c>
      <c r="N353" s="962"/>
      <c r="O353" s="52">
        <f t="shared" si="65"/>
        <v>1</v>
      </c>
      <c r="P353" s="962"/>
      <c r="Q353" s="52">
        <f t="shared" si="66"/>
        <v>1</v>
      </c>
      <c r="R353" s="492">
        <f t="shared" si="67"/>
        <v>0</v>
      </c>
      <c r="S353" s="800">
        <f t="shared" si="58"/>
        <v>0</v>
      </c>
    </row>
    <row r="354" spans="1:19">
      <c r="A354" s="964"/>
      <c r="B354" s="136"/>
      <c r="C354" s="52">
        <f t="shared" si="59"/>
        <v>1</v>
      </c>
      <c r="D354" s="962"/>
      <c r="E354" s="52">
        <f t="shared" si="60"/>
        <v>1</v>
      </c>
      <c r="F354" s="962"/>
      <c r="G354" s="52">
        <f t="shared" si="61"/>
        <v>1</v>
      </c>
      <c r="H354" s="962"/>
      <c r="I354" s="52">
        <f t="shared" si="62"/>
        <v>1</v>
      </c>
      <c r="J354" s="962"/>
      <c r="K354" s="52">
        <f t="shared" si="63"/>
        <v>1</v>
      </c>
      <c r="L354" s="962"/>
      <c r="M354" s="52">
        <f t="shared" si="64"/>
        <v>1</v>
      </c>
      <c r="N354" s="962"/>
      <c r="O354" s="52">
        <f t="shared" si="65"/>
        <v>1</v>
      </c>
      <c r="P354" s="962"/>
      <c r="Q354" s="52">
        <f t="shared" si="66"/>
        <v>1</v>
      </c>
      <c r="R354" s="492">
        <f t="shared" si="67"/>
        <v>0</v>
      </c>
      <c r="S354" s="800">
        <f t="shared" si="58"/>
        <v>0</v>
      </c>
    </row>
    <row r="355" spans="1:19">
      <c r="A355" s="964"/>
      <c r="B355" s="136"/>
      <c r="C355" s="52">
        <f t="shared" si="59"/>
        <v>1</v>
      </c>
      <c r="D355" s="962"/>
      <c r="E355" s="52">
        <f t="shared" si="60"/>
        <v>1</v>
      </c>
      <c r="F355" s="962"/>
      <c r="G355" s="52">
        <f t="shared" si="61"/>
        <v>1</v>
      </c>
      <c r="H355" s="962"/>
      <c r="I355" s="52">
        <f t="shared" si="62"/>
        <v>1</v>
      </c>
      <c r="J355" s="962"/>
      <c r="K355" s="52">
        <f t="shared" si="63"/>
        <v>1</v>
      </c>
      <c r="L355" s="962"/>
      <c r="M355" s="52">
        <f t="shared" si="64"/>
        <v>1</v>
      </c>
      <c r="N355" s="962"/>
      <c r="O355" s="52">
        <f t="shared" si="65"/>
        <v>1</v>
      </c>
      <c r="P355" s="962"/>
      <c r="Q355" s="52">
        <f t="shared" si="66"/>
        <v>1</v>
      </c>
      <c r="R355" s="492">
        <f t="shared" si="67"/>
        <v>0</v>
      </c>
      <c r="S355" s="800">
        <f t="shared" si="58"/>
        <v>0</v>
      </c>
    </row>
    <row r="356" spans="1:19">
      <c r="A356" s="964"/>
      <c r="B356" s="136"/>
      <c r="C356" s="52">
        <f t="shared" si="59"/>
        <v>1</v>
      </c>
      <c r="D356" s="962"/>
      <c r="E356" s="52">
        <f t="shared" si="60"/>
        <v>1</v>
      </c>
      <c r="F356" s="962"/>
      <c r="G356" s="52">
        <f t="shared" si="61"/>
        <v>1</v>
      </c>
      <c r="H356" s="962"/>
      <c r="I356" s="52">
        <f t="shared" si="62"/>
        <v>1</v>
      </c>
      <c r="J356" s="962"/>
      <c r="K356" s="52">
        <f t="shared" si="63"/>
        <v>1</v>
      </c>
      <c r="L356" s="962"/>
      <c r="M356" s="52">
        <f t="shared" si="64"/>
        <v>1</v>
      </c>
      <c r="N356" s="962"/>
      <c r="O356" s="52">
        <f t="shared" si="65"/>
        <v>1</v>
      </c>
      <c r="P356" s="962"/>
      <c r="Q356" s="52">
        <f t="shared" si="66"/>
        <v>1</v>
      </c>
      <c r="R356" s="492">
        <f t="shared" si="67"/>
        <v>0</v>
      </c>
      <c r="S356" s="800">
        <f t="shared" si="58"/>
        <v>0</v>
      </c>
    </row>
    <row r="357" spans="1:19">
      <c r="A357" s="964"/>
      <c r="B357" s="136"/>
      <c r="C357" s="52">
        <f t="shared" si="59"/>
        <v>1</v>
      </c>
      <c r="D357" s="962"/>
      <c r="E357" s="52">
        <f t="shared" si="60"/>
        <v>1</v>
      </c>
      <c r="F357" s="962"/>
      <c r="G357" s="52">
        <f t="shared" si="61"/>
        <v>1</v>
      </c>
      <c r="H357" s="962"/>
      <c r="I357" s="52">
        <f t="shared" si="62"/>
        <v>1</v>
      </c>
      <c r="J357" s="962"/>
      <c r="K357" s="52">
        <f t="shared" si="63"/>
        <v>1</v>
      </c>
      <c r="L357" s="962"/>
      <c r="M357" s="52">
        <f t="shared" si="64"/>
        <v>1</v>
      </c>
      <c r="N357" s="962"/>
      <c r="O357" s="52">
        <f t="shared" si="65"/>
        <v>1</v>
      </c>
      <c r="P357" s="962"/>
      <c r="Q357" s="52">
        <f t="shared" si="66"/>
        <v>1</v>
      </c>
      <c r="R357" s="492">
        <f t="shared" si="67"/>
        <v>0</v>
      </c>
      <c r="S357" s="800">
        <f t="shared" si="58"/>
        <v>0</v>
      </c>
    </row>
    <row r="358" spans="1:19">
      <c r="A358" s="964"/>
      <c r="B358" s="136"/>
      <c r="C358" s="52">
        <f t="shared" si="59"/>
        <v>1</v>
      </c>
      <c r="D358" s="962"/>
      <c r="E358" s="52">
        <f t="shared" si="60"/>
        <v>1</v>
      </c>
      <c r="F358" s="962"/>
      <c r="G358" s="52">
        <f t="shared" si="61"/>
        <v>1</v>
      </c>
      <c r="H358" s="962"/>
      <c r="I358" s="52">
        <f t="shared" si="62"/>
        <v>1</v>
      </c>
      <c r="J358" s="962"/>
      <c r="K358" s="52">
        <f t="shared" si="63"/>
        <v>1</v>
      </c>
      <c r="L358" s="962"/>
      <c r="M358" s="52">
        <f t="shared" si="64"/>
        <v>1</v>
      </c>
      <c r="N358" s="962"/>
      <c r="O358" s="52">
        <f t="shared" si="65"/>
        <v>1</v>
      </c>
      <c r="P358" s="962"/>
      <c r="Q358" s="52">
        <f t="shared" si="66"/>
        <v>1</v>
      </c>
      <c r="R358" s="492">
        <f t="shared" si="67"/>
        <v>0</v>
      </c>
      <c r="S358" s="800">
        <f t="shared" si="58"/>
        <v>0</v>
      </c>
    </row>
    <row r="359" spans="1:19">
      <c r="A359" s="964"/>
      <c r="B359" s="136"/>
      <c r="C359" s="52">
        <f t="shared" si="59"/>
        <v>1</v>
      </c>
      <c r="D359" s="962"/>
      <c r="E359" s="52">
        <f t="shared" si="60"/>
        <v>1</v>
      </c>
      <c r="F359" s="962"/>
      <c r="G359" s="52">
        <f t="shared" si="61"/>
        <v>1</v>
      </c>
      <c r="H359" s="962"/>
      <c r="I359" s="52">
        <f t="shared" si="62"/>
        <v>1</v>
      </c>
      <c r="J359" s="962"/>
      <c r="K359" s="52">
        <f t="shared" si="63"/>
        <v>1</v>
      </c>
      <c r="L359" s="962"/>
      <c r="M359" s="52">
        <f t="shared" si="64"/>
        <v>1</v>
      </c>
      <c r="N359" s="962"/>
      <c r="O359" s="52">
        <f t="shared" si="65"/>
        <v>1</v>
      </c>
      <c r="P359" s="962"/>
      <c r="Q359" s="52">
        <f t="shared" si="66"/>
        <v>1</v>
      </c>
      <c r="R359" s="492">
        <f t="shared" si="67"/>
        <v>0</v>
      </c>
      <c r="S359" s="800">
        <f t="shared" si="58"/>
        <v>0</v>
      </c>
    </row>
    <row r="360" spans="1:19">
      <c r="A360" s="964"/>
      <c r="B360" s="136"/>
      <c r="C360" s="52">
        <f t="shared" si="59"/>
        <v>1</v>
      </c>
      <c r="D360" s="962"/>
      <c r="E360" s="52">
        <f t="shared" si="60"/>
        <v>1</v>
      </c>
      <c r="F360" s="962"/>
      <c r="G360" s="52">
        <f t="shared" si="61"/>
        <v>1</v>
      </c>
      <c r="H360" s="962"/>
      <c r="I360" s="52">
        <f t="shared" si="62"/>
        <v>1</v>
      </c>
      <c r="J360" s="962"/>
      <c r="K360" s="52">
        <f t="shared" si="63"/>
        <v>1</v>
      </c>
      <c r="L360" s="962"/>
      <c r="M360" s="52">
        <f t="shared" si="64"/>
        <v>1</v>
      </c>
      <c r="N360" s="962"/>
      <c r="O360" s="52">
        <f t="shared" si="65"/>
        <v>1</v>
      </c>
      <c r="P360" s="962"/>
      <c r="Q360" s="52">
        <f t="shared" si="66"/>
        <v>1</v>
      </c>
      <c r="R360" s="492">
        <f t="shared" si="67"/>
        <v>0</v>
      </c>
      <c r="S360" s="800">
        <f t="shared" si="58"/>
        <v>0</v>
      </c>
    </row>
    <row r="361" spans="1:19">
      <c r="A361" s="964"/>
      <c r="B361" s="136"/>
      <c r="C361" s="52">
        <f t="shared" si="59"/>
        <v>1</v>
      </c>
      <c r="D361" s="962"/>
      <c r="E361" s="52">
        <f t="shared" si="60"/>
        <v>1</v>
      </c>
      <c r="F361" s="962"/>
      <c r="G361" s="52">
        <f t="shared" si="61"/>
        <v>1</v>
      </c>
      <c r="H361" s="962"/>
      <c r="I361" s="52">
        <f t="shared" si="62"/>
        <v>1</v>
      </c>
      <c r="J361" s="962"/>
      <c r="K361" s="52">
        <f t="shared" si="63"/>
        <v>1</v>
      </c>
      <c r="L361" s="962"/>
      <c r="M361" s="52">
        <f t="shared" si="64"/>
        <v>1</v>
      </c>
      <c r="N361" s="962"/>
      <c r="O361" s="52">
        <f t="shared" si="65"/>
        <v>1</v>
      </c>
      <c r="P361" s="962"/>
      <c r="Q361" s="52">
        <f t="shared" si="66"/>
        <v>1</v>
      </c>
      <c r="R361" s="492">
        <f t="shared" si="67"/>
        <v>0</v>
      </c>
      <c r="S361" s="800">
        <f t="shared" si="58"/>
        <v>0</v>
      </c>
    </row>
    <row r="362" spans="1:19">
      <c r="A362" s="964"/>
      <c r="B362" s="136"/>
      <c r="C362" s="52">
        <f t="shared" si="59"/>
        <v>1</v>
      </c>
      <c r="D362" s="962"/>
      <c r="E362" s="52">
        <f t="shared" si="60"/>
        <v>1</v>
      </c>
      <c r="F362" s="962"/>
      <c r="G362" s="52">
        <f t="shared" si="61"/>
        <v>1</v>
      </c>
      <c r="H362" s="962"/>
      <c r="I362" s="52">
        <f t="shared" si="62"/>
        <v>1</v>
      </c>
      <c r="J362" s="962"/>
      <c r="K362" s="52">
        <f t="shared" si="63"/>
        <v>1</v>
      </c>
      <c r="L362" s="962"/>
      <c r="M362" s="52">
        <f t="shared" si="64"/>
        <v>1</v>
      </c>
      <c r="N362" s="962"/>
      <c r="O362" s="52">
        <f t="shared" si="65"/>
        <v>1</v>
      </c>
      <c r="P362" s="962"/>
      <c r="Q362" s="52">
        <f t="shared" si="66"/>
        <v>1</v>
      </c>
      <c r="R362" s="492">
        <f t="shared" si="67"/>
        <v>0</v>
      </c>
      <c r="S362" s="800">
        <f t="shared" si="58"/>
        <v>0</v>
      </c>
    </row>
    <row r="363" spans="1:19">
      <c r="A363" s="964"/>
      <c r="B363" s="136"/>
      <c r="C363" s="52">
        <f t="shared" si="59"/>
        <v>1</v>
      </c>
      <c r="D363" s="962"/>
      <c r="E363" s="52">
        <f t="shared" si="60"/>
        <v>1</v>
      </c>
      <c r="F363" s="962"/>
      <c r="G363" s="52">
        <f t="shared" si="61"/>
        <v>1</v>
      </c>
      <c r="H363" s="962"/>
      <c r="I363" s="52">
        <f t="shared" si="62"/>
        <v>1</v>
      </c>
      <c r="J363" s="962"/>
      <c r="K363" s="52">
        <f t="shared" si="63"/>
        <v>1</v>
      </c>
      <c r="L363" s="962"/>
      <c r="M363" s="52">
        <f t="shared" si="64"/>
        <v>1</v>
      </c>
      <c r="N363" s="962"/>
      <c r="O363" s="52">
        <f t="shared" si="65"/>
        <v>1</v>
      </c>
      <c r="P363" s="962"/>
      <c r="Q363" s="52">
        <f t="shared" si="66"/>
        <v>1</v>
      </c>
      <c r="R363" s="492">
        <f t="shared" si="67"/>
        <v>0</v>
      </c>
      <c r="S363" s="800">
        <f t="shared" si="58"/>
        <v>0</v>
      </c>
    </row>
    <row r="364" spans="1:19">
      <c r="A364" s="964"/>
      <c r="B364" s="136"/>
      <c r="C364" s="52">
        <f t="shared" si="59"/>
        <v>1</v>
      </c>
      <c r="D364" s="962"/>
      <c r="E364" s="52">
        <f t="shared" si="60"/>
        <v>1</v>
      </c>
      <c r="F364" s="962"/>
      <c r="G364" s="52">
        <f t="shared" si="61"/>
        <v>1</v>
      </c>
      <c r="H364" s="962"/>
      <c r="I364" s="52">
        <f t="shared" si="62"/>
        <v>1</v>
      </c>
      <c r="J364" s="962"/>
      <c r="K364" s="52">
        <f t="shared" si="63"/>
        <v>1</v>
      </c>
      <c r="L364" s="962"/>
      <c r="M364" s="52">
        <f t="shared" si="64"/>
        <v>1</v>
      </c>
      <c r="N364" s="962"/>
      <c r="O364" s="52">
        <f t="shared" si="65"/>
        <v>1</v>
      </c>
      <c r="P364" s="962"/>
      <c r="Q364" s="52">
        <f t="shared" si="66"/>
        <v>1</v>
      </c>
      <c r="R364" s="492">
        <f t="shared" si="67"/>
        <v>0</v>
      </c>
      <c r="S364" s="800">
        <f t="shared" si="58"/>
        <v>0</v>
      </c>
    </row>
    <row r="365" spans="1:19">
      <c r="A365" s="964"/>
      <c r="B365" s="136"/>
      <c r="C365" s="52">
        <f t="shared" si="59"/>
        <v>1</v>
      </c>
      <c r="D365" s="962"/>
      <c r="E365" s="52">
        <f t="shared" si="60"/>
        <v>1</v>
      </c>
      <c r="F365" s="962"/>
      <c r="G365" s="52">
        <f t="shared" si="61"/>
        <v>1</v>
      </c>
      <c r="H365" s="962"/>
      <c r="I365" s="52">
        <f t="shared" si="62"/>
        <v>1</v>
      </c>
      <c r="J365" s="962"/>
      <c r="K365" s="52">
        <f t="shared" si="63"/>
        <v>1</v>
      </c>
      <c r="L365" s="962"/>
      <c r="M365" s="52">
        <f t="shared" si="64"/>
        <v>1</v>
      </c>
      <c r="N365" s="962"/>
      <c r="O365" s="52">
        <f t="shared" si="65"/>
        <v>1</v>
      </c>
      <c r="P365" s="962"/>
      <c r="Q365" s="52">
        <f t="shared" si="66"/>
        <v>1</v>
      </c>
      <c r="R365" s="492">
        <f t="shared" si="67"/>
        <v>0</v>
      </c>
      <c r="S365" s="800">
        <f t="shared" si="58"/>
        <v>0</v>
      </c>
    </row>
    <row r="366" spans="1:19">
      <c r="A366" s="964"/>
      <c r="B366" s="136"/>
      <c r="C366" s="52">
        <f t="shared" si="59"/>
        <v>1</v>
      </c>
      <c r="D366" s="962"/>
      <c r="E366" s="52">
        <f t="shared" si="60"/>
        <v>1</v>
      </c>
      <c r="F366" s="962"/>
      <c r="G366" s="52">
        <f t="shared" si="61"/>
        <v>1</v>
      </c>
      <c r="H366" s="962"/>
      <c r="I366" s="52">
        <f t="shared" si="62"/>
        <v>1</v>
      </c>
      <c r="J366" s="962"/>
      <c r="K366" s="52">
        <f t="shared" si="63"/>
        <v>1</v>
      </c>
      <c r="L366" s="962"/>
      <c r="M366" s="52">
        <f t="shared" si="64"/>
        <v>1</v>
      </c>
      <c r="N366" s="962"/>
      <c r="O366" s="52">
        <f t="shared" si="65"/>
        <v>1</v>
      </c>
      <c r="P366" s="962"/>
      <c r="Q366" s="52">
        <f t="shared" si="66"/>
        <v>1</v>
      </c>
      <c r="R366" s="492">
        <f t="shared" si="67"/>
        <v>0</v>
      </c>
      <c r="S366" s="800">
        <f t="shared" si="58"/>
        <v>0</v>
      </c>
    </row>
    <row r="367" spans="1:19">
      <c r="A367" s="964"/>
      <c r="B367" s="136"/>
      <c r="C367" s="52">
        <f t="shared" si="59"/>
        <v>1</v>
      </c>
      <c r="D367" s="962"/>
      <c r="E367" s="52">
        <f t="shared" si="60"/>
        <v>1</v>
      </c>
      <c r="F367" s="962"/>
      <c r="G367" s="52">
        <f t="shared" si="61"/>
        <v>1</v>
      </c>
      <c r="H367" s="962"/>
      <c r="I367" s="52">
        <f t="shared" si="62"/>
        <v>1</v>
      </c>
      <c r="J367" s="962"/>
      <c r="K367" s="52">
        <f t="shared" si="63"/>
        <v>1</v>
      </c>
      <c r="L367" s="962"/>
      <c r="M367" s="52">
        <f t="shared" si="64"/>
        <v>1</v>
      </c>
      <c r="N367" s="962"/>
      <c r="O367" s="52">
        <f t="shared" si="65"/>
        <v>1</v>
      </c>
      <c r="P367" s="962"/>
      <c r="Q367" s="52">
        <f t="shared" si="66"/>
        <v>1</v>
      </c>
      <c r="R367" s="492">
        <f t="shared" si="67"/>
        <v>0</v>
      </c>
      <c r="S367" s="800">
        <f t="shared" si="58"/>
        <v>0</v>
      </c>
    </row>
    <row r="368" spans="1:19">
      <c r="A368" s="964"/>
      <c r="B368" s="136"/>
      <c r="C368" s="52">
        <f t="shared" si="59"/>
        <v>1</v>
      </c>
      <c r="D368" s="962"/>
      <c r="E368" s="52">
        <f t="shared" si="60"/>
        <v>1</v>
      </c>
      <c r="F368" s="962"/>
      <c r="G368" s="52">
        <f t="shared" si="61"/>
        <v>1</v>
      </c>
      <c r="H368" s="962"/>
      <c r="I368" s="52">
        <f t="shared" si="62"/>
        <v>1</v>
      </c>
      <c r="J368" s="962"/>
      <c r="K368" s="52">
        <f t="shared" si="63"/>
        <v>1</v>
      </c>
      <c r="L368" s="962"/>
      <c r="M368" s="52">
        <f t="shared" si="64"/>
        <v>1</v>
      </c>
      <c r="N368" s="962"/>
      <c r="O368" s="52">
        <f t="shared" si="65"/>
        <v>1</v>
      </c>
      <c r="P368" s="962"/>
      <c r="Q368" s="52">
        <f t="shared" si="66"/>
        <v>1</v>
      </c>
      <c r="R368" s="492">
        <f t="shared" si="67"/>
        <v>0</v>
      </c>
      <c r="S368" s="800">
        <f t="shared" si="58"/>
        <v>0</v>
      </c>
    </row>
    <row r="369" spans="1:19">
      <c r="A369" s="964"/>
      <c r="B369" s="136"/>
      <c r="C369" s="52">
        <f t="shared" si="59"/>
        <v>1</v>
      </c>
      <c r="D369" s="962"/>
      <c r="E369" s="52">
        <f t="shared" si="60"/>
        <v>1</v>
      </c>
      <c r="F369" s="962"/>
      <c r="G369" s="52">
        <f t="shared" si="61"/>
        <v>1</v>
      </c>
      <c r="H369" s="962"/>
      <c r="I369" s="52">
        <f t="shared" si="62"/>
        <v>1</v>
      </c>
      <c r="J369" s="962"/>
      <c r="K369" s="52">
        <f t="shared" si="63"/>
        <v>1</v>
      </c>
      <c r="L369" s="962"/>
      <c r="M369" s="52">
        <f t="shared" si="64"/>
        <v>1</v>
      </c>
      <c r="N369" s="962"/>
      <c r="O369" s="52">
        <f t="shared" si="65"/>
        <v>1</v>
      </c>
      <c r="P369" s="962"/>
      <c r="Q369" s="52">
        <f t="shared" si="66"/>
        <v>1</v>
      </c>
      <c r="R369" s="492">
        <f t="shared" si="67"/>
        <v>0</v>
      </c>
      <c r="S369" s="800">
        <f t="shared" si="58"/>
        <v>0</v>
      </c>
    </row>
    <row r="370" spans="1:19">
      <c r="A370" s="964"/>
      <c r="B370" s="136"/>
      <c r="C370" s="52">
        <f t="shared" si="59"/>
        <v>1</v>
      </c>
      <c r="D370" s="962"/>
      <c r="E370" s="52">
        <f t="shared" si="60"/>
        <v>1</v>
      </c>
      <c r="F370" s="962"/>
      <c r="G370" s="52">
        <f t="shared" si="61"/>
        <v>1</v>
      </c>
      <c r="H370" s="962"/>
      <c r="I370" s="52">
        <f t="shared" si="62"/>
        <v>1</v>
      </c>
      <c r="J370" s="962"/>
      <c r="K370" s="52">
        <f t="shared" si="63"/>
        <v>1</v>
      </c>
      <c r="L370" s="962"/>
      <c r="M370" s="52">
        <f t="shared" si="64"/>
        <v>1</v>
      </c>
      <c r="N370" s="962"/>
      <c r="O370" s="52">
        <f t="shared" si="65"/>
        <v>1</v>
      </c>
      <c r="P370" s="962"/>
      <c r="Q370" s="52">
        <f t="shared" si="66"/>
        <v>1</v>
      </c>
      <c r="R370" s="492">
        <f t="shared" si="67"/>
        <v>0</v>
      </c>
      <c r="S370" s="800">
        <f t="shared" si="58"/>
        <v>0</v>
      </c>
    </row>
    <row r="371" spans="1:19">
      <c r="A371" s="964"/>
      <c r="B371" s="136"/>
      <c r="C371" s="52">
        <f t="shared" si="59"/>
        <v>1</v>
      </c>
      <c r="D371" s="962"/>
      <c r="E371" s="52">
        <f t="shared" si="60"/>
        <v>1</v>
      </c>
      <c r="F371" s="962"/>
      <c r="G371" s="52">
        <f t="shared" si="61"/>
        <v>1</v>
      </c>
      <c r="H371" s="962"/>
      <c r="I371" s="52">
        <f t="shared" si="62"/>
        <v>1</v>
      </c>
      <c r="J371" s="962"/>
      <c r="K371" s="52">
        <f t="shared" si="63"/>
        <v>1</v>
      </c>
      <c r="L371" s="962"/>
      <c r="M371" s="52">
        <f t="shared" si="64"/>
        <v>1</v>
      </c>
      <c r="N371" s="962"/>
      <c r="O371" s="52">
        <f t="shared" si="65"/>
        <v>1</v>
      </c>
      <c r="P371" s="962"/>
      <c r="Q371" s="52">
        <f t="shared" si="66"/>
        <v>1</v>
      </c>
      <c r="R371" s="492">
        <f t="shared" si="67"/>
        <v>0</v>
      </c>
      <c r="S371" s="800">
        <f t="shared" si="58"/>
        <v>0</v>
      </c>
    </row>
    <row r="372" spans="1:19">
      <c r="A372" s="964"/>
      <c r="B372" s="136"/>
      <c r="C372" s="52">
        <f t="shared" si="59"/>
        <v>1</v>
      </c>
      <c r="D372" s="962"/>
      <c r="E372" s="52">
        <f t="shared" si="60"/>
        <v>1</v>
      </c>
      <c r="F372" s="962"/>
      <c r="G372" s="52">
        <f t="shared" si="61"/>
        <v>1</v>
      </c>
      <c r="H372" s="962"/>
      <c r="I372" s="52">
        <f t="shared" si="62"/>
        <v>1</v>
      </c>
      <c r="J372" s="962"/>
      <c r="K372" s="52">
        <f t="shared" si="63"/>
        <v>1</v>
      </c>
      <c r="L372" s="962"/>
      <c r="M372" s="52">
        <f t="shared" si="64"/>
        <v>1</v>
      </c>
      <c r="N372" s="962"/>
      <c r="O372" s="52">
        <f t="shared" si="65"/>
        <v>1</v>
      </c>
      <c r="P372" s="962"/>
      <c r="Q372" s="52">
        <f t="shared" si="66"/>
        <v>1</v>
      </c>
      <c r="R372" s="492">
        <f t="shared" si="67"/>
        <v>0</v>
      </c>
      <c r="S372" s="800">
        <f t="shared" si="58"/>
        <v>0</v>
      </c>
    </row>
    <row r="373" spans="1:19">
      <c r="A373" s="964"/>
      <c r="B373" s="136"/>
      <c r="C373" s="52">
        <f t="shared" si="59"/>
        <v>1</v>
      </c>
      <c r="D373" s="962"/>
      <c r="E373" s="52">
        <f t="shared" si="60"/>
        <v>1</v>
      </c>
      <c r="F373" s="962"/>
      <c r="G373" s="52">
        <f t="shared" si="61"/>
        <v>1</v>
      </c>
      <c r="H373" s="962"/>
      <c r="I373" s="52">
        <f t="shared" si="62"/>
        <v>1</v>
      </c>
      <c r="J373" s="962"/>
      <c r="K373" s="52">
        <f t="shared" si="63"/>
        <v>1</v>
      </c>
      <c r="L373" s="962"/>
      <c r="M373" s="52">
        <f t="shared" si="64"/>
        <v>1</v>
      </c>
      <c r="N373" s="962"/>
      <c r="O373" s="52">
        <f t="shared" si="65"/>
        <v>1</v>
      </c>
      <c r="P373" s="962"/>
      <c r="Q373" s="52">
        <f t="shared" si="66"/>
        <v>1</v>
      </c>
      <c r="R373" s="492">
        <f t="shared" si="67"/>
        <v>0</v>
      </c>
      <c r="S373" s="800">
        <f t="shared" si="58"/>
        <v>0</v>
      </c>
    </row>
    <row r="374" spans="1:19">
      <c r="A374" s="964"/>
      <c r="B374" s="136"/>
      <c r="C374" s="52">
        <f t="shared" si="59"/>
        <v>1</v>
      </c>
      <c r="D374" s="962"/>
      <c r="E374" s="52">
        <f t="shared" si="60"/>
        <v>1</v>
      </c>
      <c r="F374" s="962"/>
      <c r="G374" s="52">
        <f t="shared" si="61"/>
        <v>1</v>
      </c>
      <c r="H374" s="962"/>
      <c r="I374" s="52">
        <f t="shared" si="62"/>
        <v>1</v>
      </c>
      <c r="J374" s="962"/>
      <c r="K374" s="52">
        <f t="shared" si="63"/>
        <v>1</v>
      </c>
      <c r="L374" s="962"/>
      <c r="M374" s="52">
        <f t="shared" si="64"/>
        <v>1</v>
      </c>
      <c r="N374" s="962"/>
      <c r="O374" s="52">
        <f t="shared" si="65"/>
        <v>1</v>
      </c>
      <c r="P374" s="962"/>
      <c r="Q374" s="52">
        <f t="shared" si="66"/>
        <v>1</v>
      </c>
      <c r="R374" s="492">
        <f t="shared" si="67"/>
        <v>0</v>
      </c>
      <c r="S374" s="800">
        <f t="shared" si="58"/>
        <v>0</v>
      </c>
    </row>
    <row r="375" spans="1:19">
      <c r="A375" s="964"/>
      <c r="B375" s="136"/>
      <c r="C375" s="52">
        <f t="shared" si="59"/>
        <v>1</v>
      </c>
      <c r="D375" s="962"/>
      <c r="E375" s="52">
        <f t="shared" si="60"/>
        <v>1</v>
      </c>
      <c r="F375" s="962"/>
      <c r="G375" s="52">
        <f t="shared" si="61"/>
        <v>1</v>
      </c>
      <c r="H375" s="962"/>
      <c r="I375" s="52">
        <f t="shared" si="62"/>
        <v>1</v>
      </c>
      <c r="J375" s="962"/>
      <c r="K375" s="52">
        <f t="shared" si="63"/>
        <v>1</v>
      </c>
      <c r="L375" s="962"/>
      <c r="M375" s="52">
        <f t="shared" si="64"/>
        <v>1</v>
      </c>
      <c r="N375" s="962"/>
      <c r="O375" s="52">
        <f t="shared" si="65"/>
        <v>1</v>
      </c>
      <c r="P375" s="962"/>
      <c r="Q375" s="52">
        <f t="shared" si="66"/>
        <v>1</v>
      </c>
      <c r="R375" s="492">
        <f t="shared" si="67"/>
        <v>0</v>
      </c>
      <c r="S375" s="800">
        <f t="shared" si="58"/>
        <v>0</v>
      </c>
    </row>
    <row r="376" spans="1:19">
      <c r="A376" s="964"/>
      <c r="B376" s="136"/>
      <c r="C376" s="52">
        <f t="shared" si="59"/>
        <v>1</v>
      </c>
      <c r="D376" s="962"/>
      <c r="E376" s="52">
        <f t="shared" si="60"/>
        <v>1</v>
      </c>
      <c r="F376" s="962"/>
      <c r="G376" s="52">
        <f t="shared" si="61"/>
        <v>1</v>
      </c>
      <c r="H376" s="962"/>
      <c r="I376" s="52">
        <f t="shared" si="62"/>
        <v>1</v>
      </c>
      <c r="J376" s="962"/>
      <c r="K376" s="52">
        <f t="shared" si="63"/>
        <v>1</v>
      </c>
      <c r="L376" s="962"/>
      <c r="M376" s="52">
        <f t="shared" si="64"/>
        <v>1</v>
      </c>
      <c r="N376" s="962"/>
      <c r="O376" s="52">
        <f t="shared" si="65"/>
        <v>1</v>
      </c>
      <c r="P376" s="962"/>
      <c r="Q376" s="52">
        <f t="shared" si="66"/>
        <v>1</v>
      </c>
      <c r="R376" s="492">
        <f t="shared" si="67"/>
        <v>0</v>
      </c>
      <c r="S376" s="800">
        <f t="shared" si="58"/>
        <v>0</v>
      </c>
    </row>
    <row r="377" spans="1:19">
      <c r="A377" s="964"/>
      <c r="B377" s="136"/>
      <c r="C377" s="52">
        <f t="shared" si="59"/>
        <v>1</v>
      </c>
      <c r="D377" s="962"/>
      <c r="E377" s="52">
        <f t="shared" si="60"/>
        <v>1</v>
      </c>
      <c r="F377" s="962"/>
      <c r="G377" s="52">
        <f t="shared" si="61"/>
        <v>1</v>
      </c>
      <c r="H377" s="962"/>
      <c r="I377" s="52">
        <f t="shared" si="62"/>
        <v>1</v>
      </c>
      <c r="J377" s="962"/>
      <c r="K377" s="52">
        <f t="shared" si="63"/>
        <v>1</v>
      </c>
      <c r="L377" s="962"/>
      <c r="M377" s="52">
        <f t="shared" si="64"/>
        <v>1</v>
      </c>
      <c r="N377" s="962"/>
      <c r="O377" s="52">
        <f t="shared" si="65"/>
        <v>1</v>
      </c>
      <c r="P377" s="962"/>
      <c r="Q377" s="52">
        <f t="shared" si="66"/>
        <v>1</v>
      </c>
      <c r="R377" s="492">
        <f t="shared" si="67"/>
        <v>0</v>
      </c>
      <c r="S377" s="800">
        <f t="shared" si="58"/>
        <v>0</v>
      </c>
    </row>
    <row r="378" spans="1:19">
      <c r="A378" s="964"/>
      <c r="B378" s="136"/>
      <c r="C378" s="52">
        <f t="shared" si="59"/>
        <v>1</v>
      </c>
      <c r="D378" s="962"/>
      <c r="E378" s="52">
        <f t="shared" si="60"/>
        <v>1</v>
      </c>
      <c r="F378" s="962"/>
      <c r="G378" s="52">
        <f t="shared" si="61"/>
        <v>1</v>
      </c>
      <c r="H378" s="962"/>
      <c r="I378" s="52">
        <f t="shared" si="62"/>
        <v>1</v>
      </c>
      <c r="J378" s="962"/>
      <c r="K378" s="52">
        <f t="shared" si="63"/>
        <v>1</v>
      </c>
      <c r="L378" s="962"/>
      <c r="M378" s="52">
        <f t="shared" si="64"/>
        <v>1</v>
      </c>
      <c r="N378" s="962"/>
      <c r="O378" s="52">
        <f t="shared" si="65"/>
        <v>1</v>
      </c>
      <c r="P378" s="962"/>
      <c r="Q378" s="52">
        <f t="shared" si="66"/>
        <v>1</v>
      </c>
      <c r="R378" s="492">
        <f t="shared" si="67"/>
        <v>0</v>
      </c>
      <c r="S378" s="800">
        <f t="shared" si="58"/>
        <v>0</v>
      </c>
    </row>
    <row r="379" spans="1:19">
      <c r="A379" s="964"/>
      <c r="B379" s="136"/>
      <c r="C379" s="52">
        <f t="shared" si="59"/>
        <v>1</v>
      </c>
      <c r="D379" s="962"/>
      <c r="E379" s="52">
        <f t="shared" si="60"/>
        <v>1</v>
      </c>
      <c r="F379" s="962"/>
      <c r="G379" s="52">
        <f t="shared" si="61"/>
        <v>1</v>
      </c>
      <c r="H379" s="962"/>
      <c r="I379" s="52">
        <f t="shared" si="62"/>
        <v>1</v>
      </c>
      <c r="J379" s="962"/>
      <c r="K379" s="52">
        <f t="shared" si="63"/>
        <v>1</v>
      </c>
      <c r="L379" s="962"/>
      <c r="M379" s="52">
        <f t="shared" si="64"/>
        <v>1</v>
      </c>
      <c r="N379" s="962"/>
      <c r="O379" s="52">
        <f t="shared" si="65"/>
        <v>1</v>
      </c>
      <c r="P379" s="962"/>
      <c r="Q379" s="52">
        <f t="shared" si="66"/>
        <v>1</v>
      </c>
      <c r="R379" s="492">
        <f t="shared" si="67"/>
        <v>0</v>
      </c>
      <c r="S379" s="800">
        <f t="shared" si="58"/>
        <v>0</v>
      </c>
    </row>
    <row r="380" spans="1:19">
      <c r="A380" s="964"/>
      <c r="B380" s="136"/>
      <c r="C380" s="52">
        <f t="shared" si="59"/>
        <v>1</v>
      </c>
      <c r="D380" s="962"/>
      <c r="E380" s="52">
        <f t="shared" si="60"/>
        <v>1</v>
      </c>
      <c r="F380" s="962"/>
      <c r="G380" s="52">
        <f t="shared" si="61"/>
        <v>1</v>
      </c>
      <c r="H380" s="962"/>
      <c r="I380" s="52">
        <f t="shared" si="62"/>
        <v>1</v>
      </c>
      <c r="J380" s="962"/>
      <c r="K380" s="52">
        <f t="shared" si="63"/>
        <v>1</v>
      </c>
      <c r="L380" s="962"/>
      <c r="M380" s="52">
        <f t="shared" si="64"/>
        <v>1</v>
      </c>
      <c r="N380" s="962"/>
      <c r="O380" s="52">
        <f t="shared" si="65"/>
        <v>1</v>
      </c>
      <c r="P380" s="962"/>
      <c r="Q380" s="52">
        <f t="shared" si="66"/>
        <v>1</v>
      </c>
      <c r="R380" s="492">
        <f t="shared" si="67"/>
        <v>0</v>
      </c>
      <c r="S380" s="800">
        <f t="shared" si="58"/>
        <v>0</v>
      </c>
    </row>
    <row r="381" spans="1:19">
      <c r="A381" s="964"/>
      <c r="B381" s="136"/>
      <c r="C381" s="52">
        <f t="shared" si="59"/>
        <v>1</v>
      </c>
      <c r="D381" s="962"/>
      <c r="E381" s="52">
        <f t="shared" si="60"/>
        <v>1</v>
      </c>
      <c r="F381" s="962"/>
      <c r="G381" s="52">
        <f t="shared" si="61"/>
        <v>1</v>
      </c>
      <c r="H381" s="962"/>
      <c r="I381" s="52">
        <f t="shared" si="62"/>
        <v>1</v>
      </c>
      <c r="J381" s="962"/>
      <c r="K381" s="52">
        <f t="shared" si="63"/>
        <v>1</v>
      </c>
      <c r="L381" s="962"/>
      <c r="M381" s="52">
        <f t="shared" si="64"/>
        <v>1</v>
      </c>
      <c r="N381" s="962"/>
      <c r="O381" s="52">
        <f t="shared" si="65"/>
        <v>1</v>
      </c>
      <c r="P381" s="962"/>
      <c r="Q381" s="52">
        <f t="shared" si="66"/>
        <v>1</v>
      </c>
      <c r="R381" s="492">
        <f t="shared" si="67"/>
        <v>0</v>
      </c>
      <c r="S381" s="800">
        <f t="shared" si="58"/>
        <v>0</v>
      </c>
    </row>
    <row r="382" spans="1:19">
      <c r="A382" s="964"/>
      <c r="B382" s="136"/>
      <c r="C382" s="52">
        <f t="shared" si="59"/>
        <v>1</v>
      </c>
      <c r="D382" s="962"/>
      <c r="E382" s="52">
        <f t="shared" si="60"/>
        <v>1</v>
      </c>
      <c r="F382" s="962"/>
      <c r="G382" s="52">
        <f t="shared" si="61"/>
        <v>1</v>
      </c>
      <c r="H382" s="962"/>
      <c r="I382" s="52">
        <f t="shared" si="62"/>
        <v>1</v>
      </c>
      <c r="J382" s="962"/>
      <c r="K382" s="52">
        <f t="shared" si="63"/>
        <v>1</v>
      </c>
      <c r="L382" s="962"/>
      <c r="M382" s="52">
        <f t="shared" si="64"/>
        <v>1</v>
      </c>
      <c r="N382" s="962"/>
      <c r="O382" s="52">
        <f t="shared" si="65"/>
        <v>1</v>
      </c>
      <c r="P382" s="962"/>
      <c r="Q382" s="52">
        <f t="shared" si="66"/>
        <v>1</v>
      </c>
      <c r="R382" s="492">
        <f t="shared" si="67"/>
        <v>0</v>
      </c>
      <c r="S382" s="800">
        <f t="shared" si="58"/>
        <v>0</v>
      </c>
    </row>
    <row r="383" spans="1:19">
      <c r="A383" s="964"/>
      <c r="B383" s="136"/>
      <c r="C383" s="52">
        <f t="shared" si="59"/>
        <v>1</v>
      </c>
      <c r="D383" s="962"/>
      <c r="E383" s="52">
        <f t="shared" si="60"/>
        <v>1</v>
      </c>
      <c r="F383" s="962"/>
      <c r="G383" s="52">
        <f t="shared" si="61"/>
        <v>1</v>
      </c>
      <c r="H383" s="962"/>
      <c r="I383" s="52">
        <f t="shared" si="62"/>
        <v>1</v>
      </c>
      <c r="J383" s="962"/>
      <c r="K383" s="52">
        <f t="shared" si="63"/>
        <v>1</v>
      </c>
      <c r="L383" s="962"/>
      <c r="M383" s="52">
        <f t="shared" si="64"/>
        <v>1</v>
      </c>
      <c r="N383" s="962"/>
      <c r="O383" s="52">
        <f t="shared" si="65"/>
        <v>1</v>
      </c>
      <c r="P383" s="962"/>
      <c r="Q383" s="52">
        <f t="shared" si="66"/>
        <v>1</v>
      </c>
      <c r="R383" s="492">
        <f t="shared" si="67"/>
        <v>0</v>
      </c>
      <c r="S383" s="800">
        <f t="shared" si="58"/>
        <v>0</v>
      </c>
    </row>
    <row r="384" spans="1:19">
      <c r="A384" s="964"/>
      <c r="B384" s="136"/>
      <c r="C384" s="52">
        <f t="shared" si="59"/>
        <v>1</v>
      </c>
      <c r="D384" s="962"/>
      <c r="E384" s="52">
        <f t="shared" si="60"/>
        <v>1</v>
      </c>
      <c r="F384" s="962"/>
      <c r="G384" s="52">
        <f t="shared" si="61"/>
        <v>1</v>
      </c>
      <c r="H384" s="962"/>
      <c r="I384" s="52">
        <f t="shared" si="62"/>
        <v>1</v>
      </c>
      <c r="J384" s="962"/>
      <c r="K384" s="52">
        <f t="shared" si="63"/>
        <v>1</v>
      </c>
      <c r="L384" s="962"/>
      <c r="M384" s="52">
        <f t="shared" si="64"/>
        <v>1</v>
      </c>
      <c r="N384" s="962"/>
      <c r="O384" s="52">
        <f t="shared" si="65"/>
        <v>1</v>
      </c>
      <c r="P384" s="962"/>
      <c r="Q384" s="52">
        <f t="shared" si="66"/>
        <v>1</v>
      </c>
      <c r="R384" s="492">
        <f t="shared" si="67"/>
        <v>0</v>
      </c>
      <c r="S384" s="800">
        <f t="shared" si="58"/>
        <v>0</v>
      </c>
    </row>
    <row r="385" spans="1:19">
      <c r="A385" s="964"/>
      <c r="B385" s="136"/>
      <c r="C385" s="52">
        <f t="shared" si="59"/>
        <v>1</v>
      </c>
      <c r="D385" s="962"/>
      <c r="E385" s="52">
        <f t="shared" si="60"/>
        <v>1</v>
      </c>
      <c r="F385" s="962"/>
      <c r="G385" s="52">
        <f t="shared" si="61"/>
        <v>1</v>
      </c>
      <c r="H385" s="962"/>
      <c r="I385" s="52">
        <f t="shared" si="62"/>
        <v>1</v>
      </c>
      <c r="J385" s="962"/>
      <c r="K385" s="52">
        <f t="shared" si="63"/>
        <v>1</v>
      </c>
      <c r="L385" s="962"/>
      <c r="M385" s="52">
        <f t="shared" si="64"/>
        <v>1</v>
      </c>
      <c r="N385" s="962"/>
      <c r="O385" s="52">
        <f t="shared" si="65"/>
        <v>1</v>
      </c>
      <c r="P385" s="962"/>
      <c r="Q385" s="52">
        <f t="shared" si="66"/>
        <v>1</v>
      </c>
      <c r="R385" s="492">
        <f t="shared" si="67"/>
        <v>0</v>
      </c>
      <c r="S385" s="800">
        <f t="shared" ref="S385:S422" si="68">ROUND(R385*B385/10000,0)</f>
        <v>0</v>
      </c>
    </row>
    <row r="386" spans="1:19">
      <c r="A386" s="964"/>
      <c r="B386" s="136"/>
      <c r="C386" s="52">
        <f t="shared" si="59"/>
        <v>1</v>
      </c>
      <c r="D386" s="962"/>
      <c r="E386" s="52">
        <f t="shared" si="60"/>
        <v>1</v>
      </c>
      <c r="F386" s="962"/>
      <c r="G386" s="52">
        <f t="shared" si="61"/>
        <v>1</v>
      </c>
      <c r="H386" s="962"/>
      <c r="I386" s="52">
        <f t="shared" si="62"/>
        <v>1</v>
      </c>
      <c r="J386" s="962"/>
      <c r="K386" s="52">
        <f t="shared" si="63"/>
        <v>1</v>
      </c>
      <c r="L386" s="962"/>
      <c r="M386" s="52">
        <f t="shared" si="64"/>
        <v>1</v>
      </c>
      <c r="N386" s="962"/>
      <c r="O386" s="52">
        <f t="shared" si="65"/>
        <v>1</v>
      </c>
      <c r="P386" s="962"/>
      <c r="Q386" s="52">
        <f t="shared" si="66"/>
        <v>1</v>
      </c>
      <c r="R386" s="492">
        <f t="shared" si="67"/>
        <v>0</v>
      </c>
      <c r="S386" s="800">
        <f t="shared" si="68"/>
        <v>0</v>
      </c>
    </row>
    <row r="387" spans="1:19">
      <c r="A387" s="964"/>
      <c r="B387" s="136"/>
      <c r="C387" s="52">
        <f t="shared" si="59"/>
        <v>1</v>
      </c>
      <c r="D387" s="962"/>
      <c r="E387" s="52">
        <f t="shared" si="60"/>
        <v>1</v>
      </c>
      <c r="F387" s="962"/>
      <c r="G387" s="52">
        <f t="shared" si="61"/>
        <v>1</v>
      </c>
      <c r="H387" s="962"/>
      <c r="I387" s="52">
        <f t="shared" si="62"/>
        <v>1</v>
      </c>
      <c r="J387" s="962"/>
      <c r="K387" s="52">
        <f t="shared" si="63"/>
        <v>1</v>
      </c>
      <c r="L387" s="962"/>
      <c r="M387" s="52">
        <f t="shared" si="64"/>
        <v>1</v>
      </c>
      <c r="N387" s="962"/>
      <c r="O387" s="52">
        <f t="shared" si="65"/>
        <v>1</v>
      </c>
      <c r="P387" s="962"/>
      <c r="Q387" s="52">
        <f t="shared" si="66"/>
        <v>1</v>
      </c>
      <c r="R387" s="492">
        <f t="shared" si="67"/>
        <v>0</v>
      </c>
      <c r="S387" s="800">
        <f t="shared" si="68"/>
        <v>0</v>
      </c>
    </row>
    <row r="388" spans="1:19">
      <c r="A388" s="964"/>
      <c r="B388" s="136"/>
      <c r="C388" s="52">
        <f t="shared" si="59"/>
        <v>1</v>
      </c>
      <c r="D388" s="962"/>
      <c r="E388" s="52">
        <f t="shared" si="60"/>
        <v>1</v>
      </c>
      <c r="F388" s="962"/>
      <c r="G388" s="52">
        <f t="shared" si="61"/>
        <v>1</v>
      </c>
      <c r="H388" s="962"/>
      <c r="I388" s="52">
        <f t="shared" si="62"/>
        <v>1</v>
      </c>
      <c r="J388" s="962"/>
      <c r="K388" s="52">
        <f t="shared" si="63"/>
        <v>1</v>
      </c>
      <c r="L388" s="962"/>
      <c r="M388" s="52">
        <f t="shared" si="64"/>
        <v>1</v>
      </c>
      <c r="N388" s="962"/>
      <c r="O388" s="52">
        <f t="shared" si="65"/>
        <v>1</v>
      </c>
      <c r="P388" s="962"/>
      <c r="Q388" s="52">
        <f t="shared" si="66"/>
        <v>1</v>
      </c>
      <c r="R388" s="492">
        <f t="shared" si="67"/>
        <v>0</v>
      </c>
      <c r="S388" s="800">
        <f t="shared" si="68"/>
        <v>0</v>
      </c>
    </row>
    <row r="389" spans="1:19">
      <c r="A389" s="964"/>
      <c r="B389" s="136"/>
      <c r="C389" s="52">
        <f t="shared" si="59"/>
        <v>1</v>
      </c>
      <c r="D389" s="962"/>
      <c r="E389" s="52">
        <f t="shared" si="60"/>
        <v>1</v>
      </c>
      <c r="F389" s="962"/>
      <c r="G389" s="52">
        <f t="shared" si="61"/>
        <v>1</v>
      </c>
      <c r="H389" s="962"/>
      <c r="I389" s="52">
        <f t="shared" si="62"/>
        <v>1</v>
      </c>
      <c r="J389" s="962"/>
      <c r="K389" s="52">
        <f t="shared" si="63"/>
        <v>1</v>
      </c>
      <c r="L389" s="962"/>
      <c r="M389" s="52">
        <f t="shared" si="64"/>
        <v>1</v>
      </c>
      <c r="N389" s="962"/>
      <c r="O389" s="52">
        <f t="shared" si="65"/>
        <v>1</v>
      </c>
      <c r="P389" s="962"/>
      <c r="Q389" s="52">
        <f t="shared" si="66"/>
        <v>1</v>
      </c>
      <c r="R389" s="492">
        <f t="shared" si="67"/>
        <v>0</v>
      </c>
      <c r="S389" s="800">
        <f t="shared" si="68"/>
        <v>0</v>
      </c>
    </row>
    <row r="390" spans="1:19">
      <c r="A390" s="964"/>
      <c r="B390" s="136"/>
      <c r="C390" s="52">
        <f t="shared" si="59"/>
        <v>1</v>
      </c>
      <c r="D390" s="962"/>
      <c r="E390" s="52">
        <f t="shared" si="60"/>
        <v>1</v>
      </c>
      <c r="F390" s="962"/>
      <c r="G390" s="52">
        <f t="shared" si="61"/>
        <v>1</v>
      </c>
      <c r="H390" s="962"/>
      <c r="I390" s="52">
        <f t="shared" si="62"/>
        <v>1</v>
      </c>
      <c r="J390" s="962"/>
      <c r="K390" s="52">
        <f t="shared" si="63"/>
        <v>1</v>
      </c>
      <c r="L390" s="962"/>
      <c r="M390" s="52">
        <f t="shared" si="64"/>
        <v>1</v>
      </c>
      <c r="N390" s="962"/>
      <c r="O390" s="52">
        <f t="shared" si="65"/>
        <v>1</v>
      </c>
      <c r="P390" s="962"/>
      <c r="Q390" s="52">
        <f t="shared" si="66"/>
        <v>1</v>
      </c>
      <c r="R390" s="492">
        <f t="shared" si="67"/>
        <v>0</v>
      </c>
      <c r="S390" s="800">
        <f t="shared" si="68"/>
        <v>0</v>
      </c>
    </row>
    <row r="391" spans="1:19">
      <c r="A391" s="964"/>
      <c r="B391" s="136"/>
      <c r="C391" s="52">
        <f t="shared" si="59"/>
        <v>1</v>
      </c>
      <c r="D391" s="962"/>
      <c r="E391" s="52">
        <f t="shared" si="60"/>
        <v>1</v>
      </c>
      <c r="F391" s="962"/>
      <c r="G391" s="52">
        <f t="shared" si="61"/>
        <v>1</v>
      </c>
      <c r="H391" s="962"/>
      <c r="I391" s="52">
        <f t="shared" si="62"/>
        <v>1</v>
      </c>
      <c r="J391" s="962"/>
      <c r="K391" s="52">
        <f t="shared" si="63"/>
        <v>1</v>
      </c>
      <c r="L391" s="962"/>
      <c r="M391" s="52">
        <f t="shared" si="64"/>
        <v>1</v>
      </c>
      <c r="N391" s="962"/>
      <c r="O391" s="52">
        <f t="shared" si="65"/>
        <v>1</v>
      </c>
      <c r="P391" s="962"/>
      <c r="Q391" s="52">
        <f t="shared" si="66"/>
        <v>1</v>
      </c>
      <c r="R391" s="492">
        <f t="shared" si="67"/>
        <v>0</v>
      </c>
      <c r="S391" s="800">
        <f t="shared" si="68"/>
        <v>0</v>
      </c>
    </row>
    <row r="392" spans="1:19">
      <c r="A392" s="964"/>
      <c r="B392" s="136"/>
      <c r="C392" s="52">
        <f t="shared" si="59"/>
        <v>1</v>
      </c>
      <c r="D392" s="962"/>
      <c r="E392" s="52">
        <f t="shared" si="60"/>
        <v>1</v>
      </c>
      <c r="F392" s="962"/>
      <c r="G392" s="52">
        <f t="shared" si="61"/>
        <v>1</v>
      </c>
      <c r="H392" s="962"/>
      <c r="I392" s="52">
        <f t="shared" si="62"/>
        <v>1</v>
      </c>
      <c r="J392" s="962"/>
      <c r="K392" s="52">
        <f t="shared" si="63"/>
        <v>1</v>
      </c>
      <c r="L392" s="962"/>
      <c r="M392" s="52">
        <f t="shared" si="64"/>
        <v>1</v>
      </c>
      <c r="N392" s="962"/>
      <c r="O392" s="52">
        <f t="shared" si="65"/>
        <v>1</v>
      </c>
      <c r="P392" s="962"/>
      <c r="Q392" s="52">
        <f t="shared" si="66"/>
        <v>1</v>
      </c>
      <c r="R392" s="492">
        <f t="shared" si="67"/>
        <v>0</v>
      </c>
      <c r="S392" s="800">
        <f t="shared" si="68"/>
        <v>0</v>
      </c>
    </row>
    <row r="393" spans="1:19">
      <c r="A393" s="964"/>
      <c r="B393" s="136"/>
      <c r="C393" s="52">
        <f t="shared" si="59"/>
        <v>1</v>
      </c>
      <c r="D393" s="962"/>
      <c r="E393" s="52">
        <f t="shared" si="60"/>
        <v>1</v>
      </c>
      <c r="F393" s="962"/>
      <c r="G393" s="52">
        <f t="shared" si="61"/>
        <v>1</v>
      </c>
      <c r="H393" s="962"/>
      <c r="I393" s="52">
        <f t="shared" si="62"/>
        <v>1</v>
      </c>
      <c r="J393" s="962"/>
      <c r="K393" s="52">
        <f t="shared" si="63"/>
        <v>1</v>
      </c>
      <c r="L393" s="962"/>
      <c r="M393" s="52">
        <f t="shared" si="64"/>
        <v>1</v>
      </c>
      <c r="N393" s="962"/>
      <c r="O393" s="52">
        <f t="shared" si="65"/>
        <v>1</v>
      </c>
      <c r="P393" s="962"/>
      <c r="Q393" s="52">
        <f t="shared" si="66"/>
        <v>1</v>
      </c>
      <c r="R393" s="492">
        <f t="shared" si="67"/>
        <v>0</v>
      </c>
      <c r="S393" s="800">
        <f t="shared" si="68"/>
        <v>0</v>
      </c>
    </row>
    <row r="394" spans="1:19">
      <c r="A394" s="964"/>
      <c r="B394" s="136"/>
      <c r="C394" s="52">
        <f t="shared" si="59"/>
        <v>1</v>
      </c>
      <c r="D394" s="962"/>
      <c r="E394" s="52">
        <f t="shared" si="60"/>
        <v>1</v>
      </c>
      <c r="F394" s="962"/>
      <c r="G394" s="52">
        <f t="shared" si="61"/>
        <v>1</v>
      </c>
      <c r="H394" s="962"/>
      <c r="I394" s="52">
        <f t="shared" si="62"/>
        <v>1</v>
      </c>
      <c r="J394" s="962"/>
      <c r="K394" s="52">
        <f t="shared" si="63"/>
        <v>1</v>
      </c>
      <c r="L394" s="962"/>
      <c r="M394" s="52">
        <f t="shared" si="64"/>
        <v>1</v>
      </c>
      <c r="N394" s="962"/>
      <c r="O394" s="52">
        <f t="shared" si="65"/>
        <v>1</v>
      </c>
      <c r="P394" s="962"/>
      <c r="Q394" s="52">
        <f t="shared" si="66"/>
        <v>1</v>
      </c>
      <c r="R394" s="492">
        <f t="shared" si="67"/>
        <v>0</v>
      </c>
      <c r="S394" s="800">
        <f t="shared" si="68"/>
        <v>0</v>
      </c>
    </row>
    <row r="395" spans="1:19">
      <c r="A395" s="964"/>
      <c r="B395" s="136"/>
      <c r="C395" s="52">
        <f t="shared" si="59"/>
        <v>1</v>
      </c>
      <c r="D395" s="962"/>
      <c r="E395" s="52">
        <f t="shared" si="60"/>
        <v>1</v>
      </c>
      <c r="F395" s="962"/>
      <c r="G395" s="52">
        <f t="shared" si="61"/>
        <v>1</v>
      </c>
      <c r="H395" s="962"/>
      <c r="I395" s="52">
        <f t="shared" si="62"/>
        <v>1</v>
      </c>
      <c r="J395" s="962"/>
      <c r="K395" s="52">
        <f t="shared" si="63"/>
        <v>1</v>
      </c>
      <c r="L395" s="962"/>
      <c r="M395" s="52">
        <f t="shared" si="64"/>
        <v>1</v>
      </c>
      <c r="N395" s="962"/>
      <c r="O395" s="52">
        <f t="shared" si="65"/>
        <v>1</v>
      </c>
      <c r="P395" s="962"/>
      <c r="Q395" s="52">
        <f t="shared" si="66"/>
        <v>1</v>
      </c>
      <c r="R395" s="492">
        <f t="shared" si="67"/>
        <v>0</v>
      </c>
      <c r="S395" s="800">
        <f t="shared" si="68"/>
        <v>0</v>
      </c>
    </row>
    <row r="396" spans="1:19">
      <c r="A396" s="964"/>
      <c r="B396" s="136"/>
      <c r="C396" s="52">
        <f t="shared" si="59"/>
        <v>1</v>
      </c>
      <c r="D396" s="962"/>
      <c r="E396" s="52">
        <f t="shared" si="60"/>
        <v>1</v>
      </c>
      <c r="F396" s="962"/>
      <c r="G396" s="52">
        <f t="shared" si="61"/>
        <v>1</v>
      </c>
      <c r="H396" s="962"/>
      <c r="I396" s="52">
        <f t="shared" si="62"/>
        <v>1</v>
      </c>
      <c r="J396" s="962"/>
      <c r="K396" s="52">
        <f t="shared" si="63"/>
        <v>1</v>
      </c>
      <c r="L396" s="962"/>
      <c r="M396" s="52">
        <f t="shared" si="64"/>
        <v>1</v>
      </c>
      <c r="N396" s="962"/>
      <c r="O396" s="52">
        <f t="shared" si="65"/>
        <v>1</v>
      </c>
      <c r="P396" s="962"/>
      <c r="Q396" s="52">
        <f t="shared" si="66"/>
        <v>1</v>
      </c>
      <c r="R396" s="492">
        <f t="shared" si="67"/>
        <v>0</v>
      </c>
      <c r="S396" s="800">
        <f t="shared" si="68"/>
        <v>0</v>
      </c>
    </row>
    <row r="397" spans="1:19">
      <c r="A397" s="964"/>
      <c r="B397" s="136"/>
      <c r="C397" s="52">
        <f t="shared" si="59"/>
        <v>1</v>
      </c>
      <c r="D397" s="962"/>
      <c r="E397" s="52">
        <f t="shared" si="60"/>
        <v>1</v>
      </c>
      <c r="F397" s="962"/>
      <c r="G397" s="52">
        <f t="shared" si="61"/>
        <v>1</v>
      </c>
      <c r="H397" s="962"/>
      <c r="I397" s="52">
        <f t="shared" si="62"/>
        <v>1</v>
      </c>
      <c r="J397" s="962"/>
      <c r="K397" s="52">
        <f t="shared" si="63"/>
        <v>1</v>
      </c>
      <c r="L397" s="962"/>
      <c r="M397" s="52">
        <f t="shared" si="64"/>
        <v>1</v>
      </c>
      <c r="N397" s="962"/>
      <c r="O397" s="52">
        <f t="shared" si="65"/>
        <v>1</v>
      </c>
      <c r="P397" s="962"/>
      <c r="Q397" s="52">
        <f t="shared" si="66"/>
        <v>1</v>
      </c>
      <c r="R397" s="492">
        <f t="shared" si="67"/>
        <v>0</v>
      </c>
      <c r="S397" s="800">
        <f t="shared" si="68"/>
        <v>0</v>
      </c>
    </row>
    <row r="398" spans="1:19">
      <c r="A398" s="964"/>
      <c r="B398" s="136"/>
      <c r="C398" s="52">
        <f t="shared" si="59"/>
        <v>1</v>
      </c>
      <c r="D398" s="962"/>
      <c r="E398" s="52">
        <f t="shared" si="60"/>
        <v>1</v>
      </c>
      <c r="F398" s="962"/>
      <c r="G398" s="52">
        <f t="shared" si="61"/>
        <v>1</v>
      </c>
      <c r="H398" s="962"/>
      <c r="I398" s="52">
        <f t="shared" si="62"/>
        <v>1</v>
      </c>
      <c r="J398" s="962"/>
      <c r="K398" s="52">
        <f t="shared" si="63"/>
        <v>1</v>
      </c>
      <c r="L398" s="962"/>
      <c r="M398" s="52">
        <f t="shared" si="64"/>
        <v>1</v>
      </c>
      <c r="N398" s="962"/>
      <c r="O398" s="52">
        <f t="shared" si="65"/>
        <v>1</v>
      </c>
      <c r="P398" s="962"/>
      <c r="Q398" s="52">
        <f t="shared" si="66"/>
        <v>1</v>
      </c>
      <c r="R398" s="492">
        <f t="shared" si="67"/>
        <v>0</v>
      </c>
      <c r="S398" s="800">
        <f t="shared" si="68"/>
        <v>0</v>
      </c>
    </row>
    <row r="399" spans="1:19">
      <c r="A399" s="964"/>
      <c r="B399" s="136"/>
      <c r="C399" s="52">
        <f t="shared" si="59"/>
        <v>1</v>
      </c>
      <c r="D399" s="962"/>
      <c r="E399" s="52">
        <f t="shared" si="60"/>
        <v>1</v>
      </c>
      <c r="F399" s="962"/>
      <c r="G399" s="52">
        <f t="shared" si="61"/>
        <v>1</v>
      </c>
      <c r="H399" s="962"/>
      <c r="I399" s="52">
        <f t="shared" si="62"/>
        <v>1</v>
      </c>
      <c r="J399" s="962"/>
      <c r="K399" s="52">
        <f t="shared" si="63"/>
        <v>1</v>
      </c>
      <c r="L399" s="962"/>
      <c r="M399" s="52">
        <f t="shared" si="64"/>
        <v>1</v>
      </c>
      <c r="N399" s="962"/>
      <c r="O399" s="52">
        <f t="shared" si="65"/>
        <v>1</v>
      </c>
      <c r="P399" s="962"/>
      <c r="Q399" s="52">
        <f t="shared" si="66"/>
        <v>1</v>
      </c>
      <c r="R399" s="492">
        <f t="shared" si="67"/>
        <v>0</v>
      </c>
      <c r="S399" s="800">
        <f t="shared" si="68"/>
        <v>0</v>
      </c>
    </row>
    <row r="400" spans="1:19">
      <c r="A400" s="964"/>
      <c r="B400" s="136"/>
      <c r="C400" s="52">
        <f t="shared" si="59"/>
        <v>1</v>
      </c>
      <c r="D400" s="962"/>
      <c r="E400" s="52">
        <f t="shared" si="60"/>
        <v>1</v>
      </c>
      <c r="F400" s="962"/>
      <c r="G400" s="52">
        <f t="shared" si="61"/>
        <v>1</v>
      </c>
      <c r="H400" s="962"/>
      <c r="I400" s="52">
        <f t="shared" si="62"/>
        <v>1</v>
      </c>
      <c r="J400" s="962"/>
      <c r="K400" s="52">
        <f t="shared" si="63"/>
        <v>1</v>
      </c>
      <c r="L400" s="962"/>
      <c r="M400" s="52">
        <f t="shared" si="64"/>
        <v>1</v>
      </c>
      <c r="N400" s="962"/>
      <c r="O400" s="52">
        <f t="shared" si="65"/>
        <v>1</v>
      </c>
      <c r="P400" s="962"/>
      <c r="Q400" s="52">
        <f t="shared" si="66"/>
        <v>1</v>
      </c>
      <c r="R400" s="492">
        <f t="shared" si="67"/>
        <v>0</v>
      </c>
      <c r="S400" s="800">
        <f t="shared" si="68"/>
        <v>0</v>
      </c>
    </row>
    <row r="401" spans="1:19">
      <c r="A401" s="964"/>
      <c r="B401" s="136"/>
      <c r="C401" s="52">
        <f t="shared" si="59"/>
        <v>1</v>
      </c>
      <c r="D401" s="962"/>
      <c r="E401" s="52">
        <f t="shared" si="60"/>
        <v>1</v>
      </c>
      <c r="F401" s="962"/>
      <c r="G401" s="52">
        <f t="shared" si="61"/>
        <v>1</v>
      </c>
      <c r="H401" s="962"/>
      <c r="I401" s="52">
        <f t="shared" si="62"/>
        <v>1</v>
      </c>
      <c r="J401" s="962"/>
      <c r="K401" s="52">
        <f t="shared" si="63"/>
        <v>1</v>
      </c>
      <c r="L401" s="962"/>
      <c r="M401" s="52">
        <f t="shared" si="64"/>
        <v>1</v>
      </c>
      <c r="N401" s="962"/>
      <c r="O401" s="52">
        <f t="shared" si="65"/>
        <v>1</v>
      </c>
      <c r="P401" s="962"/>
      <c r="Q401" s="52">
        <f t="shared" si="66"/>
        <v>1</v>
      </c>
      <c r="R401" s="492">
        <f t="shared" si="67"/>
        <v>0</v>
      </c>
      <c r="S401" s="800">
        <f t="shared" si="68"/>
        <v>0</v>
      </c>
    </row>
    <row r="402" spans="1:19">
      <c r="A402" s="964"/>
      <c r="B402" s="136"/>
      <c r="C402" s="52">
        <f t="shared" si="59"/>
        <v>1</v>
      </c>
      <c r="D402" s="962"/>
      <c r="E402" s="52">
        <f t="shared" si="60"/>
        <v>1</v>
      </c>
      <c r="F402" s="962"/>
      <c r="G402" s="52">
        <f t="shared" si="61"/>
        <v>1</v>
      </c>
      <c r="H402" s="962"/>
      <c r="I402" s="52">
        <f t="shared" si="62"/>
        <v>1</v>
      </c>
      <c r="J402" s="962"/>
      <c r="K402" s="52">
        <f t="shared" si="63"/>
        <v>1</v>
      </c>
      <c r="L402" s="962"/>
      <c r="M402" s="52">
        <f t="shared" si="64"/>
        <v>1</v>
      </c>
      <c r="N402" s="962"/>
      <c r="O402" s="52">
        <f t="shared" si="65"/>
        <v>1</v>
      </c>
      <c r="P402" s="962"/>
      <c r="Q402" s="52">
        <f t="shared" si="66"/>
        <v>1</v>
      </c>
      <c r="R402" s="492">
        <f t="shared" si="67"/>
        <v>0</v>
      </c>
      <c r="S402" s="800">
        <f t="shared" si="68"/>
        <v>0</v>
      </c>
    </row>
    <row r="403" spans="1:19">
      <c r="A403" s="964"/>
      <c r="B403" s="136"/>
      <c r="C403" s="52">
        <f t="shared" si="59"/>
        <v>1</v>
      </c>
      <c r="D403" s="962"/>
      <c r="E403" s="52">
        <f t="shared" si="60"/>
        <v>1</v>
      </c>
      <c r="F403" s="962"/>
      <c r="G403" s="52">
        <f t="shared" si="61"/>
        <v>1</v>
      </c>
      <c r="H403" s="962"/>
      <c r="I403" s="52">
        <f t="shared" si="62"/>
        <v>1</v>
      </c>
      <c r="J403" s="962"/>
      <c r="K403" s="52">
        <f t="shared" si="63"/>
        <v>1</v>
      </c>
      <c r="L403" s="962"/>
      <c r="M403" s="52">
        <f t="shared" si="64"/>
        <v>1</v>
      </c>
      <c r="N403" s="962"/>
      <c r="O403" s="52">
        <f t="shared" si="65"/>
        <v>1</v>
      </c>
      <c r="P403" s="962"/>
      <c r="Q403" s="52">
        <f t="shared" si="66"/>
        <v>1</v>
      </c>
      <c r="R403" s="492">
        <f t="shared" si="67"/>
        <v>0</v>
      </c>
      <c r="S403" s="800">
        <f t="shared" si="68"/>
        <v>0</v>
      </c>
    </row>
    <row r="404" spans="1:19">
      <c r="A404" s="964"/>
      <c r="B404" s="136"/>
      <c r="C404" s="52">
        <f t="shared" si="59"/>
        <v>1</v>
      </c>
      <c r="D404" s="962"/>
      <c r="E404" s="52">
        <f t="shared" si="60"/>
        <v>1</v>
      </c>
      <c r="F404" s="962"/>
      <c r="G404" s="52">
        <f t="shared" si="61"/>
        <v>1</v>
      </c>
      <c r="H404" s="962"/>
      <c r="I404" s="52">
        <f t="shared" si="62"/>
        <v>1</v>
      </c>
      <c r="J404" s="962"/>
      <c r="K404" s="52">
        <f t="shared" si="63"/>
        <v>1</v>
      </c>
      <c r="L404" s="962"/>
      <c r="M404" s="52">
        <f t="shared" si="64"/>
        <v>1</v>
      </c>
      <c r="N404" s="962"/>
      <c r="O404" s="52">
        <f t="shared" si="65"/>
        <v>1</v>
      </c>
      <c r="P404" s="962"/>
      <c r="Q404" s="52">
        <f t="shared" si="66"/>
        <v>1</v>
      </c>
      <c r="R404" s="492">
        <f t="shared" si="67"/>
        <v>0</v>
      </c>
      <c r="S404" s="800">
        <f t="shared" si="68"/>
        <v>0</v>
      </c>
    </row>
    <row r="405" spans="1:19">
      <c r="A405" s="964"/>
      <c r="B405" s="136"/>
      <c r="C405" s="52">
        <f t="shared" si="59"/>
        <v>1</v>
      </c>
      <c r="D405" s="962"/>
      <c r="E405" s="52">
        <f t="shared" si="60"/>
        <v>1</v>
      </c>
      <c r="F405" s="962"/>
      <c r="G405" s="52">
        <f t="shared" si="61"/>
        <v>1</v>
      </c>
      <c r="H405" s="962"/>
      <c r="I405" s="52">
        <f t="shared" si="62"/>
        <v>1</v>
      </c>
      <c r="J405" s="962"/>
      <c r="K405" s="52">
        <f t="shared" si="63"/>
        <v>1</v>
      </c>
      <c r="L405" s="962"/>
      <c r="M405" s="52">
        <f t="shared" si="64"/>
        <v>1</v>
      </c>
      <c r="N405" s="962"/>
      <c r="O405" s="52">
        <f t="shared" si="65"/>
        <v>1</v>
      </c>
      <c r="P405" s="962"/>
      <c r="Q405" s="52">
        <f t="shared" si="66"/>
        <v>1</v>
      </c>
      <c r="R405" s="492">
        <f t="shared" si="67"/>
        <v>0</v>
      </c>
      <c r="S405" s="800">
        <f t="shared" si="68"/>
        <v>0</v>
      </c>
    </row>
    <row r="406" spans="1:19">
      <c r="A406" s="964"/>
      <c r="B406" s="136"/>
      <c r="C406" s="52">
        <f t="shared" si="59"/>
        <v>1</v>
      </c>
      <c r="D406" s="962"/>
      <c r="E406" s="52">
        <f t="shared" si="60"/>
        <v>1</v>
      </c>
      <c r="F406" s="962"/>
      <c r="G406" s="52">
        <f t="shared" si="61"/>
        <v>1</v>
      </c>
      <c r="H406" s="962"/>
      <c r="I406" s="52">
        <f t="shared" si="62"/>
        <v>1</v>
      </c>
      <c r="J406" s="962"/>
      <c r="K406" s="52">
        <f t="shared" si="63"/>
        <v>1</v>
      </c>
      <c r="L406" s="962"/>
      <c r="M406" s="52">
        <f t="shared" si="64"/>
        <v>1</v>
      </c>
      <c r="N406" s="962"/>
      <c r="O406" s="52">
        <f t="shared" si="65"/>
        <v>1</v>
      </c>
      <c r="P406" s="962"/>
      <c r="Q406" s="52">
        <f t="shared" si="66"/>
        <v>1</v>
      </c>
      <c r="R406" s="492">
        <f t="shared" si="67"/>
        <v>0</v>
      </c>
      <c r="S406" s="800">
        <f t="shared" si="68"/>
        <v>0</v>
      </c>
    </row>
    <row r="407" spans="1:19">
      <c r="A407" s="964"/>
      <c r="B407" s="136"/>
      <c r="C407" s="52">
        <f t="shared" si="59"/>
        <v>1</v>
      </c>
      <c r="D407" s="962"/>
      <c r="E407" s="52">
        <f t="shared" si="60"/>
        <v>1</v>
      </c>
      <c r="F407" s="962"/>
      <c r="G407" s="52">
        <f t="shared" si="61"/>
        <v>1</v>
      </c>
      <c r="H407" s="962"/>
      <c r="I407" s="52">
        <f t="shared" si="62"/>
        <v>1</v>
      </c>
      <c r="J407" s="962"/>
      <c r="K407" s="52">
        <f t="shared" si="63"/>
        <v>1</v>
      </c>
      <c r="L407" s="962"/>
      <c r="M407" s="52">
        <f t="shared" si="64"/>
        <v>1</v>
      </c>
      <c r="N407" s="962"/>
      <c r="O407" s="52">
        <f t="shared" si="65"/>
        <v>1</v>
      </c>
      <c r="P407" s="962"/>
      <c r="Q407" s="52">
        <f t="shared" si="66"/>
        <v>1</v>
      </c>
      <c r="R407" s="492">
        <f t="shared" si="67"/>
        <v>0</v>
      </c>
      <c r="S407" s="800">
        <f t="shared" si="68"/>
        <v>0</v>
      </c>
    </row>
    <row r="408" spans="1:19">
      <c r="A408" s="964"/>
      <c r="B408" s="136"/>
      <c r="C408" s="52">
        <f t="shared" si="59"/>
        <v>1</v>
      </c>
      <c r="D408" s="962"/>
      <c r="E408" s="52">
        <f t="shared" si="60"/>
        <v>1</v>
      </c>
      <c r="F408" s="962"/>
      <c r="G408" s="52">
        <f t="shared" si="61"/>
        <v>1</v>
      </c>
      <c r="H408" s="962"/>
      <c r="I408" s="52">
        <f t="shared" si="62"/>
        <v>1</v>
      </c>
      <c r="J408" s="962"/>
      <c r="K408" s="52">
        <f t="shared" si="63"/>
        <v>1</v>
      </c>
      <c r="L408" s="962"/>
      <c r="M408" s="52">
        <f t="shared" si="64"/>
        <v>1</v>
      </c>
      <c r="N408" s="962"/>
      <c r="O408" s="52">
        <f t="shared" si="65"/>
        <v>1</v>
      </c>
      <c r="P408" s="962"/>
      <c r="Q408" s="52">
        <f t="shared" si="66"/>
        <v>1</v>
      </c>
      <c r="R408" s="492">
        <f t="shared" si="67"/>
        <v>0</v>
      </c>
      <c r="S408" s="800">
        <f t="shared" si="68"/>
        <v>0</v>
      </c>
    </row>
    <row r="409" spans="1:19">
      <c r="A409" s="964"/>
      <c r="B409" s="136"/>
      <c r="C409" s="52">
        <f t="shared" si="59"/>
        <v>1</v>
      </c>
      <c r="D409" s="962"/>
      <c r="E409" s="52">
        <f t="shared" si="60"/>
        <v>1</v>
      </c>
      <c r="F409" s="962"/>
      <c r="G409" s="52">
        <f t="shared" si="61"/>
        <v>1</v>
      </c>
      <c r="H409" s="962"/>
      <c r="I409" s="52">
        <f t="shared" si="62"/>
        <v>1</v>
      </c>
      <c r="J409" s="962"/>
      <c r="K409" s="52">
        <f t="shared" si="63"/>
        <v>1</v>
      </c>
      <c r="L409" s="962"/>
      <c r="M409" s="52">
        <f t="shared" si="64"/>
        <v>1</v>
      </c>
      <c r="N409" s="962"/>
      <c r="O409" s="52">
        <f t="shared" si="65"/>
        <v>1</v>
      </c>
      <c r="P409" s="962"/>
      <c r="Q409" s="52">
        <f t="shared" si="66"/>
        <v>1</v>
      </c>
      <c r="R409" s="492">
        <f t="shared" si="67"/>
        <v>0</v>
      </c>
      <c r="S409" s="800">
        <f t="shared" si="68"/>
        <v>0</v>
      </c>
    </row>
    <row r="410" spans="1:19">
      <c r="A410" s="964"/>
      <c r="B410" s="136"/>
      <c r="C410" s="52">
        <f t="shared" ref="C410:C473" si="69">IF(B410="",1,(LOOKUP(B410,$3:$3,$4:$4)-LOOKUP($B$24,$3:$3,$4:$4)+100)/100)</f>
        <v>1</v>
      </c>
      <c r="D410" s="962"/>
      <c r="E410" s="52">
        <f t="shared" ref="E410:E473" si="70">(SUMIF($5:$5,D410,$6:$6)-SUMIF($5:$5,$D$24,$6:$6)+100)/100</f>
        <v>1</v>
      </c>
      <c r="F410" s="962"/>
      <c r="G410" s="52">
        <f t="shared" ref="G410:G473" si="71">(SUMIF($7:$7,F410,$8:$8)-SUMIF($7:$7,$F$24,$8:$8)+100)/100</f>
        <v>1</v>
      </c>
      <c r="H410" s="962"/>
      <c r="I410" s="52">
        <f t="shared" ref="I410:I473" si="72">(SUMIF($9:$9,H410,$10:$10)-SUMIF($9:$9,$H$24,$10:$10)+100)/100</f>
        <v>1</v>
      </c>
      <c r="J410" s="962"/>
      <c r="K410" s="52">
        <f t="shared" ref="K410:K473" si="73">(SUMIF($11:$11,J410,$12:$12)-SUMIF($11:$11,$J$24,$12:$12)+100)/100</f>
        <v>1</v>
      </c>
      <c r="L410" s="962"/>
      <c r="M410" s="52">
        <f t="shared" ref="M410:M473" si="74">(SUMIF($13:$13,L410,$14:$14)-SUMIF($13:$13,$L$24,$14:$14)+100)/100</f>
        <v>1</v>
      </c>
      <c r="N410" s="962"/>
      <c r="O410" s="52">
        <f t="shared" ref="O410:O473" si="75">(SUMIF($15:$15,N410,$16:$16)-SUMIF($15:$15,$N$24,$16:$16)+100)/100</f>
        <v>1</v>
      </c>
      <c r="P410" s="962"/>
      <c r="Q410" s="52">
        <f t="shared" ref="Q410:Q473" si="76">(SUMIF($17:$17,P410,$18:$18)-SUMIF($17:$17,$P$24,$18:$18)+100)/100</f>
        <v>1</v>
      </c>
      <c r="R410" s="492">
        <f t="shared" ref="R410:R473" si="77">IF(B410="",0,ROUND($R$24*C410*E410*G410*I410*K410*M410*O410*Q410,0))</f>
        <v>0</v>
      </c>
      <c r="S410" s="800">
        <f t="shared" si="68"/>
        <v>0</v>
      </c>
    </row>
    <row r="411" spans="1:19">
      <c r="A411" s="964"/>
      <c r="B411" s="136"/>
      <c r="C411" s="52">
        <f t="shared" si="69"/>
        <v>1</v>
      </c>
      <c r="D411" s="962"/>
      <c r="E411" s="52">
        <f t="shared" si="70"/>
        <v>1</v>
      </c>
      <c r="F411" s="962"/>
      <c r="G411" s="52">
        <f t="shared" si="71"/>
        <v>1</v>
      </c>
      <c r="H411" s="962"/>
      <c r="I411" s="52">
        <f t="shared" si="72"/>
        <v>1</v>
      </c>
      <c r="J411" s="962"/>
      <c r="K411" s="52">
        <f t="shared" si="73"/>
        <v>1</v>
      </c>
      <c r="L411" s="962"/>
      <c r="M411" s="52">
        <f t="shared" si="74"/>
        <v>1</v>
      </c>
      <c r="N411" s="962"/>
      <c r="O411" s="52">
        <f t="shared" si="75"/>
        <v>1</v>
      </c>
      <c r="P411" s="962"/>
      <c r="Q411" s="52">
        <f t="shared" si="76"/>
        <v>1</v>
      </c>
      <c r="R411" s="492">
        <f t="shared" si="77"/>
        <v>0</v>
      </c>
      <c r="S411" s="800">
        <f t="shared" si="68"/>
        <v>0</v>
      </c>
    </row>
    <row r="412" spans="1:19">
      <c r="A412" s="964"/>
      <c r="B412" s="136"/>
      <c r="C412" s="52">
        <f t="shared" si="69"/>
        <v>1</v>
      </c>
      <c r="D412" s="962"/>
      <c r="E412" s="52">
        <f t="shared" si="70"/>
        <v>1</v>
      </c>
      <c r="F412" s="962"/>
      <c r="G412" s="52">
        <f t="shared" si="71"/>
        <v>1</v>
      </c>
      <c r="H412" s="962"/>
      <c r="I412" s="52">
        <f t="shared" si="72"/>
        <v>1</v>
      </c>
      <c r="J412" s="962"/>
      <c r="K412" s="52">
        <f t="shared" si="73"/>
        <v>1</v>
      </c>
      <c r="L412" s="962"/>
      <c r="M412" s="52">
        <f t="shared" si="74"/>
        <v>1</v>
      </c>
      <c r="N412" s="962"/>
      <c r="O412" s="52">
        <f t="shared" si="75"/>
        <v>1</v>
      </c>
      <c r="P412" s="962"/>
      <c r="Q412" s="52">
        <f t="shared" si="76"/>
        <v>1</v>
      </c>
      <c r="R412" s="492">
        <f t="shared" si="77"/>
        <v>0</v>
      </c>
      <c r="S412" s="800">
        <f t="shared" si="68"/>
        <v>0</v>
      </c>
    </row>
    <row r="413" spans="1:19">
      <c r="A413" s="964"/>
      <c r="B413" s="136"/>
      <c r="C413" s="52">
        <f t="shared" si="69"/>
        <v>1</v>
      </c>
      <c r="D413" s="962"/>
      <c r="E413" s="52">
        <f t="shared" si="70"/>
        <v>1</v>
      </c>
      <c r="F413" s="962"/>
      <c r="G413" s="52">
        <f t="shared" si="71"/>
        <v>1</v>
      </c>
      <c r="H413" s="962"/>
      <c r="I413" s="52">
        <f t="shared" si="72"/>
        <v>1</v>
      </c>
      <c r="J413" s="962"/>
      <c r="K413" s="52">
        <f t="shared" si="73"/>
        <v>1</v>
      </c>
      <c r="L413" s="962"/>
      <c r="M413" s="52">
        <f t="shared" si="74"/>
        <v>1</v>
      </c>
      <c r="N413" s="962"/>
      <c r="O413" s="52">
        <f t="shared" si="75"/>
        <v>1</v>
      </c>
      <c r="P413" s="962"/>
      <c r="Q413" s="52">
        <f t="shared" si="76"/>
        <v>1</v>
      </c>
      <c r="R413" s="492">
        <f t="shared" si="77"/>
        <v>0</v>
      </c>
      <c r="S413" s="800">
        <f t="shared" si="68"/>
        <v>0</v>
      </c>
    </row>
    <row r="414" spans="1:19">
      <c r="A414" s="964"/>
      <c r="B414" s="136"/>
      <c r="C414" s="52">
        <f t="shared" si="69"/>
        <v>1</v>
      </c>
      <c r="D414" s="962"/>
      <c r="E414" s="52">
        <f t="shared" si="70"/>
        <v>1</v>
      </c>
      <c r="F414" s="962"/>
      <c r="G414" s="52">
        <f t="shared" si="71"/>
        <v>1</v>
      </c>
      <c r="H414" s="962"/>
      <c r="I414" s="52">
        <f t="shared" si="72"/>
        <v>1</v>
      </c>
      <c r="J414" s="962"/>
      <c r="K414" s="52">
        <f t="shared" si="73"/>
        <v>1</v>
      </c>
      <c r="L414" s="962"/>
      <c r="M414" s="52">
        <f t="shared" si="74"/>
        <v>1</v>
      </c>
      <c r="N414" s="962"/>
      <c r="O414" s="52">
        <f t="shared" si="75"/>
        <v>1</v>
      </c>
      <c r="P414" s="962"/>
      <c r="Q414" s="52">
        <f t="shared" si="76"/>
        <v>1</v>
      </c>
      <c r="R414" s="492">
        <f t="shared" si="77"/>
        <v>0</v>
      </c>
      <c r="S414" s="800">
        <f t="shared" si="68"/>
        <v>0</v>
      </c>
    </row>
    <row r="415" spans="1:19">
      <c r="A415" s="964"/>
      <c r="B415" s="136"/>
      <c r="C415" s="52">
        <f t="shared" si="69"/>
        <v>1</v>
      </c>
      <c r="D415" s="962"/>
      <c r="E415" s="52">
        <f t="shared" si="70"/>
        <v>1</v>
      </c>
      <c r="F415" s="962"/>
      <c r="G415" s="52">
        <f t="shared" si="71"/>
        <v>1</v>
      </c>
      <c r="H415" s="962"/>
      <c r="I415" s="52">
        <f t="shared" si="72"/>
        <v>1</v>
      </c>
      <c r="J415" s="962"/>
      <c r="K415" s="52">
        <f t="shared" si="73"/>
        <v>1</v>
      </c>
      <c r="L415" s="962"/>
      <c r="M415" s="52">
        <f t="shared" si="74"/>
        <v>1</v>
      </c>
      <c r="N415" s="962"/>
      <c r="O415" s="52">
        <f t="shared" si="75"/>
        <v>1</v>
      </c>
      <c r="P415" s="962"/>
      <c r="Q415" s="52">
        <f t="shared" si="76"/>
        <v>1</v>
      </c>
      <c r="R415" s="492">
        <f t="shared" si="77"/>
        <v>0</v>
      </c>
      <c r="S415" s="800">
        <f t="shared" si="68"/>
        <v>0</v>
      </c>
    </row>
    <row r="416" spans="1:19">
      <c r="A416" s="964"/>
      <c r="B416" s="136"/>
      <c r="C416" s="52">
        <f t="shared" si="69"/>
        <v>1</v>
      </c>
      <c r="D416" s="962"/>
      <c r="E416" s="52">
        <f t="shared" si="70"/>
        <v>1</v>
      </c>
      <c r="F416" s="962"/>
      <c r="G416" s="52">
        <f t="shared" si="71"/>
        <v>1</v>
      </c>
      <c r="H416" s="962"/>
      <c r="I416" s="52">
        <f t="shared" si="72"/>
        <v>1</v>
      </c>
      <c r="J416" s="962"/>
      <c r="K416" s="52">
        <f t="shared" si="73"/>
        <v>1</v>
      </c>
      <c r="L416" s="962"/>
      <c r="M416" s="52">
        <f t="shared" si="74"/>
        <v>1</v>
      </c>
      <c r="N416" s="962"/>
      <c r="O416" s="52">
        <f t="shared" si="75"/>
        <v>1</v>
      </c>
      <c r="P416" s="962"/>
      <c r="Q416" s="52">
        <f t="shared" si="76"/>
        <v>1</v>
      </c>
      <c r="R416" s="492">
        <f t="shared" si="77"/>
        <v>0</v>
      </c>
      <c r="S416" s="800">
        <f t="shared" si="68"/>
        <v>0</v>
      </c>
    </row>
    <row r="417" spans="1:19">
      <c r="A417" s="964"/>
      <c r="B417" s="136"/>
      <c r="C417" s="52">
        <f t="shared" si="69"/>
        <v>1</v>
      </c>
      <c r="D417" s="962"/>
      <c r="E417" s="52">
        <f t="shared" si="70"/>
        <v>1</v>
      </c>
      <c r="F417" s="962"/>
      <c r="G417" s="52">
        <f t="shared" si="71"/>
        <v>1</v>
      </c>
      <c r="H417" s="962"/>
      <c r="I417" s="52">
        <f t="shared" si="72"/>
        <v>1</v>
      </c>
      <c r="J417" s="962"/>
      <c r="K417" s="52">
        <f t="shared" si="73"/>
        <v>1</v>
      </c>
      <c r="L417" s="962"/>
      <c r="M417" s="52">
        <f t="shared" si="74"/>
        <v>1</v>
      </c>
      <c r="N417" s="962"/>
      <c r="O417" s="52">
        <f t="shared" si="75"/>
        <v>1</v>
      </c>
      <c r="P417" s="962"/>
      <c r="Q417" s="52">
        <f t="shared" si="76"/>
        <v>1</v>
      </c>
      <c r="R417" s="492">
        <f t="shared" si="77"/>
        <v>0</v>
      </c>
      <c r="S417" s="800">
        <f t="shared" si="68"/>
        <v>0</v>
      </c>
    </row>
    <row r="418" spans="1:19">
      <c r="A418" s="964"/>
      <c r="B418" s="136"/>
      <c r="C418" s="52">
        <f t="shared" si="69"/>
        <v>1</v>
      </c>
      <c r="D418" s="962"/>
      <c r="E418" s="52">
        <f t="shared" si="70"/>
        <v>1</v>
      </c>
      <c r="F418" s="962"/>
      <c r="G418" s="52">
        <f t="shared" si="71"/>
        <v>1</v>
      </c>
      <c r="H418" s="962"/>
      <c r="I418" s="52">
        <f t="shared" si="72"/>
        <v>1</v>
      </c>
      <c r="J418" s="962"/>
      <c r="K418" s="52">
        <f t="shared" si="73"/>
        <v>1</v>
      </c>
      <c r="L418" s="962"/>
      <c r="M418" s="52">
        <f t="shared" si="74"/>
        <v>1</v>
      </c>
      <c r="N418" s="962"/>
      <c r="O418" s="52">
        <f t="shared" si="75"/>
        <v>1</v>
      </c>
      <c r="P418" s="962"/>
      <c r="Q418" s="52">
        <f t="shared" si="76"/>
        <v>1</v>
      </c>
      <c r="R418" s="492">
        <f t="shared" si="77"/>
        <v>0</v>
      </c>
      <c r="S418" s="800">
        <f t="shared" si="68"/>
        <v>0</v>
      </c>
    </row>
    <row r="419" spans="1:19">
      <c r="A419" s="964"/>
      <c r="B419" s="136"/>
      <c r="C419" s="52">
        <f t="shared" si="69"/>
        <v>1</v>
      </c>
      <c r="D419" s="962"/>
      <c r="E419" s="52">
        <f t="shared" si="70"/>
        <v>1</v>
      </c>
      <c r="F419" s="962"/>
      <c r="G419" s="52">
        <f t="shared" si="71"/>
        <v>1</v>
      </c>
      <c r="H419" s="962"/>
      <c r="I419" s="52">
        <f t="shared" si="72"/>
        <v>1</v>
      </c>
      <c r="J419" s="962"/>
      <c r="K419" s="52">
        <f t="shared" si="73"/>
        <v>1</v>
      </c>
      <c r="L419" s="962"/>
      <c r="M419" s="52">
        <f t="shared" si="74"/>
        <v>1</v>
      </c>
      <c r="N419" s="962"/>
      <c r="O419" s="52">
        <f t="shared" si="75"/>
        <v>1</v>
      </c>
      <c r="P419" s="962"/>
      <c r="Q419" s="52">
        <f t="shared" si="76"/>
        <v>1</v>
      </c>
      <c r="R419" s="492">
        <f t="shared" si="77"/>
        <v>0</v>
      </c>
      <c r="S419" s="800">
        <f t="shared" si="68"/>
        <v>0</v>
      </c>
    </row>
    <row r="420" spans="1:19">
      <c r="A420" s="964"/>
      <c r="B420" s="136"/>
      <c r="C420" s="52">
        <f t="shared" si="69"/>
        <v>1</v>
      </c>
      <c r="D420" s="962"/>
      <c r="E420" s="52">
        <f t="shared" si="70"/>
        <v>1</v>
      </c>
      <c r="F420" s="962"/>
      <c r="G420" s="52">
        <f t="shared" si="71"/>
        <v>1</v>
      </c>
      <c r="H420" s="962"/>
      <c r="I420" s="52">
        <f t="shared" si="72"/>
        <v>1</v>
      </c>
      <c r="J420" s="962"/>
      <c r="K420" s="52">
        <f t="shared" si="73"/>
        <v>1</v>
      </c>
      <c r="L420" s="962"/>
      <c r="M420" s="52">
        <f t="shared" si="74"/>
        <v>1</v>
      </c>
      <c r="N420" s="962"/>
      <c r="O420" s="52">
        <f t="shared" si="75"/>
        <v>1</v>
      </c>
      <c r="P420" s="962"/>
      <c r="Q420" s="52">
        <f t="shared" si="76"/>
        <v>1</v>
      </c>
      <c r="R420" s="492">
        <f t="shared" si="77"/>
        <v>0</v>
      </c>
      <c r="S420" s="800">
        <f t="shared" si="68"/>
        <v>0</v>
      </c>
    </row>
    <row r="421" spans="1:19">
      <c r="A421" s="964"/>
      <c r="B421" s="136"/>
      <c r="C421" s="52">
        <f t="shared" si="69"/>
        <v>1</v>
      </c>
      <c r="D421" s="962"/>
      <c r="E421" s="52">
        <f t="shared" si="70"/>
        <v>1</v>
      </c>
      <c r="F421" s="962"/>
      <c r="G421" s="52">
        <f t="shared" si="71"/>
        <v>1</v>
      </c>
      <c r="H421" s="962"/>
      <c r="I421" s="52">
        <f t="shared" si="72"/>
        <v>1</v>
      </c>
      <c r="J421" s="962"/>
      <c r="K421" s="52">
        <f t="shared" si="73"/>
        <v>1</v>
      </c>
      <c r="L421" s="962"/>
      <c r="M421" s="52">
        <f t="shared" si="74"/>
        <v>1</v>
      </c>
      <c r="N421" s="962"/>
      <c r="O421" s="52">
        <f t="shared" si="75"/>
        <v>1</v>
      </c>
      <c r="P421" s="962"/>
      <c r="Q421" s="52">
        <f t="shared" si="76"/>
        <v>1</v>
      </c>
      <c r="R421" s="492">
        <f t="shared" si="77"/>
        <v>0</v>
      </c>
      <c r="S421" s="800">
        <f t="shared" si="68"/>
        <v>0</v>
      </c>
    </row>
    <row r="422" spans="1:19">
      <c r="A422" s="964"/>
      <c r="B422" s="136"/>
      <c r="C422" s="52">
        <f t="shared" si="69"/>
        <v>1</v>
      </c>
      <c r="D422" s="962"/>
      <c r="E422" s="52">
        <f t="shared" si="70"/>
        <v>1</v>
      </c>
      <c r="F422" s="962"/>
      <c r="G422" s="52">
        <f t="shared" si="71"/>
        <v>1</v>
      </c>
      <c r="H422" s="962"/>
      <c r="I422" s="52">
        <f t="shared" si="72"/>
        <v>1</v>
      </c>
      <c r="J422" s="962"/>
      <c r="K422" s="52">
        <f t="shared" si="73"/>
        <v>1</v>
      </c>
      <c r="L422" s="962"/>
      <c r="M422" s="52">
        <f t="shared" si="74"/>
        <v>1</v>
      </c>
      <c r="N422" s="962"/>
      <c r="O422" s="52">
        <f t="shared" si="75"/>
        <v>1</v>
      </c>
      <c r="P422" s="962"/>
      <c r="Q422" s="52">
        <f t="shared" si="76"/>
        <v>1</v>
      </c>
      <c r="R422" s="492">
        <f t="shared" si="77"/>
        <v>0</v>
      </c>
      <c r="S422" s="800">
        <f t="shared" si="68"/>
        <v>0</v>
      </c>
    </row>
    <row r="423" spans="1:19">
      <c r="A423" s="964"/>
      <c r="B423" s="136"/>
      <c r="C423" s="52">
        <f t="shared" si="69"/>
        <v>1</v>
      </c>
      <c r="D423" s="962"/>
      <c r="E423" s="52">
        <f t="shared" si="70"/>
        <v>1</v>
      </c>
      <c r="F423" s="962"/>
      <c r="G423" s="52">
        <f t="shared" si="71"/>
        <v>1</v>
      </c>
      <c r="H423" s="962"/>
      <c r="I423" s="52">
        <f t="shared" si="72"/>
        <v>1</v>
      </c>
      <c r="J423" s="962"/>
      <c r="K423" s="52">
        <f t="shared" si="73"/>
        <v>1</v>
      </c>
      <c r="L423" s="962"/>
      <c r="M423" s="52">
        <f t="shared" si="74"/>
        <v>1</v>
      </c>
      <c r="N423" s="962"/>
      <c r="O423" s="52">
        <f t="shared" si="75"/>
        <v>1</v>
      </c>
      <c r="P423" s="962"/>
      <c r="Q423" s="52">
        <f t="shared" si="76"/>
        <v>1</v>
      </c>
      <c r="R423" s="492">
        <f t="shared" si="77"/>
        <v>0</v>
      </c>
      <c r="S423" s="800">
        <f t="shared" ref="S423:S467" si="78">ROUND(R423*B423/10000,0)</f>
        <v>0</v>
      </c>
    </row>
    <row r="424" spans="1:19">
      <c r="A424" s="964"/>
      <c r="B424" s="136"/>
      <c r="C424" s="52">
        <f t="shared" si="69"/>
        <v>1</v>
      </c>
      <c r="D424" s="962"/>
      <c r="E424" s="52">
        <f t="shared" si="70"/>
        <v>1</v>
      </c>
      <c r="F424" s="962"/>
      <c r="G424" s="52">
        <f t="shared" si="71"/>
        <v>1</v>
      </c>
      <c r="H424" s="962"/>
      <c r="I424" s="52">
        <f t="shared" si="72"/>
        <v>1</v>
      </c>
      <c r="J424" s="962"/>
      <c r="K424" s="52">
        <f t="shared" si="73"/>
        <v>1</v>
      </c>
      <c r="L424" s="962"/>
      <c r="M424" s="52">
        <f t="shared" si="74"/>
        <v>1</v>
      </c>
      <c r="N424" s="962"/>
      <c r="O424" s="52">
        <f t="shared" si="75"/>
        <v>1</v>
      </c>
      <c r="P424" s="962"/>
      <c r="Q424" s="52">
        <f t="shared" si="76"/>
        <v>1</v>
      </c>
      <c r="R424" s="492">
        <f t="shared" si="77"/>
        <v>0</v>
      </c>
      <c r="S424" s="800">
        <f t="shared" si="78"/>
        <v>0</v>
      </c>
    </row>
    <row r="425" spans="1:19">
      <c r="A425" s="964"/>
      <c r="B425" s="136"/>
      <c r="C425" s="52">
        <f t="shared" si="69"/>
        <v>1</v>
      </c>
      <c r="D425" s="962"/>
      <c r="E425" s="52">
        <f t="shared" si="70"/>
        <v>1</v>
      </c>
      <c r="F425" s="962"/>
      <c r="G425" s="52">
        <f t="shared" si="71"/>
        <v>1</v>
      </c>
      <c r="H425" s="962"/>
      <c r="I425" s="52">
        <f t="shared" si="72"/>
        <v>1</v>
      </c>
      <c r="J425" s="962"/>
      <c r="K425" s="52">
        <f t="shared" si="73"/>
        <v>1</v>
      </c>
      <c r="L425" s="962"/>
      <c r="M425" s="52">
        <f t="shared" si="74"/>
        <v>1</v>
      </c>
      <c r="N425" s="962"/>
      <c r="O425" s="52">
        <f t="shared" si="75"/>
        <v>1</v>
      </c>
      <c r="P425" s="962"/>
      <c r="Q425" s="52">
        <f t="shared" si="76"/>
        <v>1</v>
      </c>
      <c r="R425" s="492">
        <f t="shared" si="77"/>
        <v>0</v>
      </c>
      <c r="S425" s="800">
        <f t="shared" si="78"/>
        <v>0</v>
      </c>
    </row>
    <row r="426" spans="1:19">
      <c r="A426" s="964"/>
      <c r="B426" s="136"/>
      <c r="C426" s="52">
        <f t="shared" si="69"/>
        <v>1</v>
      </c>
      <c r="D426" s="962"/>
      <c r="E426" s="52">
        <f t="shared" si="70"/>
        <v>1</v>
      </c>
      <c r="F426" s="962"/>
      <c r="G426" s="52">
        <f t="shared" si="71"/>
        <v>1</v>
      </c>
      <c r="H426" s="962"/>
      <c r="I426" s="52">
        <f t="shared" si="72"/>
        <v>1</v>
      </c>
      <c r="J426" s="962"/>
      <c r="K426" s="52">
        <f t="shared" si="73"/>
        <v>1</v>
      </c>
      <c r="L426" s="962"/>
      <c r="M426" s="52">
        <f t="shared" si="74"/>
        <v>1</v>
      </c>
      <c r="N426" s="962"/>
      <c r="O426" s="52">
        <f t="shared" si="75"/>
        <v>1</v>
      </c>
      <c r="P426" s="962"/>
      <c r="Q426" s="52">
        <f t="shared" si="76"/>
        <v>1</v>
      </c>
      <c r="R426" s="492">
        <f t="shared" si="77"/>
        <v>0</v>
      </c>
      <c r="S426" s="800">
        <f t="shared" si="78"/>
        <v>0</v>
      </c>
    </row>
    <row r="427" spans="1:19">
      <c r="A427" s="964"/>
      <c r="B427" s="136"/>
      <c r="C427" s="52">
        <f t="shared" si="69"/>
        <v>1</v>
      </c>
      <c r="D427" s="962"/>
      <c r="E427" s="52">
        <f t="shared" si="70"/>
        <v>1</v>
      </c>
      <c r="F427" s="962"/>
      <c r="G427" s="52">
        <f t="shared" si="71"/>
        <v>1</v>
      </c>
      <c r="H427" s="962"/>
      <c r="I427" s="52">
        <f t="shared" si="72"/>
        <v>1</v>
      </c>
      <c r="J427" s="962"/>
      <c r="K427" s="52">
        <f t="shared" si="73"/>
        <v>1</v>
      </c>
      <c r="L427" s="962"/>
      <c r="M427" s="52">
        <f t="shared" si="74"/>
        <v>1</v>
      </c>
      <c r="N427" s="962"/>
      <c r="O427" s="52">
        <f t="shared" si="75"/>
        <v>1</v>
      </c>
      <c r="P427" s="962"/>
      <c r="Q427" s="52">
        <f t="shared" si="76"/>
        <v>1</v>
      </c>
      <c r="R427" s="492">
        <f t="shared" si="77"/>
        <v>0</v>
      </c>
      <c r="S427" s="800">
        <f t="shared" si="78"/>
        <v>0</v>
      </c>
    </row>
    <row r="428" spans="1:19">
      <c r="A428" s="964"/>
      <c r="B428" s="136"/>
      <c r="C428" s="52">
        <f t="shared" si="69"/>
        <v>1</v>
      </c>
      <c r="D428" s="962"/>
      <c r="E428" s="52">
        <f t="shared" si="70"/>
        <v>1</v>
      </c>
      <c r="F428" s="962"/>
      <c r="G428" s="52">
        <f t="shared" si="71"/>
        <v>1</v>
      </c>
      <c r="H428" s="962"/>
      <c r="I428" s="52">
        <f t="shared" si="72"/>
        <v>1</v>
      </c>
      <c r="J428" s="962"/>
      <c r="K428" s="52">
        <f t="shared" si="73"/>
        <v>1</v>
      </c>
      <c r="L428" s="962"/>
      <c r="M428" s="52">
        <f t="shared" si="74"/>
        <v>1</v>
      </c>
      <c r="N428" s="962"/>
      <c r="O428" s="52">
        <f t="shared" si="75"/>
        <v>1</v>
      </c>
      <c r="P428" s="962"/>
      <c r="Q428" s="52">
        <f t="shared" si="76"/>
        <v>1</v>
      </c>
      <c r="R428" s="492">
        <f t="shared" si="77"/>
        <v>0</v>
      </c>
      <c r="S428" s="800">
        <f t="shared" si="78"/>
        <v>0</v>
      </c>
    </row>
    <row r="429" spans="1:19">
      <c r="A429" s="964"/>
      <c r="B429" s="136"/>
      <c r="C429" s="52">
        <f t="shared" si="69"/>
        <v>1</v>
      </c>
      <c r="D429" s="962"/>
      <c r="E429" s="52">
        <f t="shared" si="70"/>
        <v>1</v>
      </c>
      <c r="F429" s="962"/>
      <c r="G429" s="52">
        <f t="shared" si="71"/>
        <v>1</v>
      </c>
      <c r="H429" s="962"/>
      <c r="I429" s="52">
        <f t="shared" si="72"/>
        <v>1</v>
      </c>
      <c r="J429" s="962"/>
      <c r="K429" s="52">
        <f t="shared" si="73"/>
        <v>1</v>
      </c>
      <c r="L429" s="962"/>
      <c r="M429" s="52">
        <f t="shared" si="74"/>
        <v>1</v>
      </c>
      <c r="N429" s="962"/>
      <c r="O429" s="52">
        <f t="shared" si="75"/>
        <v>1</v>
      </c>
      <c r="P429" s="962"/>
      <c r="Q429" s="52">
        <f t="shared" si="76"/>
        <v>1</v>
      </c>
      <c r="R429" s="492">
        <f t="shared" si="77"/>
        <v>0</v>
      </c>
      <c r="S429" s="800">
        <f t="shared" si="78"/>
        <v>0</v>
      </c>
    </row>
    <row r="430" spans="1:19">
      <c r="A430" s="964"/>
      <c r="B430" s="136"/>
      <c r="C430" s="52">
        <f t="shared" si="69"/>
        <v>1</v>
      </c>
      <c r="D430" s="962"/>
      <c r="E430" s="52">
        <f t="shared" si="70"/>
        <v>1</v>
      </c>
      <c r="F430" s="962"/>
      <c r="G430" s="52">
        <f t="shared" si="71"/>
        <v>1</v>
      </c>
      <c r="H430" s="962"/>
      <c r="I430" s="52">
        <f t="shared" si="72"/>
        <v>1</v>
      </c>
      <c r="J430" s="962"/>
      <c r="K430" s="52">
        <f t="shared" si="73"/>
        <v>1</v>
      </c>
      <c r="L430" s="962"/>
      <c r="M430" s="52">
        <f t="shared" si="74"/>
        <v>1</v>
      </c>
      <c r="N430" s="962"/>
      <c r="O430" s="52">
        <f t="shared" si="75"/>
        <v>1</v>
      </c>
      <c r="P430" s="962"/>
      <c r="Q430" s="52">
        <f t="shared" si="76"/>
        <v>1</v>
      </c>
      <c r="R430" s="492">
        <f t="shared" si="77"/>
        <v>0</v>
      </c>
      <c r="S430" s="800">
        <f t="shared" si="78"/>
        <v>0</v>
      </c>
    </row>
    <row r="431" spans="1:19">
      <c r="A431" s="964"/>
      <c r="B431" s="136"/>
      <c r="C431" s="52">
        <f t="shared" si="69"/>
        <v>1</v>
      </c>
      <c r="D431" s="962"/>
      <c r="E431" s="52">
        <f t="shared" si="70"/>
        <v>1</v>
      </c>
      <c r="F431" s="962"/>
      <c r="G431" s="52">
        <f t="shared" si="71"/>
        <v>1</v>
      </c>
      <c r="H431" s="962"/>
      <c r="I431" s="52">
        <f t="shared" si="72"/>
        <v>1</v>
      </c>
      <c r="J431" s="962"/>
      <c r="K431" s="52">
        <f t="shared" si="73"/>
        <v>1</v>
      </c>
      <c r="L431" s="962"/>
      <c r="M431" s="52">
        <f t="shared" si="74"/>
        <v>1</v>
      </c>
      <c r="N431" s="962"/>
      <c r="O431" s="52">
        <f t="shared" si="75"/>
        <v>1</v>
      </c>
      <c r="P431" s="962"/>
      <c r="Q431" s="52">
        <f t="shared" si="76"/>
        <v>1</v>
      </c>
      <c r="R431" s="492">
        <f t="shared" si="77"/>
        <v>0</v>
      </c>
      <c r="S431" s="800">
        <f t="shared" si="78"/>
        <v>0</v>
      </c>
    </row>
    <row r="432" spans="1:19">
      <c r="A432" s="964"/>
      <c r="B432" s="136"/>
      <c r="C432" s="52">
        <f t="shared" si="69"/>
        <v>1</v>
      </c>
      <c r="D432" s="962"/>
      <c r="E432" s="52">
        <f t="shared" si="70"/>
        <v>1</v>
      </c>
      <c r="F432" s="962"/>
      <c r="G432" s="52">
        <f t="shared" si="71"/>
        <v>1</v>
      </c>
      <c r="H432" s="962"/>
      <c r="I432" s="52">
        <f t="shared" si="72"/>
        <v>1</v>
      </c>
      <c r="J432" s="962"/>
      <c r="K432" s="52">
        <f t="shared" si="73"/>
        <v>1</v>
      </c>
      <c r="L432" s="962"/>
      <c r="M432" s="52">
        <f t="shared" si="74"/>
        <v>1</v>
      </c>
      <c r="N432" s="962"/>
      <c r="O432" s="52">
        <f t="shared" si="75"/>
        <v>1</v>
      </c>
      <c r="P432" s="962"/>
      <c r="Q432" s="52">
        <f t="shared" si="76"/>
        <v>1</v>
      </c>
      <c r="R432" s="492">
        <f t="shared" si="77"/>
        <v>0</v>
      </c>
      <c r="S432" s="800">
        <f t="shared" si="78"/>
        <v>0</v>
      </c>
    </row>
    <row r="433" spans="1:19">
      <c r="A433" s="964"/>
      <c r="B433" s="136"/>
      <c r="C433" s="52">
        <f t="shared" si="69"/>
        <v>1</v>
      </c>
      <c r="D433" s="962"/>
      <c r="E433" s="52">
        <f t="shared" si="70"/>
        <v>1</v>
      </c>
      <c r="F433" s="962"/>
      <c r="G433" s="52">
        <f t="shared" si="71"/>
        <v>1</v>
      </c>
      <c r="H433" s="962"/>
      <c r="I433" s="52">
        <f t="shared" si="72"/>
        <v>1</v>
      </c>
      <c r="J433" s="962"/>
      <c r="K433" s="52">
        <f t="shared" si="73"/>
        <v>1</v>
      </c>
      <c r="L433" s="962"/>
      <c r="M433" s="52">
        <f t="shared" si="74"/>
        <v>1</v>
      </c>
      <c r="N433" s="962"/>
      <c r="O433" s="52">
        <f t="shared" si="75"/>
        <v>1</v>
      </c>
      <c r="P433" s="962"/>
      <c r="Q433" s="52">
        <f t="shared" si="76"/>
        <v>1</v>
      </c>
      <c r="R433" s="492">
        <f t="shared" si="77"/>
        <v>0</v>
      </c>
      <c r="S433" s="800">
        <f t="shared" si="78"/>
        <v>0</v>
      </c>
    </row>
    <row r="434" spans="1:19">
      <c r="A434" s="964"/>
      <c r="B434" s="136"/>
      <c r="C434" s="52">
        <f t="shared" si="69"/>
        <v>1</v>
      </c>
      <c r="D434" s="962"/>
      <c r="E434" s="52">
        <f t="shared" si="70"/>
        <v>1</v>
      </c>
      <c r="F434" s="962"/>
      <c r="G434" s="52">
        <f t="shared" si="71"/>
        <v>1</v>
      </c>
      <c r="H434" s="962"/>
      <c r="I434" s="52">
        <f t="shared" si="72"/>
        <v>1</v>
      </c>
      <c r="J434" s="962"/>
      <c r="K434" s="52">
        <f t="shared" si="73"/>
        <v>1</v>
      </c>
      <c r="L434" s="962"/>
      <c r="M434" s="52">
        <f t="shared" si="74"/>
        <v>1</v>
      </c>
      <c r="N434" s="962"/>
      <c r="O434" s="52">
        <f t="shared" si="75"/>
        <v>1</v>
      </c>
      <c r="P434" s="962"/>
      <c r="Q434" s="52">
        <f t="shared" si="76"/>
        <v>1</v>
      </c>
      <c r="R434" s="492">
        <f t="shared" si="77"/>
        <v>0</v>
      </c>
      <c r="S434" s="800">
        <f t="shared" si="78"/>
        <v>0</v>
      </c>
    </row>
    <row r="435" spans="1:19">
      <c r="A435" s="964"/>
      <c r="B435" s="136"/>
      <c r="C435" s="52">
        <f t="shared" si="69"/>
        <v>1</v>
      </c>
      <c r="D435" s="962"/>
      <c r="E435" s="52">
        <f t="shared" si="70"/>
        <v>1</v>
      </c>
      <c r="F435" s="962"/>
      <c r="G435" s="52">
        <f t="shared" si="71"/>
        <v>1</v>
      </c>
      <c r="H435" s="962"/>
      <c r="I435" s="52">
        <f t="shared" si="72"/>
        <v>1</v>
      </c>
      <c r="J435" s="962"/>
      <c r="K435" s="52">
        <f t="shared" si="73"/>
        <v>1</v>
      </c>
      <c r="L435" s="962"/>
      <c r="M435" s="52">
        <f t="shared" si="74"/>
        <v>1</v>
      </c>
      <c r="N435" s="962"/>
      <c r="O435" s="52">
        <f t="shared" si="75"/>
        <v>1</v>
      </c>
      <c r="P435" s="962"/>
      <c r="Q435" s="52">
        <f t="shared" si="76"/>
        <v>1</v>
      </c>
      <c r="R435" s="492">
        <f t="shared" si="77"/>
        <v>0</v>
      </c>
      <c r="S435" s="800">
        <f t="shared" si="78"/>
        <v>0</v>
      </c>
    </row>
    <row r="436" spans="1:19">
      <c r="A436" s="964"/>
      <c r="B436" s="136"/>
      <c r="C436" s="52">
        <f t="shared" si="69"/>
        <v>1</v>
      </c>
      <c r="D436" s="962"/>
      <c r="E436" s="52">
        <f t="shared" si="70"/>
        <v>1</v>
      </c>
      <c r="F436" s="962"/>
      <c r="G436" s="52">
        <f t="shared" si="71"/>
        <v>1</v>
      </c>
      <c r="H436" s="962"/>
      <c r="I436" s="52">
        <f t="shared" si="72"/>
        <v>1</v>
      </c>
      <c r="J436" s="962"/>
      <c r="K436" s="52">
        <f t="shared" si="73"/>
        <v>1</v>
      </c>
      <c r="L436" s="962"/>
      <c r="M436" s="52">
        <f t="shared" si="74"/>
        <v>1</v>
      </c>
      <c r="N436" s="962"/>
      <c r="O436" s="52">
        <f t="shared" si="75"/>
        <v>1</v>
      </c>
      <c r="P436" s="962"/>
      <c r="Q436" s="52">
        <f t="shared" si="76"/>
        <v>1</v>
      </c>
      <c r="R436" s="492">
        <f t="shared" si="77"/>
        <v>0</v>
      </c>
      <c r="S436" s="800">
        <f t="shared" si="78"/>
        <v>0</v>
      </c>
    </row>
    <row r="437" spans="1:19">
      <c r="A437" s="964"/>
      <c r="B437" s="136"/>
      <c r="C437" s="52">
        <f t="shared" si="69"/>
        <v>1</v>
      </c>
      <c r="D437" s="962"/>
      <c r="E437" s="52">
        <f t="shared" si="70"/>
        <v>1</v>
      </c>
      <c r="F437" s="962"/>
      <c r="G437" s="52">
        <f t="shared" si="71"/>
        <v>1</v>
      </c>
      <c r="H437" s="962"/>
      <c r="I437" s="52">
        <f t="shared" si="72"/>
        <v>1</v>
      </c>
      <c r="J437" s="962"/>
      <c r="K437" s="52">
        <f t="shared" si="73"/>
        <v>1</v>
      </c>
      <c r="L437" s="962"/>
      <c r="M437" s="52">
        <f t="shared" si="74"/>
        <v>1</v>
      </c>
      <c r="N437" s="962"/>
      <c r="O437" s="52">
        <f t="shared" si="75"/>
        <v>1</v>
      </c>
      <c r="P437" s="962"/>
      <c r="Q437" s="52">
        <f t="shared" si="76"/>
        <v>1</v>
      </c>
      <c r="R437" s="492">
        <f t="shared" si="77"/>
        <v>0</v>
      </c>
      <c r="S437" s="800">
        <f t="shared" si="78"/>
        <v>0</v>
      </c>
    </row>
    <row r="438" spans="1:19">
      <c r="A438" s="964"/>
      <c r="B438" s="136"/>
      <c r="C438" s="52">
        <f t="shared" si="69"/>
        <v>1</v>
      </c>
      <c r="D438" s="962"/>
      <c r="E438" s="52">
        <f t="shared" si="70"/>
        <v>1</v>
      </c>
      <c r="F438" s="962"/>
      <c r="G438" s="52">
        <f t="shared" si="71"/>
        <v>1</v>
      </c>
      <c r="H438" s="962"/>
      <c r="I438" s="52">
        <f t="shared" si="72"/>
        <v>1</v>
      </c>
      <c r="J438" s="962"/>
      <c r="K438" s="52">
        <f t="shared" si="73"/>
        <v>1</v>
      </c>
      <c r="L438" s="962"/>
      <c r="M438" s="52">
        <f t="shared" si="74"/>
        <v>1</v>
      </c>
      <c r="N438" s="962"/>
      <c r="O438" s="52">
        <f t="shared" si="75"/>
        <v>1</v>
      </c>
      <c r="P438" s="962"/>
      <c r="Q438" s="52">
        <f t="shared" si="76"/>
        <v>1</v>
      </c>
      <c r="R438" s="492">
        <f t="shared" si="77"/>
        <v>0</v>
      </c>
      <c r="S438" s="800">
        <f t="shared" si="78"/>
        <v>0</v>
      </c>
    </row>
    <row r="439" spans="1:19">
      <c r="A439" s="964"/>
      <c r="B439" s="136"/>
      <c r="C439" s="52">
        <f t="shared" si="69"/>
        <v>1</v>
      </c>
      <c r="D439" s="962"/>
      <c r="E439" s="52">
        <f t="shared" si="70"/>
        <v>1</v>
      </c>
      <c r="F439" s="962"/>
      <c r="G439" s="52">
        <f t="shared" si="71"/>
        <v>1</v>
      </c>
      <c r="H439" s="962"/>
      <c r="I439" s="52">
        <f t="shared" si="72"/>
        <v>1</v>
      </c>
      <c r="J439" s="962"/>
      <c r="K439" s="52">
        <f t="shared" si="73"/>
        <v>1</v>
      </c>
      <c r="L439" s="962"/>
      <c r="M439" s="52">
        <f t="shared" si="74"/>
        <v>1</v>
      </c>
      <c r="N439" s="962"/>
      <c r="O439" s="52">
        <f t="shared" si="75"/>
        <v>1</v>
      </c>
      <c r="P439" s="962"/>
      <c r="Q439" s="52">
        <f t="shared" si="76"/>
        <v>1</v>
      </c>
      <c r="R439" s="492">
        <f t="shared" si="77"/>
        <v>0</v>
      </c>
      <c r="S439" s="800">
        <f t="shared" si="78"/>
        <v>0</v>
      </c>
    </row>
    <row r="440" spans="1:19">
      <c r="A440" s="964"/>
      <c r="B440" s="136"/>
      <c r="C440" s="52">
        <f t="shared" si="69"/>
        <v>1</v>
      </c>
      <c r="D440" s="962"/>
      <c r="E440" s="52">
        <f t="shared" si="70"/>
        <v>1</v>
      </c>
      <c r="F440" s="962"/>
      <c r="G440" s="52">
        <f t="shared" si="71"/>
        <v>1</v>
      </c>
      <c r="H440" s="962"/>
      <c r="I440" s="52">
        <f t="shared" si="72"/>
        <v>1</v>
      </c>
      <c r="J440" s="962"/>
      <c r="K440" s="52">
        <f t="shared" si="73"/>
        <v>1</v>
      </c>
      <c r="L440" s="962"/>
      <c r="M440" s="52">
        <f t="shared" si="74"/>
        <v>1</v>
      </c>
      <c r="N440" s="962"/>
      <c r="O440" s="52">
        <f t="shared" si="75"/>
        <v>1</v>
      </c>
      <c r="P440" s="962"/>
      <c r="Q440" s="52">
        <f t="shared" si="76"/>
        <v>1</v>
      </c>
      <c r="R440" s="492">
        <f t="shared" si="77"/>
        <v>0</v>
      </c>
      <c r="S440" s="800">
        <f t="shared" si="78"/>
        <v>0</v>
      </c>
    </row>
    <row r="441" spans="1:19">
      <c r="A441" s="964"/>
      <c r="B441" s="136"/>
      <c r="C441" s="52">
        <f t="shared" si="69"/>
        <v>1</v>
      </c>
      <c r="D441" s="962"/>
      <c r="E441" s="52">
        <f t="shared" si="70"/>
        <v>1</v>
      </c>
      <c r="F441" s="962"/>
      <c r="G441" s="52">
        <f t="shared" si="71"/>
        <v>1</v>
      </c>
      <c r="H441" s="962"/>
      <c r="I441" s="52">
        <f t="shared" si="72"/>
        <v>1</v>
      </c>
      <c r="J441" s="962"/>
      <c r="K441" s="52">
        <f t="shared" si="73"/>
        <v>1</v>
      </c>
      <c r="L441" s="962"/>
      <c r="M441" s="52">
        <f t="shared" si="74"/>
        <v>1</v>
      </c>
      <c r="N441" s="962"/>
      <c r="O441" s="52">
        <f t="shared" si="75"/>
        <v>1</v>
      </c>
      <c r="P441" s="962"/>
      <c r="Q441" s="52">
        <f t="shared" si="76"/>
        <v>1</v>
      </c>
      <c r="R441" s="492">
        <f t="shared" si="77"/>
        <v>0</v>
      </c>
      <c r="S441" s="800">
        <f t="shared" si="78"/>
        <v>0</v>
      </c>
    </row>
    <row r="442" spans="1:19">
      <c r="A442" s="964"/>
      <c r="B442" s="136"/>
      <c r="C442" s="52">
        <f t="shared" si="69"/>
        <v>1</v>
      </c>
      <c r="D442" s="962"/>
      <c r="E442" s="52">
        <f t="shared" si="70"/>
        <v>1</v>
      </c>
      <c r="F442" s="962"/>
      <c r="G442" s="52">
        <f t="shared" si="71"/>
        <v>1</v>
      </c>
      <c r="H442" s="962"/>
      <c r="I442" s="52">
        <f t="shared" si="72"/>
        <v>1</v>
      </c>
      <c r="J442" s="962"/>
      <c r="K442" s="52">
        <f t="shared" si="73"/>
        <v>1</v>
      </c>
      <c r="L442" s="962"/>
      <c r="M442" s="52">
        <f t="shared" si="74"/>
        <v>1</v>
      </c>
      <c r="N442" s="962"/>
      <c r="O442" s="52">
        <f t="shared" si="75"/>
        <v>1</v>
      </c>
      <c r="P442" s="962"/>
      <c r="Q442" s="52">
        <f t="shared" si="76"/>
        <v>1</v>
      </c>
      <c r="R442" s="492">
        <f t="shared" si="77"/>
        <v>0</v>
      </c>
      <c r="S442" s="800">
        <f t="shared" si="78"/>
        <v>0</v>
      </c>
    </row>
    <row r="443" spans="1:19">
      <c r="A443" s="964"/>
      <c r="B443" s="136"/>
      <c r="C443" s="52">
        <f t="shared" si="69"/>
        <v>1</v>
      </c>
      <c r="D443" s="962"/>
      <c r="E443" s="52">
        <f t="shared" si="70"/>
        <v>1</v>
      </c>
      <c r="F443" s="962"/>
      <c r="G443" s="52">
        <f t="shared" si="71"/>
        <v>1</v>
      </c>
      <c r="H443" s="962"/>
      <c r="I443" s="52">
        <f t="shared" si="72"/>
        <v>1</v>
      </c>
      <c r="J443" s="962"/>
      <c r="K443" s="52">
        <f t="shared" si="73"/>
        <v>1</v>
      </c>
      <c r="L443" s="962"/>
      <c r="M443" s="52">
        <f t="shared" si="74"/>
        <v>1</v>
      </c>
      <c r="N443" s="962"/>
      <c r="O443" s="52">
        <f t="shared" si="75"/>
        <v>1</v>
      </c>
      <c r="P443" s="962"/>
      <c r="Q443" s="52">
        <f t="shared" si="76"/>
        <v>1</v>
      </c>
      <c r="R443" s="492">
        <f t="shared" si="77"/>
        <v>0</v>
      </c>
      <c r="S443" s="800">
        <f t="shared" si="78"/>
        <v>0</v>
      </c>
    </row>
    <row r="444" spans="1:19">
      <c r="A444" s="964"/>
      <c r="B444" s="136"/>
      <c r="C444" s="52">
        <f t="shared" si="69"/>
        <v>1</v>
      </c>
      <c r="D444" s="962"/>
      <c r="E444" s="52">
        <f t="shared" si="70"/>
        <v>1</v>
      </c>
      <c r="F444" s="962"/>
      <c r="G444" s="52">
        <f t="shared" si="71"/>
        <v>1</v>
      </c>
      <c r="H444" s="962"/>
      <c r="I444" s="52">
        <f t="shared" si="72"/>
        <v>1</v>
      </c>
      <c r="J444" s="962"/>
      <c r="K444" s="52">
        <f t="shared" si="73"/>
        <v>1</v>
      </c>
      <c r="L444" s="962"/>
      <c r="M444" s="52">
        <f t="shared" si="74"/>
        <v>1</v>
      </c>
      <c r="N444" s="962"/>
      <c r="O444" s="52">
        <f t="shared" si="75"/>
        <v>1</v>
      </c>
      <c r="P444" s="962"/>
      <c r="Q444" s="52">
        <f t="shared" si="76"/>
        <v>1</v>
      </c>
      <c r="R444" s="492">
        <f t="shared" si="77"/>
        <v>0</v>
      </c>
      <c r="S444" s="800">
        <f t="shared" si="78"/>
        <v>0</v>
      </c>
    </row>
    <row r="445" spans="1:19">
      <c r="A445" s="964"/>
      <c r="B445" s="136"/>
      <c r="C445" s="52">
        <f t="shared" si="69"/>
        <v>1</v>
      </c>
      <c r="D445" s="962"/>
      <c r="E445" s="52">
        <f t="shared" si="70"/>
        <v>1</v>
      </c>
      <c r="F445" s="962"/>
      <c r="G445" s="52">
        <f t="shared" si="71"/>
        <v>1</v>
      </c>
      <c r="H445" s="962"/>
      <c r="I445" s="52">
        <f t="shared" si="72"/>
        <v>1</v>
      </c>
      <c r="J445" s="962"/>
      <c r="K445" s="52">
        <f t="shared" si="73"/>
        <v>1</v>
      </c>
      <c r="L445" s="962"/>
      <c r="M445" s="52">
        <f t="shared" si="74"/>
        <v>1</v>
      </c>
      <c r="N445" s="962"/>
      <c r="O445" s="52">
        <f t="shared" si="75"/>
        <v>1</v>
      </c>
      <c r="P445" s="962"/>
      <c r="Q445" s="52">
        <f t="shared" si="76"/>
        <v>1</v>
      </c>
      <c r="R445" s="492">
        <f t="shared" si="77"/>
        <v>0</v>
      </c>
      <c r="S445" s="800">
        <f t="shared" si="78"/>
        <v>0</v>
      </c>
    </row>
    <row r="446" spans="1:19">
      <c r="A446" s="964"/>
      <c r="B446" s="136"/>
      <c r="C446" s="52">
        <f t="shared" si="69"/>
        <v>1</v>
      </c>
      <c r="D446" s="962"/>
      <c r="E446" s="52">
        <f t="shared" si="70"/>
        <v>1</v>
      </c>
      <c r="F446" s="962"/>
      <c r="G446" s="52">
        <f t="shared" si="71"/>
        <v>1</v>
      </c>
      <c r="H446" s="962"/>
      <c r="I446" s="52">
        <f t="shared" si="72"/>
        <v>1</v>
      </c>
      <c r="J446" s="962"/>
      <c r="K446" s="52">
        <f t="shared" si="73"/>
        <v>1</v>
      </c>
      <c r="L446" s="962"/>
      <c r="M446" s="52">
        <f t="shared" si="74"/>
        <v>1</v>
      </c>
      <c r="N446" s="962"/>
      <c r="O446" s="52">
        <f t="shared" si="75"/>
        <v>1</v>
      </c>
      <c r="P446" s="962"/>
      <c r="Q446" s="52">
        <f t="shared" si="76"/>
        <v>1</v>
      </c>
      <c r="R446" s="492">
        <f t="shared" si="77"/>
        <v>0</v>
      </c>
      <c r="S446" s="800">
        <f t="shared" si="78"/>
        <v>0</v>
      </c>
    </row>
    <row r="447" spans="1:19">
      <c r="A447" s="964"/>
      <c r="B447" s="136"/>
      <c r="C447" s="52">
        <f t="shared" si="69"/>
        <v>1</v>
      </c>
      <c r="D447" s="962"/>
      <c r="E447" s="52">
        <f t="shared" si="70"/>
        <v>1</v>
      </c>
      <c r="F447" s="962"/>
      <c r="G447" s="52">
        <f t="shared" si="71"/>
        <v>1</v>
      </c>
      <c r="H447" s="962"/>
      <c r="I447" s="52">
        <f t="shared" si="72"/>
        <v>1</v>
      </c>
      <c r="J447" s="962"/>
      <c r="K447" s="52">
        <f t="shared" si="73"/>
        <v>1</v>
      </c>
      <c r="L447" s="962"/>
      <c r="M447" s="52">
        <f t="shared" si="74"/>
        <v>1</v>
      </c>
      <c r="N447" s="962"/>
      <c r="O447" s="52">
        <f t="shared" si="75"/>
        <v>1</v>
      </c>
      <c r="P447" s="962"/>
      <c r="Q447" s="52">
        <f t="shared" si="76"/>
        <v>1</v>
      </c>
      <c r="R447" s="492">
        <f t="shared" si="77"/>
        <v>0</v>
      </c>
      <c r="S447" s="800">
        <f t="shared" si="78"/>
        <v>0</v>
      </c>
    </row>
    <row r="448" spans="1:19">
      <c r="A448" s="964"/>
      <c r="B448" s="136"/>
      <c r="C448" s="52">
        <f t="shared" si="69"/>
        <v>1</v>
      </c>
      <c r="D448" s="962"/>
      <c r="E448" s="52">
        <f t="shared" si="70"/>
        <v>1</v>
      </c>
      <c r="F448" s="962"/>
      <c r="G448" s="52">
        <f t="shared" si="71"/>
        <v>1</v>
      </c>
      <c r="H448" s="962"/>
      <c r="I448" s="52">
        <f t="shared" si="72"/>
        <v>1</v>
      </c>
      <c r="J448" s="962"/>
      <c r="K448" s="52">
        <f t="shared" si="73"/>
        <v>1</v>
      </c>
      <c r="L448" s="962"/>
      <c r="M448" s="52">
        <f t="shared" si="74"/>
        <v>1</v>
      </c>
      <c r="N448" s="962"/>
      <c r="O448" s="52">
        <f t="shared" si="75"/>
        <v>1</v>
      </c>
      <c r="P448" s="962"/>
      <c r="Q448" s="52">
        <f t="shared" si="76"/>
        <v>1</v>
      </c>
      <c r="R448" s="492">
        <f t="shared" si="77"/>
        <v>0</v>
      </c>
      <c r="S448" s="800">
        <f t="shared" si="78"/>
        <v>0</v>
      </c>
    </row>
    <row r="449" spans="1:19">
      <c r="A449" s="964"/>
      <c r="B449" s="136"/>
      <c r="C449" s="52">
        <f t="shared" si="69"/>
        <v>1</v>
      </c>
      <c r="D449" s="962"/>
      <c r="E449" s="52">
        <f t="shared" si="70"/>
        <v>1</v>
      </c>
      <c r="F449" s="962"/>
      <c r="G449" s="52">
        <f t="shared" si="71"/>
        <v>1</v>
      </c>
      <c r="H449" s="962"/>
      <c r="I449" s="52">
        <f t="shared" si="72"/>
        <v>1</v>
      </c>
      <c r="J449" s="962"/>
      <c r="K449" s="52">
        <f t="shared" si="73"/>
        <v>1</v>
      </c>
      <c r="L449" s="962"/>
      <c r="M449" s="52">
        <f t="shared" si="74"/>
        <v>1</v>
      </c>
      <c r="N449" s="962"/>
      <c r="O449" s="52">
        <f t="shared" si="75"/>
        <v>1</v>
      </c>
      <c r="P449" s="962"/>
      <c r="Q449" s="52">
        <f t="shared" si="76"/>
        <v>1</v>
      </c>
      <c r="R449" s="492">
        <f t="shared" si="77"/>
        <v>0</v>
      </c>
      <c r="S449" s="800">
        <f t="shared" si="78"/>
        <v>0</v>
      </c>
    </row>
    <row r="450" spans="1:19">
      <c r="A450" s="964"/>
      <c r="B450" s="136"/>
      <c r="C450" s="52">
        <f t="shared" si="69"/>
        <v>1</v>
      </c>
      <c r="D450" s="962"/>
      <c r="E450" s="52">
        <f t="shared" si="70"/>
        <v>1</v>
      </c>
      <c r="F450" s="962"/>
      <c r="G450" s="52">
        <f t="shared" si="71"/>
        <v>1</v>
      </c>
      <c r="H450" s="962"/>
      <c r="I450" s="52">
        <f t="shared" si="72"/>
        <v>1</v>
      </c>
      <c r="J450" s="962"/>
      <c r="K450" s="52">
        <f t="shared" si="73"/>
        <v>1</v>
      </c>
      <c r="L450" s="962"/>
      <c r="M450" s="52">
        <f t="shared" si="74"/>
        <v>1</v>
      </c>
      <c r="N450" s="962"/>
      <c r="O450" s="52">
        <f t="shared" si="75"/>
        <v>1</v>
      </c>
      <c r="P450" s="962"/>
      <c r="Q450" s="52">
        <f t="shared" si="76"/>
        <v>1</v>
      </c>
      <c r="R450" s="492">
        <f t="shared" si="77"/>
        <v>0</v>
      </c>
      <c r="S450" s="800">
        <f t="shared" si="78"/>
        <v>0</v>
      </c>
    </row>
    <row r="451" spans="1:19">
      <c r="A451" s="964"/>
      <c r="B451" s="136"/>
      <c r="C451" s="52">
        <f t="shared" si="69"/>
        <v>1</v>
      </c>
      <c r="D451" s="962"/>
      <c r="E451" s="52">
        <f t="shared" si="70"/>
        <v>1</v>
      </c>
      <c r="F451" s="962"/>
      <c r="G451" s="52">
        <f t="shared" si="71"/>
        <v>1</v>
      </c>
      <c r="H451" s="962"/>
      <c r="I451" s="52">
        <f t="shared" si="72"/>
        <v>1</v>
      </c>
      <c r="J451" s="962"/>
      <c r="K451" s="52">
        <f t="shared" si="73"/>
        <v>1</v>
      </c>
      <c r="L451" s="962"/>
      <c r="M451" s="52">
        <f t="shared" si="74"/>
        <v>1</v>
      </c>
      <c r="N451" s="962"/>
      <c r="O451" s="52">
        <f t="shared" si="75"/>
        <v>1</v>
      </c>
      <c r="P451" s="962"/>
      <c r="Q451" s="52">
        <f t="shared" si="76"/>
        <v>1</v>
      </c>
      <c r="R451" s="492">
        <f t="shared" si="77"/>
        <v>0</v>
      </c>
      <c r="S451" s="800">
        <f t="shared" si="78"/>
        <v>0</v>
      </c>
    </row>
    <row r="452" spans="1:19">
      <c r="A452" s="964"/>
      <c r="B452" s="136"/>
      <c r="C452" s="52">
        <f t="shared" si="69"/>
        <v>1</v>
      </c>
      <c r="D452" s="962"/>
      <c r="E452" s="52">
        <f t="shared" si="70"/>
        <v>1</v>
      </c>
      <c r="F452" s="962"/>
      <c r="G452" s="52">
        <f t="shared" si="71"/>
        <v>1</v>
      </c>
      <c r="H452" s="962"/>
      <c r="I452" s="52">
        <f t="shared" si="72"/>
        <v>1</v>
      </c>
      <c r="J452" s="962"/>
      <c r="K452" s="52">
        <f t="shared" si="73"/>
        <v>1</v>
      </c>
      <c r="L452" s="962"/>
      <c r="M452" s="52">
        <f t="shared" si="74"/>
        <v>1</v>
      </c>
      <c r="N452" s="962"/>
      <c r="O452" s="52">
        <f t="shared" si="75"/>
        <v>1</v>
      </c>
      <c r="P452" s="962"/>
      <c r="Q452" s="52">
        <f t="shared" si="76"/>
        <v>1</v>
      </c>
      <c r="R452" s="492">
        <f t="shared" si="77"/>
        <v>0</v>
      </c>
      <c r="S452" s="800">
        <f t="shared" si="78"/>
        <v>0</v>
      </c>
    </row>
    <row r="453" spans="1:19">
      <c r="A453" s="964"/>
      <c r="B453" s="136"/>
      <c r="C453" s="52">
        <f t="shared" si="69"/>
        <v>1</v>
      </c>
      <c r="D453" s="962"/>
      <c r="E453" s="52">
        <f t="shared" si="70"/>
        <v>1</v>
      </c>
      <c r="F453" s="962"/>
      <c r="G453" s="52">
        <f t="shared" si="71"/>
        <v>1</v>
      </c>
      <c r="H453" s="962"/>
      <c r="I453" s="52">
        <f t="shared" si="72"/>
        <v>1</v>
      </c>
      <c r="J453" s="962"/>
      <c r="K453" s="52">
        <f t="shared" si="73"/>
        <v>1</v>
      </c>
      <c r="L453" s="962"/>
      <c r="M453" s="52">
        <f t="shared" si="74"/>
        <v>1</v>
      </c>
      <c r="N453" s="962"/>
      <c r="O453" s="52">
        <f t="shared" si="75"/>
        <v>1</v>
      </c>
      <c r="P453" s="962"/>
      <c r="Q453" s="52">
        <f t="shared" si="76"/>
        <v>1</v>
      </c>
      <c r="R453" s="492">
        <f t="shared" si="77"/>
        <v>0</v>
      </c>
      <c r="S453" s="800">
        <f t="shared" si="78"/>
        <v>0</v>
      </c>
    </row>
    <row r="454" spans="1:19">
      <c r="A454" s="964"/>
      <c r="B454" s="136"/>
      <c r="C454" s="52">
        <f t="shared" si="69"/>
        <v>1</v>
      </c>
      <c r="D454" s="962"/>
      <c r="E454" s="52">
        <f t="shared" si="70"/>
        <v>1</v>
      </c>
      <c r="F454" s="962"/>
      <c r="G454" s="52">
        <f t="shared" si="71"/>
        <v>1</v>
      </c>
      <c r="H454" s="962"/>
      <c r="I454" s="52">
        <f t="shared" si="72"/>
        <v>1</v>
      </c>
      <c r="J454" s="962"/>
      <c r="K454" s="52">
        <f t="shared" si="73"/>
        <v>1</v>
      </c>
      <c r="L454" s="962"/>
      <c r="M454" s="52">
        <f t="shared" si="74"/>
        <v>1</v>
      </c>
      <c r="N454" s="962"/>
      <c r="O454" s="52">
        <f t="shared" si="75"/>
        <v>1</v>
      </c>
      <c r="P454" s="962"/>
      <c r="Q454" s="52">
        <f t="shared" si="76"/>
        <v>1</v>
      </c>
      <c r="R454" s="492">
        <f t="shared" si="77"/>
        <v>0</v>
      </c>
      <c r="S454" s="800">
        <f t="shared" si="78"/>
        <v>0</v>
      </c>
    </row>
    <row r="455" spans="1:19">
      <c r="A455" s="964"/>
      <c r="B455" s="136"/>
      <c r="C455" s="52">
        <f t="shared" si="69"/>
        <v>1</v>
      </c>
      <c r="D455" s="962"/>
      <c r="E455" s="52">
        <f t="shared" si="70"/>
        <v>1</v>
      </c>
      <c r="F455" s="962"/>
      <c r="G455" s="52">
        <f t="shared" si="71"/>
        <v>1</v>
      </c>
      <c r="H455" s="962"/>
      <c r="I455" s="52">
        <f t="shared" si="72"/>
        <v>1</v>
      </c>
      <c r="J455" s="962"/>
      <c r="K455" s="52">
        <f t="shared" si="73"/>
        <v>1</v>
      </c>
      <c r="L455" s="962"/>
      <c r="M455" s="52">
        <f t="shared" si="74"/>
        <v>1</v>
      </c>
      <c r="N455" s="962"/>
      <c r="O455" s="52">
        <f t="shared" si="75"/>
        <v>1</v>
      </c>
      <c r="P455" s="962"/>
      <c r="Q455" s="52">
        <f t="shared" si="76"/>
        <v>1</v>
      </c>
      <c r="R455" s="492">
        <f t="shared" si="77"/>
        <v>0</v>
      </c>
      <c r="S455" s="800">
        <f t="shared" si="78"/>
        <v>0</v>
      </c>
    </row>
    <row r="456" spans="1:19">
      <c r="A456" s="964"/>
      <c r="B456" s="136"/>
      <c r="C456" s="52">
        <f t="shared" si="69"/>
        <v>1</v>
      </c>
      <c r="D456" s="962"/>
      <c r="E456" s="52">
        <f t="shared" si="70"/>
        <v>1</v>
      </c>
      <c r="F456" s="962"/>
      <c r="G456" s="52">
        <f t="shared" si="71"/>
        <v>1</v>
      </c>
      <c r="H456" s="962"/>
      <c r="I456" s="52">
        <f t="shared" si="72"/>
        <v>1</v>
      </c>
      <c r="J456" s="962"/>
      <c r="K456" s="52">
        <f t="shared" si="73"/>
        <v>1</v>
      </c>
      <c r="L456" s="962"/>
      <c r="M456" s="52">
        <f t="shared" si="74"/>
        <v>1</v>
      </c>
      <c r="N456" s="962"/>
      <c r="O456" s="52">
        <f t="shared" si="75"/>
        <v>1</v>
      </c>
      <c r="P456" s="962"/>
      <c r="Q456" s="52">
        <f t="shared" si="76"/>
        <v>1</v>
      </c>
      <c r="R456" s="492">
        <f t="shared" si="77"/>
        <v>0</v>
      </c>
      <c r="S456" s="800">
        <f t="shared" si="78"/>
        <v>0</v>
      </c>
    </row>
    <row r="457" spans="1:19">
      <c r="A457" s="964"/>
      <c r="B457" s="136"/>
      <c r="C457" s="52">
        <f t="shared" si="69"/>
        <v>1</v>
      </c>
      <c r="D457" s="962"/>
      <c r="E457" s="52">
        <f t="shared" si="70"/>
        <v>1</v>
      </c>
      <c r="F457" s="962"/>
      <c r="G457" s="52">
        <f t="shared" si="71"/>
        <v>1</v>
      </c>
      <c r="H457" s="962"/>
      <c r="I457" s="52">
        <f t="shared" si="72"/>
        <v>1</v>
      </c>
      <c r="J457" s="962"/>
      <c r="K457" s="52">
        <f t="shared" si="73"/>
        <v>1</v>
      </c>
      <c r="L457" s="962"/>
      <c r="M457" s="52">
        <f t="shared" si="74"/>
        <v>1</v>
      </c>
      <c r="N457" s="962"/>
      <c r="O457" s="52">
        <f t="shared" si="75"/>
        <v>1</v>
      </c>
      <c r="P457" s="962"/>
      <c r="Q457" s="52">
        <f t="shared" si="76"/>
        <v>1</v>
      </c>
      <c r="R457" s="492">
        <f t="shared" si="77"/>
        <v>0</v>
      </c>
      <c r="S457" s="800">
        <f t="shared" si="78"/>
        <v>0</v>
      </c>
    </row>
    <row r="458" spans="1:19">
      <c r="A458" s="964"/>
      <c r="B458" s="136"/>
      <c r="C458" s="52">
        <f t="shared" si="69"/>
        <v>1</v>
      </c>
      <c r="D458" s="962"/>
      <c r="E458" s="52">
        <f t="shared" si="70"/>
        <v>1</v>
      </c>
      <c r="F458" s="962"/>
      <c r="G458" s="52">
        <f t="shared" si="71"/>
        <v>1</v>
      </c>
      <c r="H458" s="962"/>
      <c r="I458" s="52">
        <f t="shared" si="72"/>
        <v>1</v>
      </c>
      <c r="J458" s="962"/>
      <c r="K458" s="52">
        <f t="shared" si="73"/>
        <v>1</v>
      </c>
      <c r="L458" s="962"/>
      <c r="M458" s="52">
        <f t="shared" si="74"/>
        <v>1</v>
      </c>
      <c r="N458" s="962"/>
      <c r="O458" s="52">
        <f t="shared" si="75"/>
        <v>1</v>
      </c>
      <c r="P458" s="962"/>
      <c r="Q458" s="52">
        <f t="shared" si="76"/>
        <v>1</v>
      </c>
      <c r="R458" s="492">
        <f t="shared" si="77"/>
        <v>0</v>
      </c>
      <c r="S458" s="800">
        <f t="shared" si="78"/>
        <v>0</v>
      </c>
    </row>
    <row r="459" spans="1:19">
      <c r="A459" s="964"/>
      <c r="B459" s="136"/>
      <c r="C459" s="52">
        <f t="shared" si="69"/>
        <v>1</v>
      </c>
      <c r="D459" s="962"/>
      <c r="E459" s="52">
        <f t="shared" si="70"/>
        <v>1</v>
      </c>
      <c r="F459" s="962"/>
      <c r="G459" s="52">
        <f t="shared" si="71"/>
        <v>1</v>
      </c>
      <c r="H459" s="962"/>
      <c r="I459" s="52">
        <f t="shared" si="72"/>
        <v>1</v>
      </c>
      <c r="J459" s="962"/>
      <c r="K459" s="52">
        <f t="shared" si="73"/>
        <v>1</v>
      </c>
      <c r="L459" s="962"/>
      <c r="M459" s="52">
        <f t="shared" si="74"/>
        <v>1</v>
      </c>
      <c r="N459" s="962"/>
      <c r="O459" s="52">
        <f t="shared" si="75"/>
        <v>1</v>
      </c>
      <c r="P459" s="962"/>
      <c r="Q459" s="52">
        <f t="shared" si="76"/>
        <v>1</v>
      </c>
      <c r="R459" s="492">
        <f t="shared" si="77"/>
        <v>0</v>
      </c>
      <c r="S459" s="800">
        <f t="shared" si="78"/>
        <v>0</v>
      </c>
    </row>
    <row r="460" spans="1:19">
      <c r="A460" s="964"/>
      <c r="B460" s="136"/>
      <c r="C460" s="52">
        <f t="shared" si="69"/>
        <v>1</v>
      </c>
      <c r="D460" s="962"/>
      <c r="E460" s="52">
        <f t="shared" si="70"/>
        <v>1</v>
      </c>
      <c r="F460" s="962"/>
      <c r="G460" s="52">
        <f t="shared" si="71"/>
        <v>1</v>
      </c>
      <c r="H460" s="962"/>
      <c r="I460" s="52">
        <f t="shared" si="72"/>
        <v>1</v>
      </c>
      <c r="J460" s="962"/>
      <c r="K460" s="52">
        <f t="shared" si="73"/>
        <v>1</v>
      </c>
      <c r="L460" s="962"/>
      <c r="M460" s="52">
        <f t="shared" si="74"/>
        <v>1</v>
      </c>
      <c r="N460" s="962"/>
      <c r="O460" s="52">
        <f t="shared" si="75"/>
        <v>1</v>
      </c>
      <c r="P460" s="962"/>
      <c r="Q460" s="52">
        <f t="shared" si="76"/>
        <v>1</v>
      </c>
      <c r="R460" s="492">
        <f t="shared" si="77"/>
        <v>0</v>
      </c>
      <c r="S460" s="800">
        <f t="shared" si="78"/>
        <v>0</v>
      </c>
    </row>
    <row r="461" spans="1:19">
      <c r="A461" s="964"/>
      <c r="B461" s="136"/>
      <c r="C461" s="52">
        <f t="shared" si="69"/>
        <v>1</v>
      </c>
      <c r="D461" s="962"/>
      <c r="E461" s="52">
        <f t="shared" si="70"/>
        <v>1</v>
      </c>
      <c r="F461" s="962"/>
      <c r="G461" s="52">
        <f t="shared" si="71"/>
        <v>1</v>
      </c>
      <c r="H461" s="962"/>
      <c r="I461" s="52">
        <f t="shared" si="72"/>
        <v>1</v>
      </c>
      <c r="J461" s="962"/>
      <c r="K461" s="52">
        <f t="shared" si="73"/>
        <v>1</v>
      </c>
      <c r="L461" s="962"/>
      <c r="M461" s="52">
        <f t="shared" si="74"/>
        <v>1</v>
      </c>
      <c r="N461" s="962"/>
      <c r="O461" s="52">
        <f t="shared" si="75"/>
        <v>1</v>
      </c>
      <c r="P461" s="962"/>
      <c r="Q461" s="52">
        <f t="shared" si="76"/>
        <v>1</v>
      </c>
      <c r="R461" s="492">
        <f t="shared" si="77"/>
        <v>0</v>
      </c>
      <c r="S461" s="800">
        <f t="shared" si="78"/>
        <v>0</v>
      </c>
    </row>
    <row r="462" spans="1:19">
      <c r="A462" s="964"/>
      <c r="B462" s="136"/>
      <c r="C462" s="52">
        <f t="shared" si="69"/>
        <v>1</v>
      </c>
      <c r="D462" s="962"/>
      <c r="E462" s="52">
        <f t="shared" si="70"/>
        <v>1</v>
      </c>
      <c r="F462" s="962"/>
      <c r="G462" s="52">
        <f t="shared" si="71"/>
        <v>1</v>
      </c>
      <c r="H462" s="962"/>
      <c r="I462" s="52">
        <f t="shared" si="72"/>
        <v>1</v>
      </c>
      <c r="J462" s="962"/>
      <c r="K462" s="52">
        <f t="shared" si="73"/>
        <v>1</v>
      </c>
      <c r="L462" s="962"/>
      <c r="M462" s="52">
        <f t="shared" si="74"/>
        <v>1</v>
      </c>
      <c r="N462" s="962"/>
      <c r="O462" s="52">
        <f t="shared" si="75"/>
        <v>1</v>
      </c>
      <c r="P462" s="962"/>
      <c r="Q462" s="52">
        <f t="shared" si="76"/>
        <v>1</v>
      </c>
      <c r="R462" s="492">
        <f t="shared" si="77"/>
        <v>0</v>
      </c>
      <c r="S462" s="800">
        <f t="shared" si="78"/>
        <v>0</v>
      </c>
    </row>
    <row r="463" spans="1:19">
      <c r="A463" s="964"/>
      <c r="B463" s="136"/>
      <c r="C463" s="52">
        <f t="shared" si="69"/>
        <v>1</v>
      </c>
      <c r="D463" s="962"/>
      <c r="E463" s="52">
        <f t="shared" si="70"/>
        <v>1</v>
      </c>
      <c r="F463" s="962"/>
      <c r="G463" s="52">
        <f t="shared" si="71"/>
        <v>1</v>
      </c>
      <c r="H463" s="962"/>
      <c r="I463" s="52">
        <f t="shared" si="72"/>
        <v>1</v>
      </c>
      <c r="J463" s="962"/>
      <c r="K463" s="52">
        <f t="shared" si="73"/>
        <v>1</v>
      </c>
      <c r="L463" s="962"/>
      <c r="M463" s="52">
        <f t="shared" si="74"/>
        <v>1</v>
      </c>
      <c r="N463" s="962"/>
      <c r="O463" s="52">
        <f t="shared" si="75"/>
        <v>1</v>
      </c>
      <c r="P463" s="962"/>
      <c r="Q463" s="52">
        <f t="shared" si="76"/>
        <v>1</v>
      </c>
      <c r="R463" s="492">
        <f t="shared" si="77"/>
        <v>0</v>
      </c>
      <c r="S463" s="800">
        <f t="shared" si="78"/>
        <v>0</v>
      </c>
    </row>
    <row r="464" spans="1:19">
      <c r="A464" s="964"/>
      <c r="B464" s="136"/>
      <c r="C464" s="52">
        <f t="shared" si="69"/>
        <v>1</v>
      </c>
      <c r="D464" s="962"/>
      <c r="E464" s="52">
        <f t="shared" si="70"/>
        <v>1</v>
      </c>
      <c r="F464" s="962"/>
      <c r="G464" s="52">
        <f t="shared" si="71"/>
        <v>1</v>
      </c>
      <c r="H464" s="962"/>
      <c r="I464" s="52">
        <f t="shared" si="72"/>
        <v>1</v>
      </c>
      <c r="J464" s="962"/>
      <c r="K464" s="52">
        <f t="shared" si="73"/>
        <v>1</v>
      </c>
      <c r="L464" s="962"/>
      <c r="M464" s="52">
        <f t="shared" si="74"/>
        <v>1</v>
      </c>
      <c r="N464" s="962"/>
      <c r="O464" s="52">
        <f t="shared" si="75"/>
        <v>1</v>
      </c>
      <c r="P464" s="962"/>
      <c r="Q464" s="52">
        <f t="shared" si="76"/>
        <v>1</v>
      </c>
      <c r="R464" s="492">
        <f t="shared" si="77"/>
        <v>0</v>
      </c>
      <c r="S464" s="800">
        <f t="shared" si="78"/>
        <v>0</v>
      </c>
    </row>
    <row r="465" spans="1:19">
      <c r="A465" s="964"/>
      <c r="B465" s="136"/>
      <c r="C465" s="52">
        <f t="shared" si="69"/>
        <v>1</v>
      </c>
      <c r="D465" s="962"/>
      <c r="E465" s="52">
        <f t="shared" si="70"/>
        <v>1</v>
      </c>
      <c r="F465" s="962"/>
      <c r="G465" s="52">
        <f t="shared" si="71"/>
        <v>1</v>
      </c>
      <c r="H465" s="962"/>
      <c r="I465" s="52">
        <f t="shared" si="72"/>
        <v>1</v>
      </c>
      <c r="J465" s="962"/>
      <c r="K465" s="52">
        <f t="shared" si="73"/>
        <v>1</v>
      </c>
      <c r="L465" s="962"/>
      <c r="M465" s="52">
        <f t="shared" si="74"/>
        <v>1</v>
      </c>
      <c r="N465" s="962"/>
      <c r="O465" s="52">
        <f t="shared" si="75"/>
        <v>1</v>
      </c>
      <c r="P465" s="962"/>
      <c r="Q465" s="52">
        <f t="shared" si="76"/>
        <v>1</v>
      </c>
      <c r="R465" s="492">
        <f t="shared" si="77"/>
        <v>0</v>
      </c>
      <c r="S465" s="800">
        <f t="shared" si="78"/>
        <v>0</v>
      </c>
    </row>
    <row r="466" spans="1:19">
      <c r="A466" s="964"/>
      <c r="B466" s="136"/>
      <c r="C466" s="52">
        <f t="shared" si="69"/>
        <v>1</v>
      </c>
      <c r="D466" s="962"/>
      <c r="E466" s="52">
        <f t="shared" si="70"/>
        <v>1</v>
      </c>
      <c r="F466" s="962"/>
      <c r="G466" s="52">
        <f t="shared" si="71"/>
        <v>1</v>
      </c>
      <c r="H466" s="962"/>
      <c r="I466" s="52">
        <f t="shared" si="72"/>
        <v>1</v>
      </c>
      <c r="J466" s="962"/>
      <c r="K466" s="52">
        <f t="shared" si="73"/>
        <v>1</v>
      </c>
      <c r="L466" s="962"/>
      <c r="M466" s="52">
        <f t="shared" si="74"/>
        <v>1</v>
      </c>
      <c r="N466" s="962"/>
      <c r="O466" s="52">
        <f t="shared" si="75"/>
        <v>1</v>
      </c>
      <c r="P466" s="962"/>
      <c r="Q466" s="52">
        <f t="shared" si="76"/>
        <v>1</v>
      </c>
      <c r="R466" s="492">
        <f t="shared" si="77"/>
        <v>0</v>
      </c>
      <c r="S466" s="800">
        <f t="shared" si="78"/>
        <v>0</v>
      </c>
    </row>
    <row r="467" spans="1:19">
      <c r="A467" s="964"/>
      <c r="B467" s="136"/>
      <c r="C467" s="52">
        <f t="shared" si="69"/>
        <v>1</v>
      </c>
      <c r="D467" s="962"/>
      <c r="E467" s="52">
        <f t="shared" si="70"/>
        <v>1</v>
      </c>
      <c r="F467" s="962"/>
      <c r="G467" s="52">
        <f t="shared" si="71"/>
        <v>1</v>
      </c>
      <c r="H467" s="962"/>
      <c r="I467" s="52">
        <f t="shared" si="72"/>
        <v>1</v>
      </c>
      <c r="J467" s="962"/>
      <c r="K467" s="52">
        <f t="shared" si="73"/>
        <v>1</v>
      </c>
      <c r="L467" s="962"/>
      <c r="M467" s="52">
        <f t="shared" si="74"/>
        <v>1</v>
      </c>
      <c r="N467" s="962"/>
      <c r="O467" s="52">
        <f t="shared" si="75"/>
        <v>1</v>
      </c>
      <c r="P467" s="962"/>
      <c r="Q467" s="52">
        <f t="shared" si="76"/>
        <v>1</v>
      </c>
      <c r="R467" s="492">
        <f t="shared" si="77"/>
        <v>0</v>
      </c>
      <c r="S467" s="800">
        <f t="shared" si="78"/>
        <v>0</v>
      </c>
    </row>
    <row r="468" spans="1:19">
      <c r="A468" s="964"/>
      <c r="B468" s="136"/>
      <c r="C468" s="52">
        <f t="shared" si="69"/>
        <v>1</v>
      </c>
      <c r="D468" s="962"/>
      <c r="E468" s="52">
        <f t="shared" si="70"/>
        <v>1</v>
      </c>
      <c r="F468" s="962"/>
      <c r="G468" s="52">
        <f t="shared" si="71"/>
        <v>1</v>
      </c>
      <c r="H468" s="962"/>
      <c r="I468" s="52">
        <f t="shared" si="72"/>
        <v>1</v>
      </c>
      <c r="J468" s="962"/>
      <c r="K468" s="52">
        <f t="shared" si="73"/>
        <v>1</v>
      </c>
      <c r="L468" s="962"/>
      <c r="M468" s="52">
        <f t="shared" si="74"/>
        <v>1</v>
      </c>
      <c r="N468" s="962"/>
      <c r="O468" s="52">
        <f t="shared" si="75"/>
        <v>1</v>
      </c>
      <c r="P468" s="962"/>
      <c r="Q468" s="52">
        <f t="shared" si="76"/>
        <v>1</v>
      </c>
      <c r="R468" s="492">
        <f t="shared" si="77"/>
        <v>0</v>
      </c>
      <c r="S468" s="800">
        <f t="shared" ref="S468:S497" si="79">ROUND(R468*B468/10000,0)</f>
        <v>0</v>
      </c>
    </row>
    <row r="469" spans="1:19">
      <c r="A469" s="964"/>
      <c r="B469" s="136"/>
      <c r="C469" s="52">
        <f t="shared" si="69"/>
        <v>1</v>
      </c>
      <c r="D469" s="962"/>
      <c r="E469" s="52">
        <f t="shared" si="70"/>
        <v>1</v>
      </c>
      <c r="F469" s="962"/>
      <c r="G469" s="52">
        <f t="shared" si="71"/>
        <v>1</v>
      </c>
      <c r="H469" s="962"/>
      <c r="I469" s="52">
        <f t="shared" si="72"/>
        <v>1</v>
      </c>
      <c r="J469" s="962"/>
      <c r="K469" s="52">
        <f t="shared" si="73"/>
        <v>1</v>
      </c>
      <c r="L469" s="962"/>
      <c r="M469" s="52">
        <f t="shared" si="74"/>
        <v>1</v>
      </c>
      <c r="N469" s="962"/>
      <c r="O469" s="52">
        <f t="shared" si="75"/>
        <v>1</v>
      </c>
      <c r="P469" s="962"/>
      <c r="Q469" s="52">
        <f t="shared" si="76"/>
        <v>1</v>
      </c>
      <c r="R469" s="492">
        <f t="shared" si="77"/>
        <v>0</v>
      </c>
      <c r="S469" s="800">
        <f t="shared" si="79"/>
        <v>0</v>
      </c>
    </row>
    <row r="470" spans="1:19">
      <c r="A470" s="964"/>
      <c r="B470" s="136"/>
      <c r="C470" s="52">
        <f t="shared" si="69"/>
        <v>1</v>
      </c>
      <c r="D470" s="962"/>
      <c r="E470" s="52">
        <f t="shared" si="70"/>
        <v>1</v>
      </c>
      <c r="F470" s="962"/>
      <c r="G470" s="52">
        <f t="shared" si="71"/>
        <v>1</v>
      </c>
      <c r="H470" s="962"/>
      <c r="I470" s="52">
        <f t="shared" si="72"/>
        <v>1</v>
      </c>
      <c r="J470" s="962"/>
      <c r="K470" s="52">
        <f t="shared" si="73"/>
        <v>1</v>
      </c>
      <c r="L470" s="962"/>
      <c r="M470" s="52">
        <f t="shared" si="74"/>
        <v>1</v>
      </c>
      <c r="N470" s="962"/>
      <c r="O470" s="52">
        <f t="shared" si="75"/>
        <v>1</v>
      </c>
      <c r="P470" s="962"/>
      <c r="Q470" s="52">
        <f t="shared" si="76"/>
        <v>1</v>
      </c>
      <c r="R470" s="492">
        <f t="shared" si="77"/>
        <v>0</v>
      </c>
      <c r="S470" s="800">
        <f t="shared" si="79"/>
        <v>0</v>
      </c>
    </row>
    <row r="471" spans="1:19">
      <c r="A471" s="964"/>
      <c r="B471" s="136"/>
      <c r="C471" s="52">
        <f t="shared" si="69"/>
        <v>1</v>
      </c>
      <c r="D471" s="962"/>
      <c r="E471" s="52">
        <f t="shared" si="70"/>
        <v>1</v>
      </c>
      <c r="F471" s="962"/>
      <c r="G471" s="52">
        <f t="shared" si="71"/>
        <v>1</v>
      </c>
      <c r="H471" s="962"/>
      <c r="I471" s="52">
        <f t="shared" si="72"/>
        <v>1</v>
      </c>
      <c r="J471" s="962"/>
      <c r="K471" s="52">
        <f t="shared" si="73"/>
        <v>1</v>
      </c>
      <c r="L471" s="962"/>
      <c r="M471" s="52">
        <f t="shared" si="74"/>
        <v>1</v>
      </c>
      <c r="N471" s="962"/>
      <c r="O471" s="52">
        <f t="shared" si="75"/>
        <v>1</v>
      </c>
      <c r="P471" s="962"/>
      <c r="Q471" s="52">
        <f t="shared" si="76"/>
        <v>1</v>
      </c>
      <c r="R471" s="492">
        <f t="shared" si="77"/>
        <v>0</v>
      </c>
      <c r="S471" s="800">
        <f t="shared" si="79"/>
        <v>0</v>
      </c>
    </row>
    <row r="472" spans="1:19">
      <c r="A472" s="964"/>
      <c r="B472" s="136"/>
      <c r="C472" s="52">
        <f t="shared" si="69"/>
        <v>1</v>
      </c>
      <c r="D472" s="962"/>
      <c r="E472" s="52">
        <f t="shared" si="70"/>
        <v>1</v>
      </c>
      <c r="F472" s="962"/>
      <c r="G472" s="52">
        <f t="shared" si="71"/>
        <v>1</v>
      </c>
      <c r="H472" s="962"/>
      <c r="I472" s="52">
        <f t="shared" si="72"/>
        <v>1</v>
      </c>
      <c r="J472" s="962"/>
      <c r="K472" s="52">
        <f t="shared" si="73"/>
        <v>1</v>
      </c>
      <c r="L472" s="962"/>
      <c r="M472" s="52">
        <f t="shared" si="74"/>
        <v>1</v>
      </c>
      <c r="N472" s="962"/>
      <c r="O472" s="52">
        <f t="shared" si="75"/>
        <v>1</v>
      </c>
      <c r="P472" s="962"/>
      <c r="Q472" s="52">
        <f t="shared" si="76"/>
        <v>1</v>
      </c>
      <c r="R472" s="492">
        <f t="shared" si="77"/>
        <v>0</v>
      </c>
      <c r="S472" s="800">
        <f t="shared" si="79"/>
        <v>0</v>
      </c>
    </row>
    <row r="473" spans="1:19">
      <c r="A473" s="964"/>
      <c r="B473" s="136"/>
      <c r="C473" s="52">
        <f t="shared" si="69"/>
        <v>1</v>
      </c>
      <c r="D473" s="962"/>
      <c r="E473" s="52">
        <f t="shared" si="70"/>
        <v>1</v>
      </c>
      <c r="F473" s="962"/>
      <c r="G473" s="52">
        <f t="shared" si="71"/>
        <v>1</v>
      </c>
      <c r="H473" s="962"/>
      <c r="I473" s="52">
        <f t="shared" si="72"/>
        <v>1</v>
      </c>
      <c r="J473" s="962"/>
      <c r="K473" s="52">
        <f t="shared" si="73"/>
        <v>1</v>
      </c>
      <c r="L473" s="962"/>
      <c r="M473" s="52">
        <f t="shared" si="74"/>
        <v>1</v>
      </c>
      <c r="N473" s="962"/>
      <c r="O473" s="52">
        <f t="shared" si="75"/>
        <v>1</v>
      </c>
      <c r="P473" s="962"/>
      <c r="Q473" s="52">
        <f t="shared" si="76"/>
        <v>1</v>
      </c>
      <c r="R473" s="492">
        <f t="shared" si="77"/>
        <v>0</v>
      </c>
      <c r="S473" s="800">
        <f t="shared" si="79"/>
        <v>0</v>
      </c>
    </row>
    <row r="474" spans="1:19">
      <c r="A474" s="964"/>
      <c r="B474" s="136"/>
      <c r="C474" s="52">
        <f t="shared" ref="C474:C524" si="80">IF(B474="",1,(LOOKUP(B474,$3:$3,$4:$4)-LOOKUP($B$24,$3:$3,$4:$4)+100)/100)</f>
        <v>1</v>
      </c>
      <c r="D474" s="962"/>
      <c r="E474" s="52">
        <f t="shared" ref="E474:E524" si="81">(SUMIF($5:$5,D474,$6:$6)-SUMIF($5:$5,$D$24,$6:$6)+100)/100</f>
        <v>1</v>
      </c>
      <c r="F474" s="962"/>
      <c r="G474" s="52">
        <f t="shared" ref="G474:G524" si="82">(SUMIF($7:$7,F474,$8:$8)-SUMIF($7:$7,$F$24,$8:$8)+100)/100</f>
        <v>1</v>
      </c>
      <c r="H474" s="962"/>
      <c r="I474" s="52">
        <f t="shared" ref="I474:I524" si="83">(SUMIF($9:$9,H474,$10:$10)-SUMIF($9:$9,$H$24,$10:$10)+100)/100</f>
        <v>1</v>
      </c>
      <c r="J474" s="962"/>
      <c r="K474" s="52">
        <f t="shared" ref="K474:K524" si="84">(SUMIF($11:$11,J474,$12:$12)-SUMIF($11:$11,$J$24,$12:$12)+100)/100</f>
        <v>1</v>
      </c>
      <c r="L474" s="962"/>
      <c r="M474" s="52">
        <f t="shared" ref="M474:M524" si="85">(SUMIF($13:$13,L474,$14:$14)-SUMIF($13:$13,$L$24,$14:$14)+100)/100</f>
        <v>1</v>
      </c>
      <c r="N474" s="962"/>
      <c r="O474" s="52">
        <f t="shared" ref="O474:O524" si="86">(SUMIF($15:$15,N474,$16:$16)-SUMIF($15:$15,$N$24,$16:$16)+100)/100</f>
        <v>1</v>
      </c>
      <c r="P474" s="962"/>
      <c r="Q474" s="52">
        <f t="shared" ref="Q474:Q524" si="87">(SUMIF($17:$17,P474,$18:$18)-SUMIF($17:$17,$P$24,$18:$18)+100)/100</f>
        <v>1</v>
      </c>
      <c r="R474" s="492">
        <f t="shared" ref="R474:R524" si="88">IF(B474="",0,ROUND($R$24*C474*E474*G474*I474*K474*M474*O474*Q474,0))</f>
        <v>0</v>
      </c>
      <c r="S474" s="800">
        <f t="shared" si="79"/>
        <v>0</v>
      </c>
    </row>
    <row r="475" spans="1:19">
      <c r="A475" s="964"/>
      <c r="B475" s="136"/>
      <c r="C475" s="52">
        <f t="shared" si="80"/>
        <v>1</v>
      </c>
      <c r="D475" s="962"/>
      <c r="E475" s="52">
        <f t="shared" si="81"/>
        <v>1</v>
      </c>
      <c r="F475" s="962"/>
      <c r="G475" s="52">
        <f t="shared" si="82"/>
        <v>1</v>
      </c>
      <c r="H475" s="962"/>
      <c r="I475" s="52">
        <f t="shared" si="83"/>
        <v>1</v>
      </c>
      <c r="J475" s="962"/>
      <c r="K475" s="52">
        <f t="shared" si="84"/>
        <v>1</v>
      </c>
      <c r="L475" s="962"/>
      <c r="M475" s="52">
        <f t="shared" si="85"/>
        <v>1</v>
      </c>
      <c r="N475" s="962"/>
      <c r="O475" s="52">
        <f t="shared" si="86"/>
        <v>1</v>
      </c>
      <c r="P475" s="962"/>
      <c r="Q475" s="52">
        <f t="shared" si="87"/>
        <v>1</v>
      </c>
      <c r="R475" s="492">
        <f t="shared" si="88"/>
        <v>0</v>
      </c>
      <c r="S475" s="800">
        <f t="shared" si="79"/>
        <v>0</v>
      </c>
    </row>
    <row r="476" spans="1:19">
      <c r="A476" s="964"/>
      <c r="B476" s="136"/>
      <c r="C476" s="52">
        <f t="shared" si="80"/>
        <v>1</v>
      </c>
      <c r="D476" s="962"/>
      <c r="E476" s="52">
        <f t="shared" si="81"/>
        <v>1</v>
      </c>
      <c r="F476" s="962"/>
      <c r="G476" s="52">
        <f t="shared" si="82"/>
        <v>1</v>
      </c>
      <c r="H476" s="962"/>
      <c r="I476" s="52">
        <f t="shared" si="83"/>
        <v>1</v>
      </c>
      <c r="J476" s="962"/>
      <c r="K476" s="52">
        <f t="shared" si="84"/>
        <v>1</v>
      </c>
      <c r="L476" s="962"/>
      <c r="M476" s="52">
        <f t="shared" si="85"/>
        <v>1</v>
      </c>
      <c r="N476" s="962"/>
      <c r="O476" s="52">
        <f t="shared" si="86"/>
        <v>1</v>
      </c>
      <c r="P476" s="962"/>
      <c r="Q476" s="52">
        <f t="shared" si="87"/>
        <v>1</v>
      </c>
      <c r="R476" s="492">
        <f t="shared" si="88"/>
        <v>0</v>
      </c>
      <c r="S476" s="800">
        <f t="shared" si="79"/>
        <v>0</v>
      </c>
    </row>
    <row r="477" spans="1:19">
      <c r="A477" s="964"/>
      <c r="B477" s="136"/>
      <c r="C477" s="52">
        <f t="shared" si="80"/>
        <v>1</v>
      </c>
      <c r="D477" s="962"/>
      <c r="E477" s="52">
        <f t="shared" si="81"/>
        <v>1</v>
      </c>
      <c r="F477" s="962"/>
      <c r="G477" s="52">
        <f t="shared" si="82"/>
        <v>1</v>
      </c>
      <c r="H477" s="962"/>
      <c r="I477" s="52">
        <f t="shared" si="83"/>
        <v>1</v>
      </c>
      <c r="J477" s="962"/>
      <c r="K477" s="52">
        <f t="shared" si="84"/>
        <v>1</v>
      </c>
      <c r="L477" s="962"/>
      <c r="M477" s="52">
        <f t="shared" si="85"/>
        <v>1</v>
      </c>
      <c r="N477" s="962"/>
      <c r="O477" s="52">
        <f t="shared" si="86"/>
        <v>1</v>
      </c>
      <c r="P477" s="962"/>
      <c r="Q477" s="52">
        <f t="shared" si="87"/>
        <v>1</v>
      </c>
      <c r="R477" s="492">
        <f t="shared" si="88"/>
        <v>0</v>
      </c>
      <c r="S477" s="800">
        <f t="shared" si="79"/>
        <v>0</v>
      </c>
    </row>
    <row r="478" spans="1:19">
      <c r="A478" s="964"/>
      <c r="B478" s="136"/>
      <c r="C478" s="52">
        <f t="shared" si="80"/>
        <v>1</v>
      </c>
      <c r="D478" s="962"/>
      <c r="E478" s="52">
        <f t="shared" si="81"/>
        <v>1</v>
      </c>
      <c r="F478" s="962"/>
      <c r="G478" s="52">
        <f t="shared" si="82"/>
        <v>1</v>
      </c>
      <c r="H478" s="962"/>
      <c r="I478" s="52">
        <f t="shared" si="83"/>
        <v>1</v>
      </c>
      <c r="J478" s="962"/>
      <c r="K478" s="52">
        <f t="shared" si="84"/>
        <v>1</v>
      </c>
      <c r="L478" s="962"/>
      <c r="M478" s="52">
        <f t="shared" si="85"/>
        <v>1</v>
      </c>
      <c r="N478" s="962"/>
      <c r="O478" s="52">
        <f t="shared" si="86"/>
        <v>1</v>
      </c>
      <c r="P478" s="962"/>
      <c r="Q478" s="52">
        <f t="shared" si="87"/>
        <v>1</v>
      </c>
      <c r="R478" s="492">
        <f t="shared" si="88"/>
        <v>0</v>
      </c>
      <c r="S478" s="800">
        <f t="shared" si="79"/>
        <v>0</v>
      </c>
    </row>
    <row r="479" spans="1:19">
      <c r="A479" s="964"/>
      <c r="B479" s="136"/>
      <c r="C479" s="52">
        <f t="shared" si="80"/>
        <v>1</v>
      </c>
      <c r="D479" s="962"/>
      <c r="E479" s="52">
        <f t="shared" si="81"/>
        <v>1</v>
      </c>
      <c r="F479" s="962"/>
      <c r="G479" s="52">
        <f t="shared" si="82"/>
        <v>1</v>
      </c>
      <c r="H479" s="962"/>
      <c r="I479" s="52">
        <f t="shared" si="83"/>
        <v>1</v>
      </c>
      <c r="J479" s="962"/>
      <c r="K479" s="52">
        <f t="shared" si="84"/>
        <v>1</v>
      </c>
      <c r="L479" s="962"/>
      <c r="M479" s="52">
        <f t="shared" si="85"/>
        <v>1</v>
      </c>
      <c r="N479" s="962"/>
      <c r="O479" s="52">
        <f t="shared" si="86"/>
        <v>1</v>
      </c>
      <c r="P479" s="962"/>
      <c r="Q479" s="52">
        <f t="shared" si="87"/>
        <v>1</v>
      </c>
      <c r="R479" s="492">
        <f t="shared" si="88"/>
        <v>0</v>
      </c>
      <c r="S479" s="800">
        <f t="shared" si="79"/>
        <v>0</v>
      </c>
    </row>
    <row r="480" spans="1:19">
      <c r="A480" s="964"/>
      <c r="B480" s="136"/>
      <c r="C480" s="52">
        <f t="shared" si="80"/>
        <v>1</v>
      </c>
      <c r="D480" s="962"/>
      <c r="E480" s="52">
        <f t="shared" si="81"/>
        <v>1</v>
      </c>
      <c r="F480" s="962"/>
      <c r="G480" s="52">
        <f t="shared" si="82"/>
        <v>1</v>
      </c>
      <c r="H480" s="962"/>
      <c r="I480" s="52">
        <f t="shared" si="83"/>
        <v>1</v>
      </c>
      <c r="J480" s="962"/>
      <c r="K480" s="52">
        <f t="shared" si="84"/>
        <v>1</v>
      </c>
      <c r="L480" s="962"/>
      <c r="M480" s="52">
        <f t="shared" si="85"/>
        <v>1</v>
      </c>
      <c r="N480" s="962"/>
      <c r="O480" s="52">
        <f t="shared" si="86"/>
        <v>1</v>
      </c>
      <c r="P480" s="962"/>
      <c r="Q480" s="52">
        <f t="shared" si="87"/>
        <v>1</v>
      </c>
      <c r="R480" s="492">
        <f t="shared" si="88"/>
        <v>0</v>
      </c>
      <c r="S480" s="800">
        <f t="shared" si="79"/>
        <v>0</v>
      </c>
    </row>
    <row r="481" spans="1:19">
      <c r="A481" s="964"/>
      <c r="B481" s="136"/>
      <c r="C481" s="52">
        <f t="shared" si="80"/>
        <v>1</v>
      </c>
      <c r="D481" s="962"/>
      <c r="E481" s="52">
        <f t="shared" si="81"/>
        <v>1</v>
      </c>
      <c r="F481" s="962"/>
      <c r="G481" s="52">
        <f t="shared" si="82"/>
        <v>1</v>
      </c>
      <c r="H481" s="962"/>
      <c r="I481" s="52">
        <f t="shared" si="83"/>
        <v>1</v>
      </c>
      <c r="J481" s="962"/>
      <c r="K481" s="52">
        <f t="shared" si="84"/>
        <v>1</v>
      </c>
      <c r="L481" s="962"/>
      <c r="M481" s="52">
        <f t="shared" si="85"/>
        <v>1</v>
      </c>
      <c r="N481" s="962"/>
      <c r="O481" s="52">
        <f t="shared" si="86"/>
        <v>1</v>
      </c>
      <c r="P481" s="962"/>
      <c r="Q481" s="52">
        <f t="shared" si="87"/>
        <v>1</v>
      </c>
      <c r="R481" s="492">
        <f t="shared" si="88"/>
        <v>0</v>
      </c>
      <c r="S481" s="800">
        <f t="shared" si="79"/>
        <v>0</v>
      </c>
    </row>
    <row r="482" spans="1:19">
      <c r="A482" s="964"/>
      <c r="B482" s="136"/>
      <c r="C482" s="52">
        <f t="shared" si="80"/>
        <v>1</v>
      </c>
      <c r="D482" s="962"/>
      <c r="E482" s="52">
        <f t="shared" si="81"/>
        <v>1</v>
      </c>
      <c r="F482" s="962"/>
      <c r="G482" s="52">
        <f t="shared" si="82"/>
        <v>1</v>
      </c>
      <c r="H482" s="962"/>
      <c r="I482" s="52">
        <f t="shared" si="83"/>
        <v>1</v>
      </c>
      <c r="J482" s="962"/>
      <c r="K482" s="52">
        <f t="shared" si="84"/>
        <v>1</v>
      </c>
      <c r="L482" s="962"/>
      <c r="M482" s="52">
        <f t="shared" si="85"/>
        <v>1</v>
      </c>
      <c r="N482" s="962"/>
      <c r="O482" s="52">
        <f t="shared" si="86"/>
        <v>1</v>
      </c>
      <c r="P482" s="962"/>
      <c r="Q482" s="52">
        <f t="shared" si="87"/>
        <v>1</v>
      </c>
      <c r="R482" s="492">
        <f t="shared" si="88"/>
        <v>0</v>
      </c>
      <c r="S482" s="800">
        <f t="shared" si="79"/>
        <v>0</v>
      </c>
    </row>
    <row r="483" spans="1:19">
      <c r="A483" s="964"/>
      <c r="B483" s="136"/>
      <c r="C483" s="52">
        <f t="shared" si="80"/>
        <v>1</v>
      </c>
      <c r="D483" s="962"/>
      <c r="E483" s="52">
        <f t="shared" si="81"/>
        <v>1</v>
      </c>
      <c r="F483" s="962"/>
      <c r="G483" s="52">
        <f t="shared" si="82"/>
        <v>1</v>
      </c>
      <c r="H483" s="962"/>
      <c r="I483" s="52">
        <f t="shared" si="83"/>
        <v>1</v>
      </c>
      <c r="J483" s="962"/>
      <c r="K483" s="52">
        <f t="shared" si="84"/>
        <v>1</v>
      </c>
      <c r="L483" s="962"/>
      <c r="M483" s="52">
        <f t="shared" si="85"/>
        <v>1</v>
      </c>
      <c r="N483" s="962"/>
      <c r="O483" s="52">
        <f t="shared" si="86"/>
        <v>1</v>
      </c>
      <c r="P483" s="962"/>
      <c r="Q483" s="52">
        <f t="shared" si="87"/>
        <v>1</v>
      </c>
      <c r="R483" s="492">
        <f t="shared" si="88"/>
        <v>0</v>
      </c>
      <c r="S483" s="800">
        <f t="shared" si="79"/>
        <v>0</v>
      </c>
    </row>
    <row r="484" spans="1:19">
      <c r="A484" s="964"/>
      <c r="B484" s="136"/>
      <c r="C484" s="52">
        <f t="shared" si="80"/>
        <v>1</v>
      </c>
      <c r="D484" s="962"/>
      <c r="E484" s="52">
        <f t="shared" si="81"/>
        <v>1</v>
      </c>
      <c r="F484" s="962"/>
      <c r="G484" s="52">
        <f t="shared" si="82"/>
        <v>1</v>
      </c>
      <c r="H484" s="962"/>
      <c r="I484" s="52">
        <f t="shared" si="83"/>
        <v>1</v>
      </c>
      <c r="J484" s="962"/>
      <c r="K484" s="52">
        <f t="shared" si="84"/>
        <v>1</v>
      </c>
      <c r="L484" s="962"/>
      <c r="M484" s="52">
        <f t="shared" si="85"/>
        <v>1</v>
      </c>
      <c r="N484" s="962"/>
      <c r="O484" s="52">
        <f t="shared" si="86"/>
        <v>1</v>
      </c>
      <c r="P484" s="962"/>
      <c r="Q484" s="52">
        <f t="shared" si="87"/>
        <v>1</v>
      </c>
      <c r="R484" s="492">
        <f t="shared" si="88"/>
        <v>0</v>
      </c>
      <c r="S484" s="800">
        <f t="shared" si="79"/>
        <v>0</v>
      </c>
    </row>
    <row r="485" spans="1:19">
      <c r="A485" s="964"/>
      <c r="B485" s="136"/>
      <c r="C485" s="52">
        <f t="shared" si="80"/>
        <v>1</v>
      </c>
      <c r="D485" s="962"/>
      <c r="E485" s="52">
        <f t="shared" si="81"/>
        <v>1</v>
      </c>
      <c r="F485" s="962"/>
      <c r="G485" s="52">
        <f t="shared" si="82"/>
        <v>1</v>
      </c>
      <c r="H485" s="962"/>
      <c r="I485" s="52">
        <f t="shared" si="83"/>
        <v>1</v>
      </c>
      <c r="J485" s="962"/>
      <c r="K485" s="52">
        <f t="shared" si="84"/>
        <v>1</v>
      </c>
      <c r="L485" s="962"/>
      <c r="M485" s="52">
        <f t="shared" si="85"/>
        <v>1</v>
      </c>
      <c r="N485" s="962"/>
      <c r="O485" s="52">
        <f t="shared" si="86"/>
        <v>1</v>
      </c>
      <c r="P485" s="962"/>
      <c r="Q485" s="52">
        <f t="shared" si="87"/>
        <v>1</v>
      </c>
      <c r="R485" s="492">
        <f t="shared" si="88"/>
        <v>0</v>
      </c>
      <c r="S485" s="800">
        <f t="shared" si="79"/>
        <v>0</v>
      </c>
    </row>
    <row r="486" spans="1:19">
      <c r="A486" s="964"/>
      <c r="B486" s="136"/>
      <c r="C486" s="52">
        <f t="shared" si="80"/>
        <v>1</v>
      </c>
      <c r="D486" s="962"/>
      <c r="E486" s="52">
        <f t="shared" si="81"/>
        <v>1</v>
      </c>
      <c r="F486" s="962"/>
      <c r="G486" s="52">
        <f t="shared" si="82"/>
        <v>1</v>
      </c>
      <c r="H486" s="962"/>
      <c r="I486" s="52">
        <f t="shared" si="83"/>
        <v>1</v>
      </c>
      <c r="J486" s="962"/>
      <c r="K486" s="52">
        <f t="shared" si="84"/>
        <v>1</v>
      </c>
      <c r="L486" s="962"/>
      <c r="M486" s="52">
        <f t="shared" si="85"/>
        <v>1</v>
      </c>
      <c r="N486" s="962"/>
      <c r="O486" s="52">
        <f t="shared" si="86"/>
        <v>1</v>
      </c>
      <c r="P486" s="962"/>
      <c r="Q486" s="52">
        <f t="shared" si="87"/>
        <v>1</v>
      </c>
      <c r="R486" s="492">
        <f t="shared" si="88"/>
        <v>0</v>
      </c>
      <c r="S486" s="800">
        <f t="shared" si="79"/>
        <v>0</v>
      </c>
    </row>
    <row r="487" spans="1:19">
      <c r="A487" s="964"/>
      <c r="B487" s="136"/>
      <c r="C487" s="52">
        <f t="shared" si="80"/>
        <v>1</v>
      </c>
      <c r="D487" s="962"/>
      <c r="E487" s="52">
        <f t="shared" si="81"/>
        <v>1</v>
      </c>
      <c r="F487" s="962"/>
      <c r="G487" s="52">
        <f t="shared" si="82"/>
        <v>1</v>
      </c>
      <c r="H487" s="962"/>
      <c r="I487" s="52">
        <f t="shared" si="83"/>
        <v>1</v>
      </c>
      <c r="J487" s="962"/>
      <c r="K487" s="52">
        <f t="shared" si="84"/>
        <v>1</v>
      </c>
      <c r="L487" s="962"/>
      <c r="M487" s="52">
        <f t="shared" si="85"/>
        <v>1</v>
      </c>
      <c r="N487" s="962"/>
      <c r="O487" s="52">
        <f t="shared" si="86"/>
        <v>1</v>
      </c>
      <c r="P487" s="962"/>
      <c r="Q487" s="52">
        <f t="shared" si="87"/>
        <v>1</v>
      </c>
      <c r="R487" s="492">
        <f t="shared" si="88"/>
        <v>0</v>
      </c>
      <c r="S487" s="800">
        <f t="shared" si="79"/>
        <v>0</v>
      </c>
    </row>
    <row r="488" spans="1:19">
      <c r="A488" s="964"/>
      <c r="B488" s="136"/>
      <c r="C488" s="52">
        <f t="shared" si="80"/>
        <v>1</v>
      </c>
      <c r="D488" s="962"/>
      <c r="E488" s="52">
        <f t="shared" si="81"/>
        <v>1</v>
      </c>
      <c r="F488" s="962"/>
      <c r="G488" s="52">
        <f t="shared" si="82"/>
        <v>1</v>
      </c>
      <c r="H488" s="962"/>
      <c r="I488" s="52">
        <f t="shared" si="83"/>
        <v>1</v>
      </c>
      <c r="J488" s="962"/>
      <c r="K488" s="52">
        <f t="shared" si="84"/>
        <v>1</v>
      </c>
      <c r="L488" s="962"/>
      <c r="M488" s="52">
        <f t="shared" si="85"/>
        <v>1</v>
      </c>
      <c r="N488" s="962"/>
      <c r="O488" s="52">
        <f t="shared" si="86"/>
        <v>1</v>
      </c>
      <c r="P488" s="962"/>
      <c r="Q488" s="52">
        <f t="shared" si="87"/>
        <v>1</v>
      </c>
      <c r="R488" s="492">
        <f t="shared" si="88"/>
        <v>0</v>
      </c>
      <c r="S488" s="800">
        <f t="shared" si="79"/>
        <v>0</v>
      </c>
    </row>
    <row r="489" spans="1:19">
      <c r="A489" s="964"/>
      <c r="B489" s="136"/>
      <c r="C489" s="52">
        <f t="shared" si="80"/>
        <v>1</v>
      </c>
      <c r="D489" s="962"/>
      <c r="E489" s="52">
        <f t="shared" si="81"/>
        <v>1</v>
      </c>
      <c r="F489" s="962"/>
      <c r="G489" s="52">
        <f t="shared" si="82"/>
        <v>1</v>
      </c>
      <c r="H489" s="962"/>
      <c r="I489" s="52">
        <f t="shared" si="83"/>
        <v>1</v>
      </c>
      <c r="J489" s="962"/>
      <c r="K489" s="52">
        <f t="shared" si="84"/>
        <v>1</v>
      </c>
      <c r="L489" s="962"/>
      <c r="M489" s="52">
        <f t="shared" si="85"/>
        <v>1</v>
      </c>
      <c r="N489" s="962"/>
      <c r="O489" s="52">
        <f t="shared" si="86"/>
        <v>1</v>
      </c>
      <c r="P489" s="962"/>
      <c r="Q489" s="52">
        <f t="shared" si="87"/>
        <v>1</v>
      </c>
      <c r="R489" s="492">
        <f t="shared" si="88"/>
        <v>0</v>
      </c>
      <c r="S489" s="800">
        <f t="shared" si="79"/>
        <v>0</v>
      </c>
    </row>
    <row r="490" spans="1:19">
      <c r="A490" s="964"/>
      <c r="B490" s="136"/>
      <c r="C490" s="52">
        <f t="shared" si="80"/>
        <v>1</v>
      </c>
      <c r="D490" s="962"/>
      <c r="E490" s="52">
        <f t="shared" si="81"/>
        <v>1</v>
      </c>
      <c r="F490" s="962"/>
      <c r="G490" s="52">
        <f t="shared" si="82"/>
        <v>1</v>
      </c>
      <c r="H490" s="962"/>
      <c r="I490" s="52">
        <f t="shared" si="83"/>
        <v>1</v>
      </c>
      <c r="J490" s="962"/>
      <c r="K490" s="52">
        <f t="shared" si="84"/>
        <v>1</v>
      </c>
      <c r="L490" s="962"/>
      <c r="M490" s="52">
        <f t="shared" si="85"/>
        <v>1</v>
      </c>
      <c r="N490" s="962"/>
      <c r="O490" s="52">
        <f t="shared" si="86"/>
        <v>1</v>
      </c>
      <c r="P490" s="962"/>
      <c r="Q490" s="52">
        <f t="shared" si="87"/>
        <v>1</v>
      </c>
      <c r="R490" s="492">
        <f t="shared" si="88"/>
        <v>0</v>
      </c>
      <c r="S490" s="800">
        <f t="shared" si="79"/>
        <v>0</v>
      </c>
    </row>
    <row r="491" spans="1:19">
      <c r="A491" s="964"/>
      <c r="B491" s="136"/>
      <c r="C491" s="52">
        <f t="shared" si="80"/>
        <v>1</v>
      </c>
      <c r="D491" s="962"/>
      <c r="E491" s="52">
        <f t="shared" si="81"/>
        <v>1</v>
      </c>
      <c r="F491" s="962"/>
      <c r="G491" s="52">
        <f t="shared" si="82"/>
        <v>1</v>
      </c>
      <c r="H491" s="962"/>
      <c r="I491" s="52">
        <f t="shared" si="83"/>
        <v>1</v>
      </c>
      <c r="J491" s="962"/>
      <c r="K491" s="52">
        <f t="shared" si="84"/>
        <v>1</v>
      </c>
      <c r="L491" s="962"/>
      <c r="M491" s="52">
        <f t="shared" si="85"/>
        <v>1</v>
      </c>
      <c r="N491" s="962"/>
      <c r="O491" s="52">
        <f t="shared" si="86"/>
        <v>1</v>
      </c>
      <c r="P491" s="962"/>
      <c r="Q491" s="52">
        <f t="shared" si="87"/>
        <v>1</v>
      </c>
      <c r="R491" s="492">
        <f t="shared" si="88"/>
        <v>0</v>
      </c>
      <c r="S491" s="800">
        <f t="shared" si="79"/>
        <v>0</v>
      </c>
    </row>
    <row r="492" spans="1:19">
      <c r="A492" s="964"/>
      <c r="B492" s="136"/>
      <c r="C492" s="52">
        <f t="shared" si="80"/>
        <v>1</v>
      </c>
      <c r="D492" s="962"/>
      <c r="E492" s="52">
        <f t="shared" si="81"/>
        <v>1</v>
      </c>
      <c r="F492" s="962"/>
      <c r="G492" s="52">
        <f t="shared" si="82"/>
        <v>1</v>
      </c>
      <c r="H492" s="962"/>
      <c r="I492" s="52">
        <f t="shared" si="83"/>
        <v>1</v>
      </c>
      <c r="J492" s="962"/>
      <c r="K492" s="52">
        <f t="shared" si="84"/>
        <v>1</v>
      </c>
      <c r="L492" s="962"/>
      <c r="M492" s="52">
        <f t="shared" si="85"/>
        <v>1</v>
      </c>
      <c r="N492" s="962"/>
      <c r="O492" s="52">
        <f t="shared" si="86"/>
        <v>1</v>
      </c>
      <c r="P492" s="962"/>
      <c r="Q492" s="52">
        <f t="shared" si="87"/>
        <v>1</v>
      </c>
      <c r="R492" s="492">
        <f t="shared" si="88"/>
        <v>0</v>
      </c>
      <c r="S492" s="800">
        <f t="shared" si="79"/>
        <v>0</v>
      </c>
    </row>
    <row r="493" spans="1:19">
      <c r="A493" s="964"/>
      <c r="B493" s="136"/>
      <c r="C493" s="52">
        <f t="shared" si="80"/>
        <v>1</v>
      </c>
      <c r="D493" s="962"/>
      <c r="E493" s="52">
        <f t="shared" si="81"/>
        <v>1</v>
      </c>
      <c r="F493" s="962"/>
      <c r="G493" s="52">
        <f t="shared" si="82"/>
        <v>1</v>
      </c>
      <c r="H493" s="962"/>
      <c r="I493" s="52">
        <f t="shared" si="83"/>
        <v>1</v>
      </c>
      <c r="J493" s="962"/>
      <c r="K493" s="52">
        <f t="shared" si="84"/>
        <v>1</v>
      </c>
      <c r="L493" s="962"/>
      <c r="M493" s="52">
        <f t="shared" si="85"/>
        <v>1</v>
      </c>
      <c r="N493" s="962"/>
      <c r="O493" s="52">
        <f t="shared" si="86"/>
        <v>1</v>
      </c>
      <c r="P493" s="962"/>
      <c r="Q493" s="52">
        <f t="shared" si="87"/>
        <v>1</v>
      </c>
      <c r="R493" s="492">
        <f t="shared" si="88"/>
        <v>0</v>
      </c>
      <c r="S493" s="800">
        <f t="shared" si="79"/>
        <v>0</v>
      </c>
    </row>
    <row r="494" spans="1:19">
      <c r="A494" s="964"/>
      <c r="B494" s="136"/>
      <c r="C494" s="52">
        <f t="shared" si="80"/>
        <v>1</v>
      </c>
      <c r="D494" s="962"/>
      <c r="E494" s="52">
        <f t="shared" si="81"/>
        <v>1</v>
      </c>
      <c r="F494" s="962"/>
      <c r="G494" s="52">
        <f t="shared" si="82"/>
        <v>1</v>
      </c>
      <c r="H494" s="962"/>
      <c r="I494" s="52">
        <f t="shared" si="83"/>
        <v>1</v>
      </c>
      <c r="J494" s="962"/>
      <c r="K494" s="52">
        <f t="shared" si="84"/>
        <v>1</v>
      </c>
      <c r="L494" s="962"/>
      <c r="M494" s="52">
        <f t="shared" si="85"/>
        <v>1</v>
      </c>
      <c r="N494" s="962"/>
      <c r="O494" s="52">
        <f t="shared" si="86"/>
        <v>1</v>
      </c>
      <c r="P494" s="962"/>
      <c r="Q494" s="52">
        <f t="shared" si="87"/>
        <v>1</v>
      </c>
      <c r="R494" s="492">
        <f t="shared" si="88"/>
        <v>0</v>
      </c>
      <c r="S494" s="800">
        <f t="shared" si="79"/>
        <v>0</v>
      </c>
    </row>
    <row r="495" spans="1:19">
      <c r="A495" s="964"/>
      <c r="B495" s="136"/>
      <c r="C495" s="52">
        <f t="shared" si="80"/>
        <v>1</v>
      </c>
      <c r="D495" s="962"/>
      <c r="E495" s="52">
        <f t="shared" si="81"/>
        <v>1</v>
      </c>
      <c r="F495" s="962"/>
      <c r="G495" s="52">
        <f t="shared" si="82"/>
        <v>1</v>
      </c>
      <c r="H495" s="962"/>
      <c r="I495" s="52">
        <f t="shared" si="83"/>
        <v>1</v>
      </c>
      <c r="J495" s="962"/>
      <c r="K495" s="52">
        <f t="shared" si="84"/>
        <v>1</v>
      </c>
      <c r="L495" s="962"/>
      <c r="M495" s="52">
        <f t="shared" si="85"/>
        <v>1</v>
      </c>
      <c r="N495" s="962"/>
      <c r="O495" s="52">
        <f t="shared" si="86"/>
        <v>1</v>
      </c>
      <c r="P495" s="962"/>
      <c r="Q495" s="52">
        <f t="shared" si="87"/>
        <v>1</v>
      </c>
      <c r="R495" s="492">
        <f t="shared" si="88"/>
        <v>0</v>
      </c>
      <c r="S495" s="800">
        <f t="shared" si="79"/>
        <v>0</v>
      </c>
    </row>
    <row r="496" spans="1:19">
      <c r="A496" s="964"/>
      <c r="B496" s="136"/>
      <c r="C496" s="52">
        <f t="shared" si="80"/>
        <v>1</v>
      </c>
      <c r="D496" s="962"/>
      <c r="E496" s="52">
        <f t="shared" si="81"/>
        <v>1</v>
      </c>
      <c r="F496" s="962"/>
      <c r="G496" s="52">
        <f t="shared" si="82"/>
        <v>1</v>
      </c>
      <c r="H496" s="962"/>
      <c r="I496" s="52">
        <f t="shared" si="83"/>
        <v>1</v>
      </c>
      <c r="J496" s="962"/>
      <c r="K496" s="52">
        <f t="shared" si="84"/>
        <v>1</v>
      </c>
      <c r="L496" s="962"/>
      <c r="M496" s="52">
        <f t="shared" si="85"/>
        <v>1</v>
      </c>
      <c r="N496" s="962"/>
      <c r="O496" s="52">
        <f t="shared" si="86"/>
        <v>1</v>
      </c>
      <c r="P496" s="962"/>
      <c r="Q496" s="52">
        <f t="shared" si="87"/>
        <v>1</v>
      </c>
      <c r="R496" s="492">
        <f t="shared" si="88"/>
        <v>0</v>
      </c>
      <c r="S496" s="800">
        <f t="shared" si="79"/>
        <v>0</v>
      </c>
    </row>
    <row r="497" spans="1:19">
      <c r="A497" s="964"/>
      <c r="B497" s="136"/>
      <c r="C497" s="52">
        <f t="shared" si="80"/>
        <v>1</v>
      </c>
      <c r="D497" s="962"/>
      <c r="E497" s="52">
        <f t="shared" si="81"/>
        <v>1</v>
      </c>
      <c r="F497" s="962"/>
      <c r="G497" s="52">
        <f t="shared" si="82"/>
        <v>1</v>
      </c>
      <c r="H497" s="962"/>
      <c r="I497" s="52">
        <f t="shared" si="83"/>
        <v>1</v>
      </c>
      <c r="J497" s="962"/>
      <c r="K497" s="52">
        <f t="shared" si="84"/>
        <v>1</v>
      </c>
      <c r="L497" s="962"/>
      <c r="M497" s="52">
        <f t="shared" si="85"/>
        <v>1</v>
      </c>
      <c r="N497" s="962"/>
      <c r="O497" s="52">
        <f t="shared" si="86"/>
        <v>1</v>
      </c>
      <c r="P497" s="962"/>
      <c r="Q497" s="52">
        <f t="shared" si="87"/>
        <v>1</v>
      </c>
      <c r="R497" s="492">
        <f t="shared" si="88"/>
        <v>0</v>
      </c>
      <c r="S497" s="800">
        <f t="shared" si="79"/>
        <v>0</v>
      </c>
    </row>
    <row r="498" spans="1:19">
      <c r="A498" s="964"/>
      <c r="B498" s="136"/>
      <c r="C498" s="52">
        <f t="shared" si="80"/>
        <v>1</v>
      </c>
      <c r="D498" s="962"/>
      <c r="E498" s="52">
        <f t="shared" si="81"/>
        <v>1</v>
      </c>
      <c r="F498" s="962"/>
      <c r="G498" s="52">
        <f t="shared" si="82"/>
        <v>1</v>
      </c>
      <c r="H498" s="962"/>
      <c r="I498" s="52">
        <f t="shared" si="83"/>
        <v>1</v>
      </c>
      <c r="J498" s="962"/>
      <c r="K498" s="52">
        <f t="shared" si="84"/>
        <v>1</v>
      </c>
      <c r="L498" s="962"/>
      <c r="M498" s="52">
        <f t="shared" si="85"/>
        <v>1</v>
      </c>
      <c r="N498" s="962"/>
      <c r="O498" s="52">
        <f t="shared" si="86"/>
        <v>1</v>
      </c>
      <c r="P498" s="962"/>
      <c r="Q498" s="52">
        <f t="shared" si="87"/>
        <v>1</v>
      </c>
      <c r="R498" s="492">
        <f t="shared" si="88"/>
        <v>0</v>
      </c>
      <c r="S498" s="800">
        <f t="shared" ref="S498:S524" si="89">ROUND(R498*B498/10000,0)</f>
        <v>0</v>
      </c>
    </row>
    <row r="499" spans="1:19">
      <c r="A499" s="964"/>
      <c r="B499" s="136"/>
      <c r="C499" s="52">
        <f t="shared" si="80"/>
        <v>1</v>
      </c>
      <c r="D499" s="962"/>
      <c r="E499" s="52">
        <f t="shared" si="81"/>
        <v>1</v>
      </c>
      <c r="F499" s="962"/>
      <c r="G499" s="52">
        <f t="shared" si="82"/>
        <v>1</v>
      </c>
      <c r="H499" s="962"/>
      <c r="I499" s="52">
        <f t="shared" si="83"/>
        <v>1</v>
      </c>
      <c r="J499" s="962"/>
      <c r="K499" s="52">
        <f t="shared" si="84"/>
        <v>1</v>
      </c>
      <c r="L499" s="962"/>
      <c r="M499" s="52">
        <f t="shared" si="85"/>
        <v>1</v>
      </c>
      <c r="N499" s="962"/>
      <c r="O499" s="52">
        <f t="shared" si="86"/>
        <v>1</v>
      </c>
      <c r="P499" s="962"/>
      <c r="Q499" s="52">
        <f t="shared" si="87"/>
        <v>1</v>
      </c>
      <c r="R499" s="492">
        <f t="shared" si="88"/>
        <v>0</v>
      </c>
      <c r="S499" s="800">
        <f t="shared" si="89"/>
        <v>0</v>
      </c>
    </row>
    <row r="500" spans="1:19">
      <c r="A500" s="964"/>
      <c r="B500" s="136"/>
      <c r="C500" s="52">
        <f t="shared" si="80"/>
        <v>1</v>
      </c>
      <c r="D500" s="962"/>
      <c r="E500" s="52">
        <f t="shared" si="81"/>
        <v>1</v>
      </c>
      <c r="F500" s="962"/>
      <c r="G500" s="52">
        <f t="shared" si="82"/>
        <v>1</v>
      </c>
      <c r="H500" s="962"/>
      <c r="I500" s="52">
        <f t="shared" si="83"/>
        <v>1</v>
      </c>
      <c r="J500" s="962"/>
      <c r="K500" s="52">
        <f t="shared" si="84"/>
        <v>1</v>
      </c>
      <c r="L500" s="962"/>
      <c r="M500" s="52">
        <f t="shared" si="85"/>
        <v>1</v>
      </c>
      <c r="N500" s="962"/>
      <c r="O500" s="52">
        <f t="shared" si="86"/>
        <v>1</v>
      </c>
      <c r="P500" s="962"/>
      <c r="Q500" s="52">
        <f t="shared" si="87"/>
        <v>1</v>
      </c>
      <c r="R500" s="492">
        <f t="shared" si="88"/>
        <v>0</v>
      </c>
      <c r="S500" s="800">
        <f t="shared" si="89"/>
        <v>0</v>
      </c>
    </row>
    <row r="501" spans="1:19">
      <c r="A501" s="964"/>
      <c r="B501" s="136"/>
      <c r="C501" s="52">
        <f t="shared" si="80"/>
        <v>1</v>
      </c>
      <c r="D501" s="962"/>
      <c r="E501" s="52">
        <f t="shared" si="81"/>
        <v>1</v>
      </c>
      <c r="F501" s="962"/>
      <c r="G501" s="52">
        <f t="shared" si="82"/>
        <v>1</v>
      </c>
      <c r="H501" s="962"/>
      <c r="I501" s="52">
        <f t="shared" si="83"/>
        <v>1</v>
      </c>
      <c r="J501" s="962"/>
      <c r="K501" s="52">
        <f t="shared" si="84"/>
        <v>1</v>
      </c>
      <c r="L501" s="962"/>
      <c r="M501" s="52">
        <f t="shared" si="85"/>
        <v>1</v>
      </c>
      <c r="N501" s="962"/>
      <c r="O501" s="52">
        <f t="shared" si="86"/>
        <v>1</v>
      </c>
      <c r="P501" s="962"/>
      <c r="Q501" s="52">
        <f t="shared" si="87"/>
        <v>1</v>
      </c>
      <c r="R501" s="492">
        <f t="shared" si="88"/>
        <v>0</v>
      </c>
      <c r="S501" s="800">
        <f t="shared" si="89"/>
        <v>0</v>
      </c>
    </row>
    <row r="502" spans="1:19">
      <c r="A502" s="964"/>
      <c r="B502" s="136"/>
      <c r="C502" s="52">
        <f t="shared" si="80"/>
        <v>1</v>
      </c>
      <c r="D502" s="962"/>
      <c r="E502" s="52">
        <f t="shared" si="81"/>
        <v>1</v>
      </c>
      <c r="F502" s="962"/>
      <c r="G502" s="52">
        <f t="shared" si="82"/>
        <v>1</v>
      </c>
      <c r="H502" s="962"/>
      <c r="I502" s="52">
        <f t="shared" si="83"/>
        <v>1</v>
      </c>
      <c r="J502" s="962"/>
      <c r="K502" s="52">
        <f t="shared" si="84"/>
        <v>1</v>
      </c>
      <c r="L502" s="962"/>
      <c r="M502" s="52">
        <f t="shared" si="85"/>
        <v>1</v>
      </c>
      <c r="N502" s="962"/>
      <c r="O502" s="52">
        <f t="shared" si="86"/>
        <v>1</v>
      </c>
      <c r="P502" s="962"/>
      <c r="Q502" s="52">
        <f t="shared" si="87"/>
        <v>1</v>
      </c>
      <c r="R502" s="492">
        <f t="shared" si="88"/>
        <v>0</v>
      </c>
      <c r="S502" s="800">
        <f t="shared" si="89"/>
        <v>0</v>
      </c>
    </row>
    <row r="503" spans="1:19">
      <c r="A503" s="964"/>
      <c r="B503" s="136"/>
      <c r="C503" s="52">
        <f t="shared" si="80"/>
        <v>1</v>
      </c>
      <c r="D503" s="962"/>
      <c r="E503" s="52">
        <f t="shared" si="81"/>
        <v>1</v>
      </c>
      <c r="F503" s="962"/>
      <c r="G503" s="52">
        <f t="shared" si="82"/>
        <v>1</v>
      </c>
      <c r="H503" s="962"/>
      <c r="I503" s="52">
        <f t="shared" si="83"/>
        <v>1</v>
      </c>
      <c r="J503" s="962"/>
      <c r="K503" s="52">
        <f t="shared" si="84"/>
        <v>1</v>
      </c>
      <c r="L503" s="962"/>
      <c r="M503" s="52">
        <f t="shared" si="85"/>
        <v>1</v>
      </c>
      <c r="N503" s="962"/>
      <c r="O503" s="52">
        <f t="shared" si="86"/>
        <v>1</v>
      </c>
      <c r="P503" s="962"/>
      <c r="Q503" s="52">
        <f t="shared" si="87"/>
        <v>1</v>
      </c>
      <c r="R503" s="492">
        <f t="shared" si="88"/>
        <v>0</v>
      </c>
      <c r="S503" s="800">
        <f t="shared" si="89"/>
        <v>0</v>
      </c>
    </row>
    <row r="504" spans="1:19">
      <c r="A504" s="964"/>
      <c r="B504" s="136"/>
      <c r="C504" s="52">
        <f t="shared" si="80"/>
        <v>1</v>
      </c>
      <c r="D504" s="962"/>
      <c r="E504" s="52">
        <f t="shared" si="81"/>
        <v>1</v>
      </c>
      <c r="F504" s="962"/>
      <c r="G504" s="52">
        <f t="shared" si="82"/>
        <v>1</v>
      </c>
      <c r="H504" s="962"/>
      <c r="I504" s="52">
        <f t="shared" si="83"/>
        <v>1</v>
      </c>
      <c r="J504" s="962"/>
      <c r="K504" s="52">
        <f t="shared" si="84"/>
        <v>1</v>
      </c>
      <c r="L504" s="962"/>
      <c r="M504" s="52">
        <f t="shared" si="85"/>
        <v>1</v>
      </c>
      <c r="N504" s="962"/>
      <c r="O504" s="52">
        <f t="shared" si="86"/>
        <v>1</v>
      </c>
      <c r="P504" s="962"/>
      <c r="Q504" s="52">
        <f t="shared" si="87"/>
        <v>1</v>
      </c>
      <c r="R504" s="492">
        <f t="shared" si="88"/>
        <v>0</v>
      </c>
      <c r="S504" s="800">
        <f t="shared" si="89"/>
        <v>0</v>
      </c>
    </row>
    <row r="505" spans="1:19">
      <c r="A505" s="964"/>
      <c r="B505" s="136"/>
      <c r="C505" s="52">
        <f t="shared" si="80"/>
        <v>1</v>
      </c>
      <c r="D505" s="962"/>
      <c r="E505" s="52">
        <f t="shared" si="81"/>
        <v>1</v>
      </c>
      <c r="F505" s="962"/>
      <c r="G505" s="52">
        <f t="shared" si="82"/>
        <v>1</v>
      </c>
      <c r="H505" s="962"/>
      <c r="I505" s="52">
        <f t="shared" si="83"/>
        <v>1</v>
      </c>
      <c r="J505" s="962"/>
      <c r="K505" s="52">
        <f t="shared" si="84"/>
        <v>1</v>
      </c>
      <c r="L505" s="962"/>
      <c r="M505" s="52">
        <f t="shared" si="85"/>
        <v>1</v>
      </c>
      <c r="N505" s="962"/>
      <c r="O505" s="52">
        <f t="shared" si="86"/>
        <v>1</v>
      </c>
      <c r="P505" s="962"/>
      <c r="Q505" s="52">
        <f t="shared" si="87"/>
        <v>1</v>
      </c>
      <c r="R505" s="492">
        <f t="shared" si="88"/>
        <v>0</v>
      </c>
      <c r="S505" s="800">
        <f t="shared" si="89"/>
        <v>0</v>
      </c>
    </row>
    <row r="506" spans="1:19">
      <c r="A506" s="964"/>
      <c r="B506" s="136"/>
      <c r="C506" s="52">
        <f t="shared" si="80"/>
        <v>1</v>
      </c>
      <c r="D506" s="962"/>
      <c r="E506" s="52">
        <f t="shared" si="81"/>
        <v>1</v>
      </c>
      <c r="F506" s="962"/>
      <c r="G506" s="52">
        <f t="shared" si="82"/>
        <v>1</v>
      </c>
      <c r="H506" s="962"/>
      <c r="I506" s="52">
        <f t="shared" si="83"/>
        <v>1</v>
      </c>
      <c r="J506" s="962"/>
      <c r="K506" s="52">
        <f t="shared" si="84"/>
        <v>1</v>
      </c>
      <c r="L506" s="962"/>
      <c r="M506" s="52">
        <f t="shared" si="85"/>
        <v>1</v>
      </c>
      <c r="N506" s="962"/>
      <c r="O506" s="52">
        <f t="shared" si="86"/>
        <v>1</v>
      </c>
      <c r="P506" s="962"/>
      <c r="Q506" s="52">
        <f t="shared" si="87"/>
        <v>1</v>
      </c>
      <c r="R506" s="492">
        <f t="shared" si="88"/>
        <v>0</v>
      </c>
      <c r="S506" s="800">
        <f t="shared" si="89"/>
        <v>0</v>
      </c>
    </row>
    <row r="507" spans="1:19">
      <c r="A507" s="964"/>
      <c r="B507" s="136"/>
      <c r="C507" s="52">
        <f t="shared" si="80"/>
        <v>1</v>
      </c>
      <c r="D507" s="962"/>
      <c r="E507" s="52">
        <f t="shared" si="81"/>
        <v>1</v>
      </c>
      <c r="F507" s="962"/>
      <c r="G507" s="52">
        <f t="shared" si="82"/>
        <v>1</v>
      </c>
      <c r="H507" s="962"/>
      <c r="I507" s="52">
        <f t="shared" si="83"/>
        <v>1</v>
      </c>
      <c r="J507" s="962"/>
      <c r="K507" s="52">
        <f t="shared" si="84"/>
        <v>1</v>
      </c>
      <c r="L507" s="962"/>
      <c r="M507" s="52">
        <f t="shared" si="85"/>
        <v>1</v>
      </c>
      <c r="N507" s="962"/>
      <c r="O507" s="52">
        <f t="shared" si="86"/>
        <v>1</v>
      </c>
      <c r="P507" s="962"/>
      <c r="Q507" s="52">
        <f t="shared" si="87"/>
        <v>1</v>
      </c>
      <c r="R507" s="492">
        <f t="shared" si="88"/>
        <v>0</v>
      </c>
      <c r="S507" s="800">
        <f t="shared" si="89"/>
        <v>0</v>
      </c>
    </row>
    <row r="508" spans="1:19">
      <c r="A508" s="964"/>
      <c r="B508" s="136"/>
      <c r="C508" s="52">
        <f t="shared" si="80"/>
        <v>1</v>
      </c>
      <c r="D508" s="962"/>
      <c r="E508" s="52">
        <f t="shared" si="81"/>
        <v>1</v>
      </c>
      <c r="F508" s="962"/>
      <c r="G508" s="52">
        <f t="shared" si="82"/>
        <v>1</v>
      </c>
      <c r="H508" s="962"/>
      <c r="I508" s="52">
        <f t="shared" si="83"/>
        <v>1</v>
      </c>
      <c r="J508" s="962"/>
      <c r="K508" s="52">
        <f t="shared" si="84"/>
        <v>1</v>
      </c>
      <c r="L508" s="962"/>
      <c r="M508" s="52">
        <f t="shared" si="85"/>
        <v>1</v>
      </c>
      <c r="N508" s="962"/>
      <c r="O508" s="52">
        <f t="shared" si="86"/>
        <v>1</v>
      </c>
      <c r="P508" s="962"/>
      <c r="Q508" s="52">
        <f t="shared" si="87"/>
        <v>1</v>
      </c>
      <c r="R508" s="492">
        <f t="shared" si="88"/>
        <v>0</v>
      </c>
      <c r="S508" s="800">
        <f t="shared" si="89"/>
        <v>0</v>
      </c>
    </row>
    <row r="509" spans="1:19">
      <c r="A509" s="964"/>
      <c r="B509" s="136"/>
      <c r="C509" s="52">
        <f t="shared" si="80"/>
        <v>1</v>
      </c>
      <c r="D509" s="962"/>
      <c r="E509" s="52">
        <f t="shared" si="81"/>
        <v>1</v>
      </c>
      <c r="F509" s="962"/>
      <c r="G509" s="52">
        <f t="shared" si="82"/>
        <v>1</v>
      </c>
      <c r="H509" s="962"/>
      <c r="I509" s="52">
        <f t="shared" si="83"/>
        <v>1</v>
      </c>
      <c r="J509" s="962"/>
      <c r="K509" s="52">
        <f t="shared" si="84"/>
        <v>1</v>
      </c>
      <c r="L509" s="962"/>
      <c r="M509" s="52">
        <f t="shared" si="85"/>
        <v>1</v>
      </c>
      <c r="N509" s="962"/>
      <c r="O509" s="52">
        <f t="shared" si="86"/>
        <v>1</v>
      </c>
      <c r="P509" s="962"/>
      <c r="Q509" s="52">
        <f t="shared" si="87"/>
        <v>1</v>
      </c>
      <c r="R509" s="492">
        <f t="shared" si="88"/>
        <v>0</v>
      </c>
      <c r="S509" s="800">
        <f t="shared" si="89"/>
        <v>0</v>
      </c>
    </row>
    <row r="510" spans="1:19">
      <c r="A510" s="964"/>
      <c r="B510" s="136"/>
      <c r="C510" s="52">
        <f t="shared" si="80"/>
        <v>1</v>
      </c>
      <c r="D510" s="962"/>
      <c r="E510" s="52">
        <f t="shared" si="81"/>
        <v>1</v>
      </c>
      <c r="F510" s="962"/>
      <c r="G510" s="52">
        <f t="shared" si="82"/>
        <v>1</v>
      </c>
      <c r="H510" s="962"/>
      <c r="I510" s="52">
        <f t="shared" si="83"/>
        <v>1</v>
      </c>
      <c r="J510" s="962"/>
      <c r="K510" s="52">
        <f t="shared" si="84"/>
        <v>1</v>
      </c>
      <c r="L510" s="962"/>
      <c r="M510" s="52">
        <f t="shared" si="85"/>
        <v>1</v>
      </c>
      <c r="N510" s="962"/>
      <c r="O510" s="52">
        <f t="shared" si="86"/>
        <v>1</v>
      </c>
      <c r="P510" s="962"/>
      <c r="Q510" s="52">
        <f t="shared" si="87"/>
        <v>1</v>
      </c>
      <c r="R510" s="492">
        <f t="shared" si="88"/>
        <v>0</v>
      </c>
      <c r="S510" s="800">
        <f t="shared" si="89"/>
        <v>0</v>
      </c>
    </row>
    <row r="511" spans="1:19">
      <c r="A511" s="964"/>
      <c r="B511" s="136"/>
      <c r="C511" s="52">
        <f t="shared" si="80"/>
        <v>1</v>
      </c>
      <c r="D511" s="962"/>
      <c r="E511" s="52">
        <f t="shared" si="81"/>
        <v>1</v>
      </c>
      <c r="F511" s="962"/>
      <c r="G511" s="52">
        <f t="shared" si="82"/>
        <v>1</v>
      </c>
      <c r="H511" s="962"/>
      <c r="I511" s="52">
        <f t="shared" si="83"/>
        <v>1</v>
      </c>
      <c r="J511" s="962"/>
      <c r="K511" s="52">
        <f t="shared" si="84"/>
        <v>1</v>
      </c>
      <c r="L511" s="962"/>
      <c r="M511" s="52">
        <f t="shared" si="85"/>
        <v>1</v>
      </c>
      <c r="N511" s="962"/>
      <c r="O511" s="52">
        <f t="shared" si="86"/>
        <v>1</v>
      </c>
      <c r="P511" s="962"/>
      <c r="Q511" s="52">
        <f t="shared" si="87"/>
        <v>1</v>
      </c>
      <c r="R511" s="492">
        <f t="shared" si="88"/>
        <v>0</v>
      </c>
      <c r="S511" s="800">
        <f t="shared" si="89"/>
        <v>0</v>
      </c>
    </row>
    <row r="512" spans="1:19">
      <c r="A512" s="964"/>
      <c r="B512" s="136"/>
      <c r="C512" s="52">
        <f t="shared" si="80"/>
        <v>1</v>
      </c>
      <c r="D512" s="962"/>
      <c r="E512" s="52">
        <f t="shared" si="81"/>
        <v>1</v>
      </c>
      <c r="F512" s="962"/>
      <c r="G512" s="52">
        <f t="shared" si="82"/>
        <v>1</v>
      </c>
      <c r="H512" s="962"/>
      <c r="I512" s="52">
        <f t="shared" si="83"/>
        <v>1</v>
      </c>
      <c r="J512" s="962"/>
      <c r="K512" s="52">
        <f t="shared" si="84"/>
        <v>1</v>
      </c>
      <c r="L512" s="962"/>
      <c r="M512" s="52">
        <f t="shared" si="85"/>
        <v>1</v>
      </c>
      <c r="N512" s="962"/>
      <c r="O512" s="52">
        <f t="shared" si="86"/>
        <v>1</v>
      </c>
      <c r="P512" s="962"/>
      <c r="Q512" s="52">
        <f t="shared" si="87"/>
        <v>1</v>
      </c>
      <c r="R512" s="492">
        <f t="shared" si="88"/>
        <v>0</v>
      </c>
      <c r="S512" s="800">
        <f t="shared" si="89"/>
        <v>0</v>
      </c>
    </row>
    <row r="513" spans="1:19">
      <c r="A513" s="964"/>
      <c r="B513" s="136"/>
      <c r="C513" s="52">
        <f t="shared" si="80"/>
        <v>1</v>
      </c>
      <c r="D513" s="962"/>
      <c r="E513" s="52">
        <f t="shared" si="81"/>
        <v>1</v>
      </c>
      <c r="F513" s="962"/>
      <c r="G513" s="52">
        <f t="shared" si="82"/>
        <v>1</v>
      </c>
      <c r="H513" s="962"/>
      <c r="I513" s="52">
        <f t="shared" si="83"/>
        <v>1</v>
      </c>
      <c r="J513" s="962"/>
      <c r="K513" s="52">
        <f t="shared" si="84"/>
        <v>1</v>
      </c>
      <c r="L513" s="962"/>
      <c r="M513" s="52">
        <f t="shared" si="85"/>
        <v>1</v>
      </c>
      <c r="N513" s="962"/>
      <c r="O513" s="52">
        <f t="shared" si="86"/>
        <v>1</v>
      </c>
      <c r="P513" s="962"/>
      <c r="Q513" s="52">
        <f t="shared" si="87"/>
        <v>1</v>
      </c>
      <c r="R513" s="492">
        <f t="shared" si="88"/>
        <v>0</v>
      </c>
      <c r="S513" s="800">
        <f t="shared" si="89"/>
        <v>0</v>
      </c>
    </row>
    <row r="514" spans="1:19">
      <c r="A514" s="964"/>
      <c r="B514" s="136"/>
      <c r="C514" s="52">
        <f t="shared" si="80"/>
        <v>1</v>
      </c>
      <c r="D514" s="962"/>
      <c r="E514" s="52">
        <f t="shared" si="81"/>
        <v>1</v>
      </c>
      <c r="F514" s="962"/>
      <c r="G514" s="52">
        <f t="shared" si="82"/>
        <v>1</v>
      </c>
      <c r="H514" s="962"/>
      <c r="I514" s="52">
        <f t="shared" si="83"/>
        <v>1</v>
      </c>
      <c r="J514" s="962"/>
      <c r="K514" s="52">
        <f t="shared" si="84"/>
        <v>1</v>
      </c>
      <c r="L514" s="962"/>
      <c r="M514" s="52">
        <f t="shared" si="85"/>
        <v>1</v>
      </c>
      <c r="N514" s="962"/>
      <c r="O514" s="52">
        <f t="shared" si="86"/>
        <v>1</v>
      </c>
      <c r="P514" s="962"/>
      <c r="Q514" s="52">
        <f t="shared" si="87"/>
        <v>1</v>
      </c>
      <c r="R514" s="492">
        <f t="shared" si="88"/>
        <v>0</v>
      </c>
      <c r="S514" s="800">
        <f t="shared" si="89"/>
        <v>0</v>
      </c>
    </row>
    <row r="515" spans="1:19">
      <c r="A515" s="964"/>
      <c r="B515" s="136"/>
      <c r="C515" s="52">
        <f t="shared" si="80"/>
        <v>1</v>
      </c>
      <c r="D515" s="962"/>
      <c r="E515" s="52">
        <f t="shared" si="81"/>
        <v>1</v>
      </c>
      <c r="F515" s="962"/>
      <c r="G515" s="52">
        <f t="shared" si="82"/>
        <v>1</v>
      </c>
      <c r="H515" s="962"/>
      <c r="I515" s="52">
        <f t="shared" si="83"/>
        <v>1</v>
      </c>
      <c r="J515" s="962"/>
      <c r="K515" s="52">
        <f t="shared" si="84"/>
        <v>1</v>
      </c>
      <c r="L515" s="962"/>
      <c r="M515" s="52">
        <f t="shared" si="85"/>
        <v>1</v>
      </c>
      <c r="N515" s="962"/>
      <c r="O515" s="52">
        <f t="shared" si="86"/>
        <v>1</v>
      </c>
      <c r="P515" s="962"/>
      <c r="Q515" s="52">
        <f t="shared" si="87"/>
        <v>1</v>
      </c>
      <c r="R515" s="492">
        <f t="shared" si="88"/>
        <v>0</v>
      </c>
      <c r="S515" s="800">
        <f t="shared" si="89"/>
        <v>0</v>
      </c>
    </row>
    <row r="516" spans="1:19">
      <c r="A516" s="964"/>
      <c r="B516" s="136"/>
      <c r="C516" s="52">
        <f t="shared" si="80"/>
        <v>1</v>
      </c>
      <c r="D516" s="962"/>
      <c r="E516" s="52">
        <f t="shared" si="81"/>
        <v>1</v>
      </c>
      <c r="F516" s="962"/>
      <c r="G516" s="52">
        <f t="shared" si="82"/>
        <v>1</v>
      </c>
      <c r="H516" s="962"/>
      <c r="I516" s="52">
        <f t="shared" si="83"/>
        <v>1</v>
      </c>
      <c r="J516" s="962"/>
      <c r="K516" s="52">
        <f t="shared" si="84"/>
        <v>1</v>
      </c>
      <c r="L516" s="962"/>
      <c r="M516" s="52">
        <f t="shared" si="85"/>
        <v>1</v>
      </c>
      <c r="N516" s="962"/>
      <c r="O516" s="52">
        <f t="shared" si="86"/>
        <v>1</v>
      </c>
      <c r="P516" s="962"/>
      <c r="Q516" s="52">
        <f t="shared" si="87"/>
        <v>1</v>
      </c>
      <c r="R516" s="492">
        <f t="shared" si="88"/>
        <v>0</v>
      </c>
      <c r="S516" s="800">
        <f t="shared" si="89"/>
        <v>0</v>
      </c>
    </row>
    <row r="517" spans="1:19">
      <c r="A517" s="964"/>
      <c r="B517" s="136"/>
      <c r="C517" s="52">
        <f t="shared" si="80"/>
        <v>1</v>
      </c>
      <c r="D517" s="962"/>
      <c r="E517" s="52">
        <f t="shared" si="81"/>
        <v>1</v>
      </c>
      <c r="F517" s="962"/>
      <c r="G517" s="52">
        <f t="shared" si="82"/>
        <v>1</v>
      </c>
      <c r="H517" s="962"/>
      <c r="I517" s="52">
        <f t="shared" si="83"/>
        <v>1</v>
      </c>
      <c r="J517" s="962"/>
      <c r="K517" s="52">
        <f t="shared" si="84"/>
        <v>1</v>
      </c>
      <c r="L517" s="962"/>
      <c r="M517" s="52">
        <f t="shared" si="85"/>
        <v>1</v>
      </c>
      <c r="N517" s="962"/>
      <c r="O517" s="52">
        <f t="shared" si="86"/>
        <v>1</v>
      </c>
      <c r="P517" s="962"/>
      <c r="Q517" s="52">
        <f t="shared" si="87"/>
        <v>1</v>
      </c>
      <c r="R517" s="492">
        <f t="shared" si="88"/>
        <v>0</v>
      </c>
      <c r="S517" s="800">
        <f t="shared" si="89"/>
        <v>0</v>
      </c>
    </row>
    <row r="518" spans="1:19">
      <c r="A518" s="964"/>
      <c r="B518" s="136"/>
      <c r="C518" s="52">
        <f t="shared" si="80"/>
        <v>1</v>
      </c>
      <c r="D518" s="962"/>
      <c r="E518" s="52">
        <f t="shared" si="81"/>
        <v>1</v>
      </c>
      <c r="F518" s="962"/>
      <c r="G518" s="52">
        <f t="shared" si="82"/>
        <v>1</v>
      </c>
      <c r="H518" s="962"/>
      <c r="I518" s="52">
        <f t="shared" si="83"/>
        <v>1</v>
      </c>
      <c r="J518" s="962"/>
      <c r="K518" s="52">
        <f t="shared" si="84"/>
        <v>1</v>
      </c>
      <c r="L518" s="962"/>
      <c r="M518" s="52">
        <f t="shared" si="85"/>
        <v>1</v>
      </c>
      <c r="N518" s="962"/>
      <c r="O518" s="52">
        <f t="shared" si="86"/>
        <v>1</v>
      </c>
      <c r="P518" s="962"/>
      <c r="Q518" s="52">
        <f t="shared" si="87"/>
        <v>1</v>
      </c>
      <c r="R518" s="492">
        <f t="shared" si="88"/>
        <v>0</v>
      </c>
      <c r="S518" s="800">
        <f t="shared" si="89"/>
        <v>0</v>
      </c>
    </row>
    <row r="519" spans="1:19">
      <c r="A519" s="964"/>
      <c r="B519" s="136"/>
      <c r="C519" s="52">
        <f t="shared" si="80"/>
        <v>1</v>
      </c>
      <c r="D519" s="962"/>
      <c r="E519" s="52">
        <f t="shared" si="81"/>
        <v>1</v>
      </c>
      <c r="F519" s="962"/>
      <c r="G519" s="52">
        <f t="shared" si="82"/>
        <v>1</v>
      </c>
      <c r="H519" s="962"/>
      <c r="I519" s="52">
        <f t="shared" si="83"/>
        <v>1</v>
      </c>
      <c r="J519" s="962"/>
      <c r="K519" s="52">
        <f t="shared" si="84"/>
        <v>1</v>
      </c>
      <c r="L519" s="962"/>
      <c r="M519" s="52">
        <f t="shared" si="85"/>
        <v>1</v>
      </c>
      <c r="N519" s="962"/>
      <c r="O519" s="52">
        <f t="shared" si="86"/>
        <v>1</v>
      </c>
      <c r="P519" s="962"/>
      <c r="Q519" s="52">
        <f t="shared" si="87"/>
        <v>1</v>
      </c>
      <c r="R519" s="492">
        <f t="shared" si="88"/>
        <v>0</v>
      </c>
      <c r="S519" s="800">
        <f t="shared" si="89"/>
        <v>0</v>
      </c>
    </row>
    <row r="520" spans="1:19">
      <c r="A520" s="964"/>
      <c r="B520" s="136"/>
      <c r="C520" s="52">
        <f t="shared" si="80"/>
        <v>1</v>
      </c>
      <c r="D520" s="962"/>
      <c r="E520" s="52">
        <f t="shared" si="81"/>
        <v>1</v>
      </c>
      <c r="F520" s="962"/>
      <c r="G520" s="52">
        <f t="shared" si="82"/>
        <v>1</v>
      </c>
      <c r="H520" s="962"/>
      <c r="I520" s="52">
        <f t="shared" si="83"/>
        <v>1</v>
      </c>
      <c r="J520" s="962"/>
      <c r="K520" s="52">
        <f t="shared" si="84"/>
        <v>1</v>
      </c>
      <c r="L520" s="962"/>
      <c r="M520" s="52">
        <f t="shared" si="85"/>
        <v>1</v>
      </c>
      <c r="N520" s="962"/>
      <c r="O520" s="52">
        <f t="shared" si="86"/>
        <v>1</v>
      </c>
      <c r="P520" s="962"/>
      <c r="Q520" s="52">
        <f t="shared" si="87"/>
        <v>1</v>
      </c>
      <c r="R520" s="492">
        <f t="shared" si="88"/>
        <v>0</v>
      </c>
      <c r="S520" s="800">
        <f t="shared" si="89"/>
        <v>0</v>
      </c>
    </row>
    <row r="521" spans="1:19">
      <c r="A521" s="964"/>
      <c r="B521" s="136"/>
      <c r="C521" s="52">
        <f t="shared" si="80"/>
        <v>1</v>
      </c>
      <c r="D521" s="962"/>
      <c r="E521" s="52">
        <f t="shared" si="81"/>
        <v>1</v>
      </c>
      <c r="F521" s="962"/>
      <c r="G521" s="52">
        <f t="shared" si="82"/>
        <v>1</v>
      </c>
      <c r="H521" s="962"/>
      <c r="I521" s="52">
        <f t="shared" si="83"/>
        <v>1</v>
      </c>
      <c r="J521" s="962"/>
      <c r="K521" s="52">
        <f t="shared" si="84"/>
        <v>1</v>
      </c>
      <c r="L521" s="962"/>
      <c r="M521" s="52">
        <f t="shared" si="85"/>
        <v>1</v>
      </c>
      <c r="N521" s="962"/>
      <c r="O521" s="52">
        <f t="shared" si="86"/>
        <v>1</v>
      </c>
      <c r="P521" s="962"/>
      <c r="Q521" s="52">
        <f t="shared" si="87"/>
        <v>1</v>
      </c>
      <c r="R521" s="492">
        <f t="shared" si="88"/>
        <v>0</v>
      </c>
      <c r="S521" s="800">
        <f t="shared" si="89"/>
        <v>0</v>
      </c>
    </row>
    <row r="522" spans="1:19">
      <c r="A522" s="964"/>
      <c r="B522" s="136"/>
      <c r="C522" s="52">
        <f t="shared" si="80"/>
        <v>1</v>
      </c>
      <c r="D522" s="962"/>
      <c r="E522" s="52">
        <f t="shared" si="81"/>
        <v>1</v>
      </c>
      <c r="F522" s="962"/>
      <c r="G522" s="52">
        <f t="shared" si="82"/>
        <v>1</v>
      </c>
      <c r="H522" s="962"/>
      <c r="I522" s="52">
        <f t="shared" si="83"/>
        <v>1</v>
      </c>
      <c r="J522" s="962"/>
      <c r="K522" s="52">
        <f t="shared" si="84"/>
        <v>1</v>
      </c>
      <c r="L522" s="962"/>
      <c r="M522" s="52">
        <f t="shared" si="85"/>
        <v>1</v>
      </c>
      <c r="N522" s="962"/>
      <c r="O522" s="52">
        <f t="shared" si="86"/>
        <v>1</v>
      </c>
      <c r="P522" s="962"/>
      <c r="Q522" s="52">
        <f t="shared" si="87"/>
        <v>1</v>
      </c>
      <c r="R522" s="492">
        <f t="shared" si="88"/>
        <v>0</v>
      </c>
      <c r="S522" s="800">
        <f t="shared" si="89"/>
        <v>0</v>
      </c>
    </row>
    <row r="523" spans="1:19">
      <c r="A523" s="964"/>
      <c r="B523" s="136"/>
      <c r="C523" s="52">
        <f t="shared" si="80"/>
        <v>1</v>
      </c>
      <c r="D523" s="962"/>
      <c r="E523" s="52">
        <f t="shared" si="81"/>
        <v>1</v>
      </c>
      <c r="F523" s="962"/>
      <c r="G523" s="52">
        <f t="shared" si="82"/>
        <v>1</v>
      </c>
      <c r="H523" s="962"/>
      <c r="I523" s="52">
        <f t="shared" si="83"/>
        <v>1</v>
      </c>
      <c r="J523" s="962"/>
      <c r="K523" s="52">
        <f t="shared" si="84"/>
        <v>1</v>
      </c>
      <c r="L523" s="962"/>
      <c r="M523" s="52">
        <f t="shared" si="85"/>
        <v>1</v>
      </c>
      <c r="N523" s="962"/>
      <c r="O523" s="52">
        <f t="shared" si="86"/>
        <v>1</v>
      </c>
      <c r="P523" s="962"/>
      <c r="Q523" s="52">
        <f t="shared" si="87"/>
        <v>1</v>
      </c>
      <c r="R523" s="492">
        <f t="shared" si="88"/>
        <v>0</v>
      </c>
      <c r="S523" s="800">
        <f t="shared" si="89"/>
        <v>0</v>
      </c>
    </row>
    <row r="524" spans="1:19">
      <c r="A524" s="964"/>
      <c r="B524" s="136"/>
      <c r="C524" s="52">
        <f t="shared" si="80"/>
        <v>1</v>
      </c>
      <c r="D524" s="962"/>
      <c r="E524" s="52">
        <f t="shared" si="81"/>
        <v>1</v>
      </c>
      <c r="F524" s="962"/>
      <c r="G524" s="52">
        <f t="shared" si="82"/>
        <v>1</v>
      </c>
      <c r="H524" s="962"/>
      <c r="I524" s="52">
        <f t="shared" si="83"/>
        <v>1</v>
      </c>
      <c r="J524" s="962"/>
      <c r="K524" s="52">
        <f t="shared" si="84"/>
        <v>1</v>
      </c>
      <c r="L524" s="962"/>
      <c r="M524" s="52">
        <f t="shared" si="85"/>
        <v>1</v>
      </c>
      <c r="N524" s="962"/>
      <c r="O524" s="52">
        <f t="shared" si="86"/>
        <v>1</v>
      </c>
      <c r="P524" s="962"/>
      <c r="Q524" s="52">
        <f t="shared" si="87"/>
        <v>1</v>
      </c>
      <c r="R524" s="492">
        <f t="shared" si="88"/>
        <v>0</v>
      </c>
      <c r="S524" s="800">
        <f t="shared" si="89"/>
        <v>0</v>
      </c>
    </row>
    <row r="525" spans="1:19">
      <c r="A525" s="256"/>
      <c r="B525" s="56"/>
      <c r="C525" s="56"/>
      <c r="D525" s="56"/>
      <c r="E525" s="56"/>
      <c r="F525" s="56"/>
      <c r="G525" s="56"/>
      <c r="H525" s="56"/>
      <c r="I525" s="56"/>
      <c r="J525" s="56"/>
      <c r="K525" s="56"/>
      <c r="L525" s="56"/>
      <c r="M525" s="56"/>
      <c r="N525" s="56"/>
      <c r="O525" s="56"/>
      <c r="P525" s="56"/>
      <c r="Q525" s="56"/>
      <c r="R525" s="2227"/>
      <c r="S525" s="256"/>
    </row>
    <row r="526" spans="1:19">
      <c r="A526" s="256"/>
      <c r="B526" s="56"/>
      <c r="C526" s="56"/>
      <c r="D526" s="56"/>
      <c r="E526" s="56"/>
      <c r="F526" s="56"/>
      <c r="G526" s="56"/>
      <c r="H526" s="56"/>
      <c r="I526" s="56"/>
      <c r="J526" s="56"/>
      <c r="K526" s="56"/>
      <c r="L526" s="56"/>
      <c r="M526" s="56"/>
      <c r="N526" s="56"/>
      <c r="O526" s="56"/>
      <c r="P526" s="56"/>
      <c r="Q526" s="56"/>
      <c r="R526" s="2227"/>
      <c r="S526" s="256"/>
    </row>
    <row r="527" spans="1:19">
      <c r="A527" s="256"/>
      <c r="B527" s="56"/>
      <c r="C527" s="56"/>
      <c r="D527" s="56"/>
      <c r="E527" s="56"/>
      <c r="F527" s="56"/>
      <c r="G527" s="56"/>
      <c r="H527" s="56"/>
      <c r="I527" s="56"/>
      <c r="J527" s="56"/>
      <c r="K527" s="56"/>
      <c r="L527" s="56"/>
      <c r="M527" s="56"/>
      <c r="N527" s="56"/>
      <c r="O527" s="56"/>
      <c r="P527" s="56"/>
      <c r="Q527" s="56"/>
      <c r="R527" s="2227"/>
      <c r="S527" s="256"/>
    </row>
    <row r="528" spans="1:19">
      <c r="A528" s="256"/>
      <c r="B528" s="56"/>
      <c r="C528" s="56"/>
      <c r="D528" s="56"/>
      <c r="E528" s="56"/>
      <c r="F528" s="56"/>
      <c r="G528" s="56"/>
      <c r="H528" s="56"/>
      <c r="I528" s="56"/>
      <c r="J528" s="56"/>
      <c r="K528" s="56"/>
      <c r="L528" s="56"/>
      <c r="M528" s="56"/>
      <c r="N528" s="56"/>
      <c r="O528" s="56"/>
      <c r="P528" s="56"/>
      <c r="Q528" s="56"/>
      <c r="R528" s="2227"/>
      <c r="S528" s="256"/>
    </row>
    <row r="529" spans="1:19">
      <c r="A529" s="256"/>
      <c r="B529" s="56"/>
      <c r="C529" s="56"/>
      <c r="D529" s="56"/>
      <c r="E529" s="56"/>
      <c r="F529" s="56"/>
      <c r="G529" s="56"/>
      <c r="H529" s="56"/>
      <c r="I529" s="56"/>
      <c r="J529" s="56"/>
      <c r="K529" s="56"/>
      <c r="L529" s="56"/>
      <c r="M529" s="56"/>
      <c r="N529" s="56"/>
      <c r="O529" s="56"/>
      <c r="P529" s="56"/>
      <c r="Q529" s="56"/>
      <c r="R529" s="2227"/>
      <c r="S529" s="256"/>
    </row>
    <row r="530" spans="1:19">
      <c r="A530" s="256"/>
      <c r="B530" s="56"/>
      <c r="C530" s="56"/>
      <c r="D530" s="56"/>
      <c r="E530" s="56"/>
      <c r="F530" s="56"/>
      <c r="G530" s="56"/>
      <c r="H530" s="56"/>
      <c r="I530" s="56"/>
      <c r="J530" s="56"/>
      <c r="K530" s="56"/>
      <c r="L530" s="56"/>
      <c r="M530" s="56"/>
      <c r="N530" s="56"/>
      <c r="O530" s="56"/>
      <c r="P530" s="56"/>
      <c r="Q530" s="56"/>
      <c r="R530" s="2227"/>
      <c r="S530" s="256"/>
    </row>
    <row r="531" spans="1:19">
      <c r="A531" s="256"/>
      <c r="B531" s="56"/>
      <c r="C531" s="56"/>
      <c r="D531" s="56"/>
      <c r="E531" s="56"/>
      <c r="F531" s="56"/>
      <c r="G531" s="56"/>
      <c r="H531" s="56"/>
      <c r="I531" s="56"/>
      <c r="J531" s="56"/>
      <c r="K531" s="56"/>
      <c r="L531" s="56"/>
      <c r="M531" s="56"/>
      <c r="N531" s="56"/>
      <c r="O531" s="56"/>
      <c r="P531" s="56"/>
      <c r="Q531" s="56"/>
      <c r="R531" s="2227"/>
      <c r="S531" s="256"/>
    </row>
    <row r="532" spans="1:19">
      <c r="A532" s="256"/>
      <c r="B532" s="56"/>
      <c r="C532" s="56"/>
      <c r="D532" s="56"/>
      <c r="E532" s="56"/>
      <c r="F532" s="56"/>
      <c r="G532" s="56"/>
      <c r="H532" s="56"/>
      <c r="I532" s="56"/>
      <c r="J532" s="56"/>
      <c r="K532" s="56"/>
      <c r="L532" s="56"/>
      <c r="M532" s="56"/>
      <c r="N532" s="56"/>
      <c r="O532" s="56"/>
      <c r="P532" s="56"/>
      <c r="Q532" s="56"/>
      <c r="R532" s="2227"/>
      <c r="S532" s="256"/>
    </row>
    <row r="533" spans="1:19">
      <c r="A533" s="256"/>
      <c r="B533" s="56"/>
      <c r="C533" s="56"/>
      <c r="D533" s="56"/>
      <c r="E533" s="56"/>
      <c r="F533" s="56"/>
      <c r="G533" s="56"/>
      <c r="H533" s="56"/>
      <c r="I533" s="56"/>
      <c r="J533" s="56"/>
      <c r="K533" s="56"/>
      <c r="L533" s="56"/>
      <c r="M533" s="56"/>
      <c r="N533" s="56"/>
      <c r="O533" s="56"/>
      <c r="P533" s="56"/>
      <c r="Q533" s="56"/>
      <c r="R533" s="2227"/>
      <c r="S533" s="256"/>
    </row>
    <row r="534" spans="1:19">
      <c r="A534" s="256"/>
      <c r="B534" s="56"/>
      <c r="C534" s="56"/>
      <c r="D534" s="56"/>
      <c r="E534" s="56"/>
      <c r="F534" s="56"/>
      <c r="G534" s="56"/>
      <c r="H534" s="56"/>
      <c r="I534" s="56"/>
      <c r="J534" s="56"/>
      <c r="K534" s="56"/>
      <c r="L534" s="56"/>
      <c r="M534" s="56"/>
      <c r="N534" s="56"/>
      <c r="O534" s="56"/>
      <c r="P534" s="56"/>
      <c r="Q534" s="56"/>
      <c r="R534" s="2227"/>
      <c r="S534" s="256"/>
    </row>
    <row r="535" spans="1:19">
      <c r="A535" s="256"/>
      <c r="B535" s="56"/>
      <c r="C535" s="56"/>
      <c r="D535" s="56"/>
      <c r="E535" s="56"/>
      <c r="F535" s="56"/>
      <c r="G535" s="56"/>
      <c r="H535" s="56"/>
      <c r="I535" s="56"/>
      <c r="J535" s="56"/>
      <c r="K535" s="56"/>
      <c r="L535" s="56"/>
      <c r="M535" s="56"/>
      <c r="N535" s="56"/>
      <c r="O535" s="56"/>
      <c r="P535" s="56"/>
      <c r="Q535" s="56"/>
      <c r="R535" s="2227"/>
      <c r="S535" s="256"/>
    </row>
    <row r="536" spans="1:19">
      <c r="A536" s="256"/>
      <c r="B536" s="56"/>
      <c r="C536" s="56"/>
      <c r="D536" s="56"/>
      <c r="E536" s="56"/>
      <c r="F536" s="56"/>
      <c r="G536" s="56"/>
      <c r="H536" s="56"/>
      <c r="I536" s="56"/>
      <c r="J536" s="56"/>
      <c r="K536" s="56"/>
      <c r="L536" s="56"/>
      <c r="M536" s="56"/>
      <c r="N536" s="56"/>
      <c r="O536" s="56"/>
      <c r="P536" s="56"/>
      <c r="Q536" s="56"/>
      <c r="R536" s="2227"/>
      <c r="S536" s="256"/>
    </row>
    <row r="537" spans="1:19">
      <c r="A537" s="256"/>
      <c r="B537" s="56"/>
      <c r="C537" s="56"/>
      <c r="D537" s="56"/>
      <c r="E537" s="56"/>
      <c r="F537" s="56"/>
      <c r="G537" s="56"/>
      <c r="H537" s="56"/>
      <c r="I537" s="56"/>
      <c r="J537" s="56"/>
      <c r="K537" s="56"/>
      <c r="L537" s="56"/>
      <c r="M537" s="56"/>
      <c r="N537" s="56"/>
      <c r="O537" s="56"/>
      <c r="P537" s="56"/>
      <c r="Q537" s="56"/>
      <c r="R537" s="2227"/>
      <c r="S537" s="256"/>
    </row>
    <row r="538" spans="1:19">
      <c r="A538" s="256"/>
      <c r="B538" s="56"/>
      <c r="C538" s="56"/>
      <c r="D538" s="56"/>
      <c r="E538" s="56"/>
      <c r="F538" s="56"/>
      <c r="G538" s="56"/>
      <c r="H538" s="56"/>
      <c r="I538" s="56"/>
      <c r="J538" s="56"/>
      <c r="K538" s="56"/>
      <c r="L538" s="56"/>
      <c r="M538" s="56"/>
      <c r="N538" s="56"/>
      <c r="O538" s="56"/>
      <c r="P538" s="56"/>
      <c r="Q538" s="56"/>
      <c r="R538" s="2227"/>
      <c r="S538" s="256"/>
    </row>
    <row r="539" spans="1:19">
      <c r="A539" s="256"/>
      <c r="B539" s="56"/>
      <c r="C539" s="56"/>
      <c r="D539" s="56"/>
      <c r="E539" s="56"/>
      <c r="F539" s="56"/>
      <c r="G539" s="56"/>
      <c r="H539" s="56"/>
      <c r="I539" s="56"/>
      <c r="J539" s="56"/>
      <c r="K539" s="56"/>
      <c r="L539" s="56"/>
      <c r="M539" s="56"/>
      <c r="N539" s="56"/>
      <c r="O539" s="56"/>
      <c r="P539" s="56"/>
      <c r="Q539" s="56"/>
      <c r="R539" s="2227"/>
      <c r="S539" s="256"/>
    </row>
    <row r="540" spans="1:19">
      <c r="A540" s="256"/>
      <c r="B540" s="56"/>
      <c r="C540" s="56"/>
      <c r="D540" s="56"/>
      <c r="E540" s="56"/>
      <c r="F540" s="56"/>
      <c r="G540" s="56"/>
      <c r="H540" s="56"/>
      <c r="I540" s="56"/>
      <c r="J540" s="56"/>
      <c r="K540" s="56"/>
      <c r="L540" s="56"/>
      <c r="M540" s="56"/>
      <c r="N540" s="56"/>
      <c r="O540" s="56"/>
      <c r="P540" s="56"/>
      <c r="Q540" s="56"/>
      <c r="R540" s="2227"/>
      <c r="S540" s="256"/>
    </row>
    <row r="541" spans="1:19">
      <c r="A541" s="256"/>
      <c r="B541" s="56"/>
      <c r="C541" s="56"/>
      <c r="D541" s="56"/>
      <c r="E541" s="56"/>
      <c r="F541" s="56"/>
      <c r="G541" s="56"/>
      <c r="H541" s="56"/>
      <c r="I541" s="56"/>
      <c r="J541" s="56"/>
      <c r="K541" s="56"/>
      <c r="L541" s="56"/>
      <c r="M541" s="56"/>
      <c r="N541" s="56"/>
      <c r="O541" s="56"/>
      <c r="P541" s="56"/>
      <c r="Q541" s="56"/>
      <c r="R541" s="2227"/>
      <c r="S541" s="256"/>
    </row>
    <row r="542" spans="1:19">
      <c r="A542" s="256"/>
      <c r="B542" s="56"/>
      <c r="C542" s="56"/>
      <c r="D542" s="56"/>
      <c r="E542" s="56"/>
      <c r="F542" s="56"/>
      <c r="G542" s="56"/>
      <c r="H542" s="56"/>
      <c r="I542" s="56"/>
      <c r="J542" s="56"/>
      <c r="K542" s="56"/>
      <c r="L542" s="56"/>
      <c r="M542" s="56"/>
      <c r="N542" s="56"/>
      <c r="O542" s="56"/>
      <c r="P542" s="56"/>
      <c r="Q542" s="56"/>
      <c r="R542" s="2227"/>
      <c r="S542" s="256"/>
    </row>
    <row r="543" spans="1:19">
      <c r="A543" s="256"/>
      <c r="B543" s="56"/>
      <c r="C543" s="56"/>
      <c r="D543" s="56"/>
      <c r="E543" s="56"/>
      <c r="F543" s="56"/>
      <c r="G543" s="56"/>
      <c r="H543" s="56"/>
      <c r="I543" s="56"/>
      <c r="J543" s="56"/>
      <c r="K543" s="56"/>
      <c r="L543" s="56"/>
      <c r="M543" s="56"/>
      <c r="N543" s="56"/>
      <c r="O543" s="56"/>
      <c r="P543" s="56"/>
      <c r="Q543" s="56"/>
      <c r="R543" s="2227"/>
      <c r="S543" s="256"/>
    </row>
    <row r="544" spans="1:19">
      <c r="A544" s="256"/>
      <c r="B544" s="56"/>
      <c r="C544" s="56"/>
      <c r="D544" s="56"/>
      <c r="E544" s="56"/>
      <c r="F544" s="56"/>
      <c r="G544" s="56"/>
      <c r="H544" s="56"/>
      <c r="I544" s="56"/>
      <c r="J544" s="56"/>
      <c r="K544" s="56"/>
      <c r="L544" s="56"/>
      <c r="M544" s="56"/>
      <c r="N544" s="56"/>
      <c r="O544" s="56"/>
      <c r="P544" s="56"/>
      <c r="Q544" s="56"/>
      <c r="R544" s="2227"/>
      <c r="S544" s="256"/>
    </row>
    <row r="545" spans="1:19">
      <c r="A545" s="256"/>
      <c r="B545" s="56"/>
      <c r="C545" s="56"/>
      <c r="D545" s="56"/>
      <c r="E545" s="56"/>
      <c r="F545" s="56"/>
      <c r="G545" s="56"/>
      <c r="H545" s="56"/>
      <c r="I545" s="56"/>
      <c r="J545" s="56"/>
      <c r="K545" s="56"/>
      <c r="L545" s="56"/>
      <c r="M545" s="56"/>
      <c r="N545" s="56"/>
      <c r="O545" s="56"/>
      <c r="P545" s="56"/>
      <c r="Q545" s="56"/>
      <c r="R545" s="2227"/>
      <c r="S545" s="256"/>
    </row>
    <row r="546" spans="1:19">
      <c r="A546" s="256"/>
      <c r="B546" s="56"/>
      <c r="C546" s="56"/>
      <c r="D546" s="56"/>
      <c r="E546" s="56"/>
      <c r="F546" s="56"/>
      <c r="G546" s="56"/>
      <c r="H546" s="56"/>
      <c r="I546" s="56"/>
      <c r="J546" s="56"/>
      <c r="K546" s="56"/>
      <c r="L546" s="56"/>
      <c r="M546" s="56"/>
      <c r="N546" s="56"/>
      <c r="O546" s="56"/>
      <c r="P546" s="56"/>
      <c r="Q546" s="56"/>
      <c r="R546" s="2227"/>
      <c r="S546" s="256"/>
    </row>
    <row r="547" spans="1:19">
      <c r="A547" s="256"/>
      <c r="B547" s="56"/>
      <c r="C547" s="56"/>
      <c r="D547" s="56"/>
      <c r="E547" s="56"/>
      <c r="F547" s="56"/>
      <c r="G547" s="56"/>
      <c r="H547" s="56"/>
      <c r="I547" s="56"/>
      <c r="J547" s="56"/>
      <c r="K547" s="56"/>
      <c r="L547" s="56"/>
      <c r="M547" s="56"/>
      <c r="N547" s="56"/>
      <c r="O547" s="56"/>
      <c r="P547" s="56"/>
      <c r="Q547" s="56"/>
      <c r="R547" s="2227"/>
      <c r="S547" s="256"/>
    </row>
    <row r="548" spans="1:19">
      <c r="A548" s="256"/>
      <c r="B548" s="56"/>
      <c r="C548" s="56"/>
      <c r="D548" s="56"/>
      <c r="E548" s="56"/>
      <c r="F548" s="56"/>
      <c r="G548" s="56"/>
      <c r="H548" s="56"/>
      <c r="I548" s="56"/>
      <c r="J548" s="56"/>
      <c r="K548" s="56"/>
      <c r="L548" s="56"/>
      <c r="M548" s="56"/>
      <c r="N548" s="56"/>
      <c r="O548" s="56"/>
      <c r="P548" s="56"/>
      <c r="Q548" s="56"/>
      <c r="R548" s="2227"/>
      <c r="S548" s="256"/>
    </row>
    <row r="549" spans="1:19">
      <c r="A549" s="256"/>
      <c r="B549" s="56"/>
      <c r="C549" s="56"/>
      <c r="D549" s="56"/>
      <c r="E549" s="56"/>
      <c r="F549" s="56"/>
      <c r="G549" s="56"/>
      <c r="H549" s="56"/>
      <c r="I549" s="56"/>
      <c r="J549" s="56"/>
      <c r="K549" s="56"/>
      <c r="L549" s="56"/>
      <c r="M549" s="56"/>
      <c r="N549" s="56"/>
      <c r="O549" s="56"/>
      <c r="P549" s="56"/>
      <c r="Q549" s="56"/>
      <c r="R549" s="2227"/>
      <c r="S549" s="256"/>
    </row>
    <row r="550" spans="1:19">
      <c r="A550" s="256"/>
      <c r="B550" s="56"/>
      <c r="C550" s="56"/>
      <c r="D550" s="56"/>
      <c r="E550" s="56"/>
      <c r="F550" s="56"/>
      <c r="G550" s="56"/>
      <c r="H550" s="56"/>
      <c r="I550" s="56"/>
      <c r="J550" s="56"/>
      <c r="K550" s="56"/>
      <c r="L550" s="56"/>
      <c r="M550" s="56"/>
      <c r="N550" s="56"/>
      <c r="O550" s="56"/>
      <c r="P550" s="56"/>
      <c r="Q550" s="56"/>
      <c r="R550" s="2227"/>
      <c r="S550" s="256"/>
    </row>
    <row r="551" spans="1:19">
      <c r="A551" s="256"/>
      <c r="B551" s="56"/>
      <c r="C551" s="56"/>
      <c r="D551" s="56"/>
      <c r="E551" s="56"/>
      <c r="F551" s="56"/>
      <c r="G551" s="56"/>
      <c r="H551" s="56"/>
      <c r="I551" s="56"/>
      <c r="J551" s="56"/>
      <c r="K551" s="56"/>
      <c r="L551" s="56"/>
      <c r="M551" s="56"/>
      <c r="N551" s="56"/>
      <c r="O551" s="56"/>
      <c r="P551" s="56"/>
      <c r="Q551" s="56"/>
      <c r="R551" s="2227"/>
      <c r="S551" s="256"/>
    </row>
    <row r="552" spans="1:19">
      <c r="A552" s="256"/>
      <c r="B552" s="56"/>
      <c r="C552" s="56"/>
      <c r="D552" s="56"/>
      <c r="E552" s="56"/>
      <c r="F552" s="56"/>
      <c r="G552" s="56"/>
      <c r="H552" s="56"/>
      <c r="I552" s="56"/>
      <c r="J552" s="56"/>
      <c r="K552" s="56"/>
      <c r="L552" s="56"/>
      <c r="M552" s="56"/>
      <c r="N552" s="56"/>
      <c r="O552" s="56"/>
      <c r="P552" s="56"/>
      <c r="Q552" s="56"/>
      <c r="R552" s="2227"/>
      <c r="S552" s="256"/>
    </row>
    <row r="553" spans="1:19">
      <c r="A553" s="256"/>
      <c r="B553" s="56"/>
      <c r="C553" s="56"/>
      <c r="D553" s="56"/>
      <c r="E553" s="56"/>
      <c r="F553" s="56"/>
      <c r="G553" s="56"/>
      <c r="H553" s="56"/>
      <c r="I553" s="56"/>
      <c r="J553" s="56"/>
      <c r="K553" s="56"/>
      <c r="L553" s="56"/>
      <c r="M553" s="56"/>
      <c r="N553" s="56"/>
      <c r="O553" s="56"/>
      <c r="P553" s="56"/>
      <c r="Q553" s="56"/>
      <c r="R553" s="2227"/>
      <c r="S553" s="256"/>
    </row>
    <row r="554" spans="1:19">
      <c r="A554" s="256"/>
      <c r="B554" s="56"/>
      <c r="C554" s="56"/>
      <c r="D554" s="56"/>
      <c r="E554" s="56"/>
      <c r="F554" s="56"/>
      <c r="G554" s="56"/>
      <c r="H554" s="56"/>
      <c r="I554" s="56"/>
      <c r="J554" s="56"/>
      <c r="K554" s="56"/>
      <c r="L554" s="56"/>
      <c r="M554" s="56"/>
      <c r="N554" s="56"/>
      <c r="O554" s="56"/>
      <c r="P554" s="56"/>
      <c r="Q554" s="56"/>
      <c r="R554" s="2227"/>
      <c r="S554" s="256"/>
    </row>
    <row r="555" spans="1:19">
      <c r="A555" s="256"/>
      <c r="B555" s="56"/>
      <c r="C555" s="56"/>
      <c r="D555" s="56"/>
      <c r="E555" s="56"/>
      <c r="F555" s="56"/>
      <c r="G555" s="56"/>
      <c r="H555" s="56"/>
      <c r="I555" s="56"/>
      <c r="J555" s="56"/>
      <c r="K555" s="56"/>
      <c r="L555" s="56"/>
      <c r="M555" s="56"/>
      <c r="N555" s="56"/>
      <c r="O555" s="56"/>
      <c r="P555" s="56"/>
      <c r="Q555" s="56"/>
      <c r="R555" s="2227"/>
      <c r="S555" s="256"/>
    </row>
    <row r="556" spans="1:19">
      <c r="A556" s="256"/>
      <c r="B556" s="56"/>
      <c r="C556" s="56"/>
      <c r="D556" s="56"/>
      <c r="E556" s="56"/>
      <c r="F556" s="56"/>
      <c r="G556" s="56"/>
      <c r="H556" s="56"/>
      <c r="I556" s="56"/>
      <c r="J556" s="56"/>
      <c r="K556" s="56"/>
      <c r="L556" s="56"/>
      <c r="M556" s="56"/>
      <c r="N556" s="56"/>
      <c r="O556" s="56"/>
      <c r="P556" s="56"/>
      <c r="Q556" s="56"/>
      <c r="R556" s="2227"/>
      <c r="S556" s="256"/>
    </row>
    <row r="557" spans="1:19">
      <c r="A557" s="256"/>
      <c r="B557" s="56"/>
      <c r="C557" s="56"/>
      <c r="D557" s="56"/>
      <c r="E557" s="56"/>
      <c r="F557" s="56"/>
      <c r="G557" s="56"/>
      <c r="H557" s="56"/>
      <c r="I557" s="56"/>
      <c r="J557" s="56"/>
      <c r="K557" s="56"/>
      <c r="L557" s="56"/>
      <c r="M557" s="56"/>
      <c r="N557" s="56"/>
      <c r="O557" s="56"/>
      <c r="P557" s="56"/>
      <c r="Q557" s="56"/>
      <c r="R557" s="2227"/>
      <c r="S557" s="256"/>
    </row>
    <row r="558" spans="1:19">
      <c r="A558" s="256"/>
      <c r="B558" s="56"/>
      <c r="C558" s="56"/>
      <c r="D558" s="56"/>
      <c r="E558" s="56"/>
      <c r="F558" s="56"/>
      <c r="G558" s="56"/>
      <c r="H558" s="56"/>
      <c r="I558" s="56"/>
      <c r="J558" s="56"/>
      <c r="K558" s="56"/>
      <c r="L558" s="56"/>
      <c r="M558" s="56"/>
      <c r="N558" s="56"/>
      <c r="O558" s="56"/>
      <c r="P558" s="56"/>
      <c r="Q558" s="56"/>
      <c r="R558" s="2227"/>
      <c r="S558" s="256"/>
    </row>
    <row r="559" spans="1:19">
      <c r="A559" s="256"/>
      <c r="B559" s="56"/>
      <c r="C559" s="56"/>
      <c r="D559" s="56"/>
      <c r="E559" s="56"/>
      <c r="F559" s="56"/>
      <c r="G559" s="56"/>
      <c r="H559" s="56"/>
      <c r="I559" s="56"/>
      <c r="J559" s="56"/>
      <c r="K559" s="56"/>
      <c r="L559" s="56"/>
      <c r="M559" s="56"/>
      <c r="N559" s="56"/>
      <c r="O559" s="56"/>
      <c r="P559" s="56"/>
      <c r="Q559" s="56"/>
      <c r="R559" s="2227"/>
      <c r="S559" s="256"/>
    </row>
    <row r="560" spans="1:19">
      <c r="A560" s="256"/>
      <c r="B560" s="56"/>
      <c r="C560" s="56"/>
      <c r="D560" s="56"/>
      <c r="E560" s="56"/>
      <c r="F560" s="56"/>
      <c r="G560" s="56"/>
      <c r="H560" s="56"/>
      <c r="I560" s="56"/>
      <c r="J560" s="56"/>
      <c r="K560" s="56"/>
      <c r="L560" s="56"/>
      <c r="M560" s="56"/>
      <c r="N560" s="56"/>
      <c r="O560" s="56"/>
      <c r="P560" s="56"/>
      <c r="Q560" s="56"/>
      <c r="R560" s="2227"/>
      <c r="S560" s="256"/>
    </row>
    <row r="561" spans="1:19">
      <c r="A561" s="256"/>
      <c r="B561" s="56"/>
      <c r="C561" s="56"/>
      <c r="D561" s="56"/>
      <c r="E561" s="56"/>
      <c r="F561" s="56"/>
      <c r="G561" s="56"/>
      <c r="H561" s="56"/>
      <c r="I561" s="56"/>
      <c r="J561" s="56"/>
      <c r="K561" s="56"/>
      <c r="L561" s="56"/>
      <c r="M561" s="56"/>
      <c r="N561" s="56"/>
      <c r="O561" s="56"/>
      <c r="P561" s="56"/>
      <c r="Q561" s="56"/>
      <c r="R561" s="2227"/>
      <c r="S561" s="256"/>
    </row>
    <row r="562" spans="1:19">
      <c r="A562" s="256"/>
      <c r="B562" s="56"/>
      <c r="C562" s="56"/>
      <c r="D562" s="56"/>
      <c r="E562" s="56"/>
      <c r="F562" s="56"/>
      <c r="G562" s="56"/>
      <c r="H562" s="56"/>
      <c r="I562" s="56"/>
      <c r="J562" s="56"/>
      <c r="K562" s="56"/>
      <c r="L562" s="56"/>
      <c r="M562" s="56"/>
      <c r="N562" s="56"/>
      <c r="O562" s="56"/>
      <c r="P562" s="56"/>
      <c r="Q562" s="56"/>
      <c r="R562" s="2227"/>
      <c r="S562" s="256"/>
    </row>
    <row r="563" spans="1:19">
      <c r="A563" s="256"/>
      <c r="B563" s="56"/>
      <c r="C563" s="56"/>
      <c r="D563" s="56"/>
      <c r="E563" s="56"/>
      <c r="F563" s="56"/>
      <c r="G563" s="56"/>
      <c r="H563" s="56"/>
      <c r="I563" s="56"/>
      <c r="J563" s="56"/>
      <c r="K563" s="56"/>
      <c r="L563" s="56"/>
      <c r="M563" s="56"/>
      <c r="N563" s="56"/>
      <c r="O563" s="56"/>
      <c r="P563" s="56"/>
      <c r="Q563" s="56"/>
      <c r="R563" s="2227"/>
      <c r="S563" s="256"/>
    </row>
    <row r="564" spans="1:19">
      <c r="A564" s="256"/>
      <c r="B564" s="56"/>
      <c r="C564" s="56"/>
      <c r="D564" s="56"/>
      <c r="E564" s="56"/>
      <c r="F564" s="56"/>
      <c r="G564" s="56"/>
      <c r="H564" s="56"/>
      <c r="I564" s="56"/>
      <c r="J564" s="56"/>
      <c r="K564" s="56"/>
      <c r="L564" s="56"/>
      <c r="M564" s="56"/>
      <c r="N564" s="56"/>
      <c r="O564" s="56"/>
      <c r="P564" s="56"/>
      <c r="Q564" s="56"/>
      <c r="R564" s="2227"/>
      <c r="S564" s="256"/>
    </row>
    <row r="565" spans="1:19">
      <c r="A565" s="256"/>
      <c r="B565" s="56"/>
      <c r="C565" s="56"/>
      <c r="D565" s="56"/>
      <c r="E565" s="56"/>
      <c r="F565" s="56"/>
      <c r="G565" s="56"/>
      <c r="H565" s="56"/>
      <c r="I565" s="56"/>
      <c r="J565" s="56"/>
      <c r="K565" s="56"/>
      <c r="L565" s="56"/>
      <c r="M565" s="56"/>
      <c r="N565" s="56"/>
      <c r="O565" s="56"/>
      <c r="P565" s="56"/>
      <c r="Q565" s="56"/>
      <c r="R565" s="2227"/>
      <c r="S565" s="256"/>
    </row>
    <row r="566" spans="1:19">
      <c r="A566" s="256"/>
      <c r="B566" s="56"/>
      <c r="C566" s="56"/>
      <c r="D566" s="56"/>
      <c r="E566" s="56"/>
      <c r="F566" s="56"/>
      <c r="G566" s="56"/>
      <c r="H566" s="56"/>
      <c r="I566" s="56"/>
      <c r="J566" s="56"/>
      <c r="K566" s="56"/>
      <c r="L566" s="56"/>
      <c r="M566" s="56"/>
      <c r="N566" s="56"/>
      <c r="O566" s="56"/>
      <c r="P566" s="56"/>
      <c r="Q566" s="56"/>
      <c r="R566" s="2227"/>
      <c r="S566" s="256"/>
    </row>
    <row r="567" spans="1:19">
      <c r="A567" s="256"/>
      <c r="B567" s="56"/>
      <c r="C567" s="56"/>
      <c r="D567" s="56"/>
      <c r="E567" s="56"/>
      <c r="F567" s="56"/>
      <c r="G567" s="56"/>
      <c r="H567" s="56"/>
      <c r="I567" s="56"/>
      <c r="J567" s="56"/>
      <c r="K567" s="56"/>
      <c r="L567" s="56"/>
      <c r="M567" s="56"/>
      <c r="N567" s="56"/>
      <c r="O567" s="56"/>
      <c r="P567" s="56"/>
      <c r="Q567" s="56"/>
      <c r="R567" s="2227"/>
      <c r="S567" s="256"/>
    </row>
    <row r="568" spans="1:19">
      <c r="A568" s="256"/>
      <c r="B568" s="56"/>
      <c r="C568" s="56"/>
      <c r="D568" s="56"/>
      <c r="E568" s="56"/>
      <c r="F568" s="56"/>
      <c r="G568" s="56"/>
      <c r="H568" s="56"/>
      <c r="I568" s="56"/>
      <c r="J568" s="56"/>
      <c r="K568" s="56"/>
      <c r="L568" s="56"/>
      <c r="M568" s="56"/>
      <c r="N568" s="56"/>
      <c r="O568" s="56"/>
      <c r="P568" s="56"/>
      <c r="Q568" s="56"/>
      <c r="R568" s="2227"/>
      <c r="S568" s="256"/>
    </row>
    <row r="569" spans="1:19">
      <c r="A569" s="256"/>
      <c r="B569" s="56"/>
      <c r="C569" s="56"/>
      <c r="D569" s="56"/>
      <c r="E569" s="56"/>
      <c r="F569" s="56"/>
      <c r="G569" s="56"/>
      <c r="H569" s="56"/>
      <c r="I569" s="56"/>
      <c r="J569" s="56"/>
      <c r="K569" s="56"/>
      <c r="L569" s="56"/>
      <c r="M569" s="56"/>
      <c r="N569" s="56"/>
      <c r="O569" s="56"/>
      <c r="P569" s="56"/>
      <c r="Q569" s="56"/>
      <c r="R569" s="2227"/>
      <c r="S569" s="256"/>
    </row>
    <row r="570" spans="1:19">
      <c r="A570" s="256"/>
      <c r="B570" s="56"/>
      <c r="C570" s="56"/>
      <c r="D570" s="56"/>
      <c r="E570" s="56"/>
      <c r="F570" s="56"/>
      <c r="G570" s="56"/>
      <c r="H570" s="56"/>
      <c r="I570" s="56"/>
      <c r="J570" s="56"/>
      <c r="K570" s="56"/>
      <c r="L570" s="56"/>
      <c r="M570" s="56"/>
      <c r="N570" s="56"/>
      <c r="O570" s="56"/>
      <c r="P570" s="56"/>
      <c r="Q570" s="56"/>
      <c r="R570" s="2227"/>
      <c r="S570" s="256"/>
    </row>
    <row r="571" spans="1:19">
      <c r="A571" s="256"/>
      <c r="B571" s="56"/>
      <c r="C571" s="56"/>
      <c r="D571" s="56"/>
      <c r="E571" s="56"/>
      <c r="F571" s="56"/>
      <c r="G571" s="56"/>
      <c r="H571" s="56"/>
      <c r="I571" s="56"/>
      <c r="J571" s="56"/>
      <c r="K571" s="56"/>
      <c r="L571" s="56"/>
      <c r="M571" s="56"/>
      <c r="N571" s="56"/>
      <c r="O571" s="56"/>
      <c r="P571" s="56"/>
      <c r="Q571" s="56"/>
      <c r="R571" s="2227"/>
      <c r="S571" s="256"/>
    </row>
    <row r="572" spans="1:19">
      <c r="A572" s="256"/>
      <c r="B572" s="56"/>
      <c r="C572" s="56"/>
      <c r="D572" s="56"/>
      <c r="E572" s="56"/>
      <c r="F572" s="56"/>
      <c r="G572" s="56"/>
      <c r="H572" s="56"/>
      <c r="I572" s="56"/>
      <c r="J572" s="56"/>
      <c r="K572" s="56"/>
      <c r="L572" s="56"/>
      <c r="M572" s="56"/>
      <c r="N572" s="56"/>
      <c r="O572" s="56"/>
      <c r="P572" s="56"/>
      <c r="Q572" s="56"/>
      <c r="R572" s="2227"/>
      <c r="S572" s="256"/>
    </row>
    <row r="573" spans="1:19">
      <c r="A573" s="256"/>
      <c r="B573" s="56"/>
      <c r="C573" s="56"/>
      <c r="D573" s="56"/>
      <c r="E573" s="56"/>
      <c r="F573" s="56"/>
      <c r="G573" s="56"/>
      <c r="H573" s="56"/>
      <c r="I573" s="56"/>
      <c r="J573" s="56"/>
      <c r="K573" s="56"/>
      <c r="L573" s="56"/>
      <c r="M573" s="56"/>
      <c r="N573" s="56"/>
      <c r="O573" s="56"/>
      <c r="P573" s="56"/>
      <c r="Q573" s="56"/>
      <c r="R573" s="2227"/>
      <c r="S573" s="256"/>
    </row>
    <row r="574" spans="1:19">
      <c r="A574" s="256"/>
      <c r="B574" s="56"/>
      <c r="C574" s="56"/>
      <c r="D574" s="56"/>
      <c r="E574" s="56"/>
      <c r="F574" s="56"/>
      <c r="G574" s="56"/>
      <c r="H574" s="56"/>
      <c r="I574" s="56"/>
      <c r="J574" s="56"/>
      <c r="K574" s="56"/>
      <c r="L574" s="56"/>
      <c r="M574" s="56"/>
      <c r="N574" s="56"/>
      <c r="O574" s="56"/>
      <c r="P574" s="56"/>
      <c r="Q574" s="56"/>
      <c r="R574" s="2227"/>
      <c r="S574" s="256"/>
    </row>
    <row r="575" spans="1:19">
      <c r="A575" s="256"/>
      <c r="B575" s="56"/>
      <c r="C575" s="56"/>
      <c r="D575" s="56"/>
      <c r="E575" s="56"/>
      <c r="F575" s="56"/>
      <c r="G575" s="56"/>
      <c r="H575" s="56"/>
      <c r="I575" s="56"/>
      <c r="J575" s="56"/>
      <c r="K575" s="56"/>
      <c r="L575" s="56"/>
      <c r="M575" s="56"/>
      <c r="N575" s="56"/>
      <c r="O575" s="56"/>
      <c r="P575" s="56"/>
      <c r="Q575" s="56"/>
      <c r="R575" s="2227"/>
      <c r="S575" s="256"/>
    </row>
    <row r="576" spans="1:19">
      <c r="A576" s="256"/>
      <c r="B576" s="56"/>
      <c r="C576" s="56"/>
      <c r="D576" s="56"/>
      <c r="E576" s="56"/>
      <c r="F576" s="56"/>
      <c r="G576" s="56"/>
      <c r="H576" s="56"/>
      <c r="I576" s="56"/>
      <c r="J576" s="56"/>
      <c r="K576" s="56"/>
      <c r="L576" s="56"/>
      <c r="M576" s="56"/>
      <c r="N576" s="56"/>
      <c r="O576" s="56"/>
      <c r="P576" s="56"/>
      <c r="Q576" s="56"/>
      <c r="R576" s="2227"/>
      <c r="S576" s="256"/>
    </row>
    <row r="577" spans="1:19">
      <c r="A577" s="256"/>
      <c r="B577" s="56"/>
      <c r="C577" s="56"/>
      <c r="D577" s="56"/>
      <c r="E577" s="56"/>
      <c r="F577" s="56"/>
      <c r="G577" s="56"/>
      <c r="H577" s="56"/>
      <c r="I577" s="56"/>
      <c r="J577" s="56"/>
      <c r="K577" s="56"/>
      <c r="L577" s="56"/>
      <c r="M577" s="56"/>
      <c r="N577" s="56"/>
      <c r="O577" s="56"/>
      <c r="P577" s="56"/>
      <c r="Q577" s="56"/>
      <c r="R577" s="2227"/>
      <c r="S577" s="256"/>
    </row>
    <row r="578" spans="1:19">
      <c r="A578" s="256"/>
      <c r="B578" s="56"/>
      <c r="C578" s="56"/>
      <c r="D578" s="56"/>
      <c r="E578" s="56"/>
      <c r="F578" s="56"/>
      <c r="G578" s="56"/>
      <c r="H578" s="56"/>
      <c r="I578" s="56"/>
      <c r="J578" s="56"/>
      <c r="K578" s="56"/>
      <c r="L578" s="56"/>
      <c r="M578" s="56"/>
      <c r="N578" s="56"/>
      <c r="O578" s="56"/>
      <c r="P578" s="56"/>
      <c r="Q578" s="56"/>
      <c r="R578" s="2227"/>
      <c r="S578" s="256"/>
    </row>
    <row r="579" spans="1:19">
      <c r="A579" s="256"/>
      <c r="B579" s="56"/>
      <c r="C579" s="56"/>
      <c r="D579" s="56"/>
      <c r="E579" s="56"/>
      <c r="F579" s="56"/>
      <c r="G579" s="56"/>
      <c r="H579" s="56"/>
      <c r="I579" s="56"/>
      <c r="J579" s="56"/>
      <c r="K579" s="56"/>
      <c r="L579" s="56"/>
      <c r="M579" s="56"/>
      <c r="N579" s="56"/>
      <c r="O579" s="56"/>
      <c r="P579" s="56"/>
      <c r="Q579" s="56"/>
      <c r="R579" s="2227"/>
      <c r="S579" s="256"/>
    </row>
    <row r="580" spans="1:19">
      <c r="A580" s="256"/>
      <c r="B580" s="56"/>
      <c r="C580" s="56"/>
      <c r="D580" s="56"/>
      <c r="E580" s="56"/>
      <c r="F580" s="56"/>
      <c r="G580" s="56"/>
      <c r="H580" s="56"/>
      <c r="I580" s="56"/>
      <c r="J580" s="56"/>
      <c r="K580" s="56"/>
      <c r="L580" s="56"/>
      <c r="M580" s="56"/>
      <c r="N580" s="56"/>
      <c r="O580" s="56"/>
      <c r="P580" s="56"/>
      <c r="Q580" s="56"/>
      <c r="R580" s="2227"/>
      <c r="S580" s="256"/>
    </row>
    <row r="581" spans="1:19">
      <c r="A581" s="256"/>
      <c r="B581" s="56"/>
      <c r="C581" s="56"/>
      <c r="D581" s="56"/>
      <c r="E581" s="56"/>
      <c r="F581" s="56"/>
      <c r="G581" s="56"/>
      <c r="H581" s="56"/>
      <c r="I581" s="56"/>
      <c r="J581" s="56"/>
      <c r="K581" s="56"/>
      <c r="L581" s="56"/>
      <c r="M581" s="56"/>
      <c r="N581" s="56"/>
      <c r="O581" s="56"/>
      <c r="P581" s="56"/>
      <c r="Q581" s="56"/>
      <c r="R581" s="2227"/>
      <c r="S581" s="256"/>
    </row>
    <row r="582" spans="1:19">
      <c r="A582" s="256"/>
      <c r="B582" s="56"/>
      <c r="C582" s="56"/>
      <c r="D582" s="56"/>
      <c r="E582" s="56"/>
      <c r="F582" s="56"/>
      <c r="G582" s="56"/>
      <c r="H582" s="56"/>
      <c r="I582" s="56"/>
      <c r="J582" s="56"/>
      <c r="K582" s="56"/>
      <c r="L582" s="56"/>
      <c r="M582" s="56"/>
      <c r="N582" s="56"/>
      <c r="O582" s="56"/>
      <c r="P582" s="56"/>
      <c r="Q582" s="56"/>
      <c r="R582" s="2227"/>
      <c r="S582" s="256"/>
    </row>
    <row r="583" spans="1:19">
      <c r="A583" s="256"/>
      <c r="B583" s="56"/>
      <c r="C583" s="56"/>
      <c r="D583" s="56"/>
      <c r="E583" s="56"/>
      <c r="F583" s="56"/>
      <c r="G583" s="56"/>
      <c r="H583" s="56"/>
      <c r="I583" s="56"/>
      <c r="J583" s="56"/>
      <c r="K583" s="56"/>
      <c r="L583" s="56"/>
      <c r="M583" s="56"/>
      <c r="N583" s="56"/>
      <c r="O583" s="56"/>
      <c r="P583" s="56"/>
      <c r="Q583" s="56"/>
      <c r="R583" s="2227"/>
      <c r="S583" s="256"/>
    </row>
    <row r="584" spans="1:19">
      <c r="A584" s="256"/>
      <c r="B584" s="56"/>
      <c r="C584" s="56"/>
      <c r="D584" s="56"/>
      <c r="E584" s="56"/>
      <c r="F584" s="56"/>
      <c r="G584" s="56"/>
      <c r="H584" s="56"/>
      <c r="I584" s="56"/>
      <c r="J584" s="56"/>
      <c r="K584" s="56"/>
      <c r="L584" s="56"/>
      <c r="M584" s="56"/>
      <c r="N584" s="56"/>
      <c r="O584" s="56"/>
      <c r="P584" s="56"/>
      <c r="Q584" s="56"/>
      <c r="R584" s="2227"/>
      <c r="S584" s="256"/>
    </row>
    <row r="585" spans="1:19">
      <c r="A585" s="256"/>
      <c r="B585" s="56"/>
      <c r="C585" s="56"/>
      <c r="D585" s="56"/>
      <c r="E585" s="56"/>
      <c r="F585" s="56"/>
      <c r="G585" s="56"/>
      <c r="H585" s="56"/>
      <c r="I585" s="56"/>
      <c r="J585" s="56"/>
      <c r="K585" s="56"/>
      <c r="L585" s="56"/>
      <c r="M585" s="56"/>
      <c r="N585" s="56"/>
      <c r="O585" s="56"/>
      <c r="P585" s="56"/>
      <c r="Q585" s="56"/>
      <c r="R585" s="2227"/>
      <c r="S585" s="256"/>
    </row>
    <row r="586" spans="1:19">
      <c r="A586" s="256"/>
      <c r="B586" s="56"/>
      <c r="C586" s="56"/>
      <c r="D586" s="56"/>
      <c r="E586" s="56"/>
      <c r="F586" s="56"/>
      <c r="G586" s="56"/>
      <c r="H586" s="56"/>
      <c r="I586" s="56"/>
      <c r="J586" s="56"/>
      <c r="K586" s="56"/>
      <c r="L586" s="56"/>
      <c r="M586" s="56"/>
      <c r="N586" s="56"/>
      <c r="O586" s="56"/>
      <c r="P586" s="56"/>
      <c r="Q586" s="56"/>
      <c r="R586" s="2227"/>
      <c r="S586" s="256"/>
    </row>
    <row r="587" spans="1:19">
      <c r="A587" s="256"/>
      <c r="B587" s="56"/>
      <c r="C587" s="56"/>
      <c r="D587" s="56"/>
      <c r="E587" s="56"/>
      <c r="F587" s="56"/>
      <c r="G587" s="56"/>
      <c r="H587" s="56"/>
      <c r="I587" s="56"/>
      <c r="J587" s="56"/>
      <c r="K587" s="56"/>
      <c r="L587" s="56"/>
      <c r="M587" s="56"/>
      <c r="N587" s="56"/>
      <c r="O587" s="56"/>
      <c r="P587" s="56"/>
      <c r="Q587" s="56"/>
      <c r="R587" s="2227"/>
      <c r="S587" s="256"/>
    </row>
    <row r="588" spans="1:19">
      <c r="A588" s="256"/>
      <c r="B588" s="56"/>
      <c r="C588" s="56"/>
      <c r="D588" s="56"/>
      <c r="E588" s="56"/>
      <c r="F588" s="56"/>
      <c r="G588" s="56"/>
      <c r="H588" s="56"/>
      <c r="I588" s="56"/>
      <c r="J588" s="56"/>
      <c r="K588" s="56"/>
      <c r="L588" s="56"/>
      <c r="M588" s="56"/>
      <c r="N588" s="56"/>
      <c r="O588" s="56"/>
      <c r="P588" s="56"/>
      <c r="Q588" s="56"/>
      <c r="R588" s="2227"/>
      <c r="S588" s="256"/>
    </row>
    <row r="589" spans="1:19">
      <c r="A589" s="256"/>
      <c r="B589" s="56"/>
      <c r="C589" s="56"/>
      <c r="D589" s="56"/>
      <c r="E589" s="56"/>
      <c r="F589" s="56"/>
      <c r="G589" s="56"/>
      <c r="H589" s="56"/>
      <c r="I589" s="56"/>
      <c r="J589" s="56"/>
      <c r="K589" s="56"/>
      <c r="L589" s="56"/>
      <c r="M589" s="56"/>
      <c r="N589" s="56"/>
      <c r="O589" s="56"/>
      <c r="P589" s="56"/>
      <c r="Q589" s="56"/>
      <c r="R589" s="2227"/>
      <c r="S589" s="256"/>
    </row>
    <row r="590" spans="1:19">
      <c r="A590" s="256"/>
      <c r="B590" s="56"/>
      <c r="C590" s="56"/>
      <c r="D590" s="56"/>
      <c r="E590" s="56"/>
      <c r="F590" s="56"/>
      <c r="G590" s="56"/>
      <c r="H590" s="56"/>
      <c r="I590" s="56"/>
      <c r="J590" s="56"/>
      <c r="K590" s="56"/>
      <c r="L590" s="56"/>
      <c r="M590" s="56"/>
      <c r="N590" s="56"/>
      <c r="O590" s="56"/>
      <c r="P590" s="56"/>
      <c r="Q590" s="56"/>
      <c r="R590" s="2227"/>
      <c r="S590" s="256"/>
    </row>
    <row r="591" spans="1:19">
      <c r="A591" s="256"/>
      <c r="B591" s="56"/>
      <c r="C591" s="56"/>
      <c r="D591" s="56"/>
      <c r="E591" s="56"/>
      <c r="F591" s="56"/>
      <c r="G591" s="56"/>
      <c r="H591" s="56"/>
      <c r="I591" s="56"/>
      <c r="J591" s="56"/>
      <c r="K591" s="56"/>
      <c r="L591" s="56"/>
      <c r="M591" s="56"/>
      <c r="N591" s="56"/>
      <c r="O591" s="56"/>
      <c r="P591" s="56"/>
      <c r="Q591" s="56"/>
      <c r="R591" s="2227"/>
      <c r="S591" s="256"/>
    </row>
    <row r="592" spans="1:19">
      <c r="A592" s="256"/>
      <c r="B592" s="56"/>
      <c r="C592" s="56"/>
      <c r="D592" s="56"/>
      <c r="E592" s="56"/>
      <c r="F592" s="56"/>
      <c r="G592" s="56"/>
      <c r="H592" s="56"/>
      <c r="I592" s="56"/>
      <c r="J592" s="56"/>
      <c r="K592" s="56"/>
      <c r="L592" s="56"/>
      <c r="M592" s="56"/>
      <c r="N592" s="56"/>
      <c r="O592" s="56"/>
      <c r="P592" s="56"/>
      <c r="Q592" s="56"/>
      <c r="R592" s="2227"/>
      <c r="S592" s="256"/>
    </row>
    <row r="593" spans="1:19">
      <c r="A593" s="256"/>
      <c r="B593" s="56"/>
      <c r="C593" s="56"/>
      <c r="D593" s="56"/>
      <c r="E593" s="56"/>
      <c r="F593" s="56"/>
      <c r="G593" s="56"/>
      <c r="H593" s="56"/>
      <c r="I593" s="56"/>
      <c r="J593" s="56"/>
      <c r="K593" s="56"/>
      <c r="L593" s="56"/>
      <c r="M593" s="56"/>
      <c r="N593" s="56"/>
      <c r="O593" s="56"/>
      <c r="P593" s="56"/>
      <c r="Q593" s="56"/>
      <c r="R593" s="2227"/>
      <c r="S593" s="256"/>
    </row>
    <row r="594" spans="1:19">
      <c r="A594" s="256"/>
      <c r="B594" s="56"/>
      <c r="C594" s="56"/>
      <c r="D594" s="56"/>
      <c r="E594" s="56"/>
      <c r="F594" s="56"/>
      <c r="G594" s="56"/>
      <c r="H594" s="56"/>
      <c r="I594" s="56"/>
      <c r="J594" s="56"/>
      <c r="K594" s="56"/>
      <c r="L594" s="56"/>
      <c r="M594" s="56"/>
      <c r="N594" s="56"/>
      <c r="O594" s="56"/>
      <c r="P594" s="56"/>
      <c r="Q594" s="56"/>
      <c r="R594" s="2227"/>
      <c r="S594" s="256"/>
    </row>
    <row r="595" spans="1:19">
      <c r="A595" s="256"/>
      <c r="B595" s="56"/>
      <c r="C595" s="56"/>
      <c r="D595" s="56"/>
      <c r="E595" s="56"/>
      <c r="F595" s="56"/>
      <c r="G595" s="56"/>
      <c r="H595" s="56"/>
      <c r="I595" s="56"/>
      <c r="J595" s="56"/>
      <c r="K595" s="56"/>
      <c r="L595" s="56"/>
      <c r="M595" s="56"/>
      <c r="N595" s="56"/>
      <c r="O595" s="56"/>
      <c r="P595" s="56"/>
      <c r="Q595" s="56"/>
      <c r="R595" s="2227"/>
      <c r="S595" s="256"/>
    </row>
    <row r="596" spans="1:19">
      <c r="A596" s="256"/>
      <c r="B596" s="56"/>
      <c r="C596" s="56"/>
      <c r="D596" s="56"/>
      <c r="E596" s="56"/>
      <c r="F596" s="56"/>
      <c r="G596" s="56"/>
      <c r="H596" s="56"/>
      <c r="I596" s="56"/>
      <c r="J596" s="56"/>
      <c r="K596" s="56"/>
      <c r="L596" s="56"/>
      <c r="M596" s="56"/>
      <c r="N596" s="56"/>
      <c r="O596" s="56"/>
      <c r="P596" s="56"/>
      <c r="Q596" s="56"/>
      <c r="R596" s="2227"/>
      <c r="S596" s="256"/>
    </row>
    <row r="597" spans="1:19">
      <c r="A597" s="256"/>
      <c r="B597" s="56"/>
      <c r="C597" s="56"/>
      <c r="D597" s="56"/>
      <c r="E597" s="56"/>
      <c r="F597" s="56"/>
      <c r="G597" s="56"/>
      <c r="H597" s="56"/>
      <c r="I597" s="56"/>
      <c r="J597" s="56"/>
      <c r="K597" s="56"/>
      <c r="L597" s="56"/>
      <c r="M597" s="56"/>
      <c r="N597" s="56"/>
      <c r="O597" s="56"/>
      <c r="P597" s="56"/>
      <c r="Q597" s="56"/>
      <c r="R597" s="2227"/>
      <c r="S597" s="256"/>
    </row>
    <row r="598" spans="1:19">
      <c r="A598" s="256"/>
      <c r="B598" s="56"/>
      <c r="C598" s="56"/>
      <c r="D598" s="56"/>
      <c r="E598" s="56"/>
      <c r="F598" s="56"/>
      <c r="G598" s="56"/>
      <c r="H598" s="56"/>
      <c r="I598" s="56"/>
      <c r="J598" s="56"/>
      <c r="K598" s="56"/>
      <c r="L598" s="56"/>
      <c r="M598" s="56"/>
      <c r="N598" s="56"/>
      <c r="O598" s="56"/>
      <c r="P598" s="56"/>
      <c r="Q598" s="56"/>
      <c r="R598" s="2227"/>
      <c r="S598" s="256"/>
    </row>
    <row r="599" spans="1:19">
      <c r="A599" s="256"/>
      <c r="B599" s="56"/>
      <c r="C599" s="56"/>
      <c r="D599" s="56"/>
      <c r="E599" s="56"/>
      <c r="F599" s="56"/>
      <c r="G599" s="56"/>
      <c r="H599" s="56"/>
      <c r="I599" s="56"/>
      <c r="J599" s="56"/>
      <c r="K599" s="56"/>
      <c r="L599" s="56"/>
      <c r="M599" s="56"/>
      <c r="N599" s="56"/>
      <c r="O599" s="56"/>
      <c r="P599" s="56"/>
      <c r="Q599" s="56"/>
      <c r="R599" s="2227"/>
      <c r="S599" s="256"/>
    </row>
    <row r="600" spans="1:19">
      <c r="A600" s="256"/>
      <c r="B600" s="56"/>
      <c r="C600" s="56"/>
      <c r="D600" s="56"/>
      <c r="E600" s="56"/>
      <c r="F600" s="56"/>
      <c r="G600" s="56"/>
      <c r="H600" s="56"/>
      <c r="I600" s="56"/>
      <c r="J600" s="56"/>
      <c r="K600" s="56"/>
      <c r="L600" s="56"/>
      <c r="M600" s="56"/>
      <c r="N600" s="56"/>
      <c r="O600" s="56"/>
      <c r="P600" s="56"/>
      <c r="Q600" s="56"/>
      <c r="R600" s="2227"/>
      <c r="S600" s="256"/>
    </row>
    <row r="601" spans="1:19">
      <c r="A601" s="256"/>
      <c r="B601" s="56"/>
      <c r="C601" s="56"/>
      <c r="D601" s="56"/>
      <c r="E601" s="56"/>
      <c r="F601" s="56"/>
      <c r="G601" s="56"/>
      <c r="H601" s="56"/>
      <c r="I601" s="56"/>
      <c r="J601" s="56"/>
      <c r="K601" s="56"/>
      <c r="L601" s="56"/>
      <c r="M601" s="56"/>
      <c r="N601" s="56"/>
      <c r="O601" s="56"/>
      <c r="P601" s="56"/>
      <c r="Q601" s="56"/>
      <c r="R601" s="2227"/>
      <c r="S601" s="256"/>
    </row>
    <row r="602" spans="1:19">
      <c r="A602" s="256"/>
      <c r="B602" s="56"/>
      <c r="C602" s="56"/>
      <c r="D602" s="56"/>
      <c r="E602" s="56"/>
      <c r="F602" s="56"/>
      <c r="G602" s="56"/>
      <c r="H602" s="56"/>
      <c r="I602" s="56"/>
      <c r="J602" s="56"/>
      <c r="K602" s="56"/>
      <c r="L602" s="56"/>
      <c r="M602" s="56"/>
      <c r="N602" s="56"/>
      <c r="O602" s="56"/>
      <c r="P602" s="56"/>
      <c r="Q602" s="56"/>
      <c r="R602" s="2227"/>
      <c r="S602" s="256"/>
    </row>
    <row r="603" spans="1:19">
      <c r="A603" s="256"/>
      <c r="B603" s="56"/>
      <c r="C603" s="56"/>
      <c r="D603" s="56"/>
      <c r="E603" s="56"/>
      <c r="F603" s="56"/>
      <c r="G603" s="56"/>
      <c r="H603" s="56"/>
      <c r="I603" s="56"/>
      <c r="J603" s="56"/>
      <c r="K603" s="56"/>
      <c r="L603" s="56"/>
      <c r="M603" s="56"/>
      <c r="N603" s="56"/>
      <c r="O603" s="56"/>
      <c r="P603" s="56"/>
      <c r="Q603" s="56"/>
      <c r="R603" s="2227"/>
      <c r="S603" s="256"/>
    </row>
    <row r="604" spans="1:19">
      <c r="A604" s="256"/>
      <c r="B604" s="56"/>
      <c r="C604" s="56"/>
      <c r="D604" s="56"/>
      <c r="E604" s="56"/>
      <c r="F604" s="56"/>
      <c r="G604" s="56"/>
      <c r="H604" s="56"/>
      <c r="I604" s="56"/>
      <c r="J604" s="56"/>
      <c r="K604" s="56"/>
      <c r="L604" s="56"/>
      <c r="M604" s="56"/>
      <c r="N604" s="56"/>
      <c r="O604" s="56"/>
      <c r="P604" s="56"/>
      <c r="Q604" s="56"/>
      <c r="R604" s="2227"/>
      <c r="S604" s="256"/>
    </row>
    <row r="605" spans="1:19">
      <c r="A605" s="256"/>
      <c r="B605" s="56"/>
      <c r="C605" s="56"/>
      <c r="D605" s="56"/>
      <c r="E605" s="56"/>
      <c r="F605" s="56"/>
      <c r="G605" s="56"/>
      <c r="H605" s="56"/>
      <c r="I605" s="56"/>
      <c r="J605" s="56"/>
      <c r="K605" s="56"/>
      <c r="L605" s="56"/>
      <c r="M605" s="56"/>
      <c r="N605" s="56"/>
      <c r="O605" s="56"/>
      <c r="P605" s="56"/>
      <c r="Q605" s="56"/>
      <c r="R605" s="2227"/>
      <c r="S605" s="256"/>
    </row>
    <row r="606" spans="1:19">
      <c r="A606" s="256"/>
      <c r="B606" s="56"/>
      <c r="C606" s="56"/>
      <c r="D606" s="56"/>
      <c r="E606" s="56"/>
      <c r="F606" s="56"/>
      <c r="G606" s="56"/>
      <c r="H606" s="56"/>
      <c r="I606" s="56"/>
      <c r="J606" s="56"/>
      <c r="K606" s="56"/>
      <c r="L606" s="56"/>
      <c r="M606" s="56"/>
      <c r="N606" s="56"/>
      <c r="O606" s="56"/>
      <c r="P606" s="56"/>
      <c r="Q606" s="56"/>
      <c r="R606" s="2227"/>
      <c r="S606" s="256"/>
    </row>
    <row r="607" spans="1:19">
      <c r="A607" s="256"/>
      <c r="B607" s="56"/>
      <c r="C607" s="56"/>
      <c r="D607" s="56"/>
      <c r="E607" s="56"/>
      <c r="F607" s="56"/>
      <c r="G607" s="56"/>
      <c r="H607" s="56"/>
      <c r="I607" s="56"/>
      <c r="J607" s="56"/>
      <c r="K607" s="56"/>
      <c r="L607" s="56"/>
      <c r="M607" s="56"/>
      <c r="N607" s="56"/>
      <c r="O607" s="56"/>
      <c r="P607" s="56"/>
      <c r="Q607" s="56"/>
      <c r="R607" s="2227"/>
      <c r="S607" s="256"/>
    </row>
    <row r="608" spans="1:19">
      <c r="A608" s="256"/>
      <c r="B608" s="56"/>
      <c r="C608" s="56"/>
      <c r="D608" s="56"/>
      <c r="E608" s="56"/>
      <c r="F608" s="56"/>
      <c r="G608" s="56"/>
      <c r="H608" s="56"/>
      <c r="I608" s="56"/>
      <c r="J608" s="56"/>
      <c r="K608" s="56"/>
      <c r="L608" s="56"/>
      <c r="M608" s="56"/>
      <c r="N608" s="56"/>
      <c r="O608" s="56"/>
      <c r="P608" s="56"/>
      <c r="Q608" s="56"/>
      <c r="R608" s="2227"/>
      <c r="S608" s="256"/>
    </row>
    <row r="609" spans="1:19">
      <c r="A609" s="256"/>
      <c r="B609" s="56"/>
      <c r="C609" s="56"/>
      <c r="D609" s="56"/>
      <c r="E609" s="56"/>
      <c r="F609" s="56"/>
      <c r="G609" s="56"/>
      <c r="H609" s="56"/>
      <c r="I609" s="56"/>
      <c r="J609" s="56"/>
      <c r="K609" s="56"/>
      <c r="L609" s="56"/>
      <c r="M609" s="56"/>
      <c r="N609" s="56"/>
      <c r="O609" s="56"/>
      <c r="P609" s="56"/>
      <c r="Q609" s="56"/>
      <c r="R609" s="2227"/>
      <c r="S609" s="256"/>
    </row>
    <row r="610" spans="1:19">
      <c r="A610" s="256"/>
      <c r="B610" s="56"/>
      <c r="C610" s="56"/>
      <c r="D610" s="56"/>
      <c r="E610" s="56"/>
      <c r="F610" s="56"/>
      <c r="G610" s="56"/>
      <c r="H610" s="56"/>
      <c r="I610" s="56"/>
      <c r="J610" s="56"/>
      <c r="K610" s="56"/>
      <c r="L610" s="56"/>
      <c r="M610" s="56"/>
      <c r="N610" s="56"/>
      <c r="O610" s="56"/>
      <c r="P610" s="56"/>
      <c r="Q610" s="56"/>
      <c r="R610" s="2227"/>
      <c r="S610" s="256"/>
    </row>
    <row r="611" spans="1:19">
      <c r="A611" s="256"/>
      <c r="B611" s="56"/>
      <c r="C611" s="56"/>
      <c r="D611" s="56"/>
      <c r="E611" s="56"/>
      <c r="F611" s="56"/>
      <c r="G611" s="56"/>
      <c r="H611" s="56"/>
      <c r="I611" s="56"/>
      <c r="J611" s="56"/>
      <c r="K611" s="56"/>
      <c r="L611" s="56"/>
      <c r="M611" s="56"/>
      <c r="N611" s="56"/>
      <c r="O611" s="56"/>
      <c r="P611" s="56"/>
      <c r="Q611" s="56"/>
      <c r="R611" s="2227"/>
      <c r="S611" s="256"/>
    </row>
    <row r="612" spans="1:19">
      <c r="A612" s="256"/>
      <c r="B612" s="56"/>
      <c r="C612" s="56"/>
      <c r="D612" s="56"/>
      <c r="E612" s="56"/>
      <c r="F612" s="56"/>
      <c r="G612" s="56"/>
      <c r="H612" s="56"/>
      <c r="I612" s="56"/>
      <c r="J612" s="56"/>
      <c r="K612" s="56"/>
      <c r="L612" s="56"/>
      <c r="M612" s="56"/>
      <c r="N612" s="56"/>
      <c r="O612" s="56"/>
      <c r="P612" s="56"/>
      <c r="Q612" s="56"/>
      <c r="R612" s="2227"/>
      <c r="S612" s="256"/>
    </row>
    <row r="613" spans="1:19">
      <c r="A613" s="256"/>
      <c r="B613" s="56"/>
      <c r="C613" s="56"/>
      <c r="D613" s="56"/>
      <c r="E613" s="56"/>
      <c r="F613" s="56"/>
      <c r="G613" s="56"/>
      <c r="H613" s="56"/>
      <c r="I613" s="56"/>
      <c r="J613" s="56"/>
      <c r="K613" s="56"/>
      <c r="L613" s="56"/>
      <c r="M613" s="56"/>
      <c r="N613" s="56"/>
      <c r="O613" s="56"/>
      <c r="P613" s="56"/>
      <c r="Q613" s="56"/>
      <c r="R613" s="2227"/>
      <c r="S613" s="256"/>
    </row>
    <row r="614" spans="1:19">
      <c r="A614" s="256"/>
      <c r="B614" s="56"/>
      <c r="C614" s="56"/>
      <c r="D614" s="56"/>
      <c r="E614" s="56"/>
      <c r="F614" s="56"/>
      <c r="G614" s="56"/>
      <c r="H614" s="56"/>
      <c r="I614" s="56"/>
      <c r="J614" s="56"/>
      <c r="K614" s="56"/>
      <c r="L614" s="56"/>
      <c r="M614" s="56"/>
      <c r="N614" s="56"/>
      <c r="O614" s="56"/>
      <c r="P614" s="56"/>
      <c r="Q614" s="56"/>
      <c r="R614" s="2227"/>
      <c r="S614" s="256"/>
    </row>
    <row r="615" spans="1:19">
      <c r="A615" s="256"/>
      <c r="B615" s="56"/>
      <c r="C615" s="56"/>
      <c r="D615" s="56"/>
      <c r="E615" s="56"/>
      <c r="F615" s="56"/>
      <c r="G615" s="56"/>
      <c r="H615" s="56"/>
      <c r="I615" s="56"/>
      <c r="J615" s="56"/>
      <c r="K615" s="56"/>
      <c r="L615" s="56"/>
      <c r="M615" s="56"/>
      <c r="N615" s="56"/>
      <c r="O615" s="56"/>
      <c r="P615" s="56"/>
      <c r="Q615" s="56"/>
      <c r="R615" s="2227"/>
      <c r="S615" s="256"/>
    </row>
    <row r="616" spans="1:19">
      <c r="A616" s="256"/>
      <c r="B616" s="56"/>
      <c r="C616" s="56"/>
      <c r="D616" s="56"/>
      <c r="E616" s="56"/>
      <c r="F616" s="56"/>
      <c r="G616" s="56"/>
      <c r="H616" s="56"/>
      <c r="I616" s="56"/>
      <c r="J616" s="56"/>
      <c r="K616" s="56"/>
      <c r="L616" s="56"/>
      <c r="M616" s="56"/>
      <c r="N616" s="56"/>
      <c r="O616" s="56"/>
      <c r="P616" s="56"/>
      <c r="Q616" s="56"/>
      <c r="R616" s="2227"/>
      <c r="S616" s="256"/>
    </row>
    <row r="617" spans="1:19">
      <c r="A617" s="256"/>
      <c r="B617" s="56"/>
      <c r="C617" s="56"/>
      <c r="D617" s="56"/>
      <c r="E617" s="56"/>
      <c r="F617" s="56"/>
      <c r="G617" s="56"/>
      <c r="H617" s="56"/>
      <c r="I617" s="56"/>
      <c r="J617" s="56"/>
      <c r="K617" s="56"/>
      <c r="L617" s="56"/>
      <c r="M617" s="56"/>
      <c r="N617" s="56"/>
      <c r="O617" s="56"/>
      <c r="P617" s="56"/>
      <c r="Q617" s="56"/>
      <c r="R617" s="2227"/>
      <c r="S617" s="256"/>
    </row>
    <row r="618" spans="1:19">
      <c r="A618" s="256"/>
      <c r="B618" s="56"/>
      <c r="C618" s="56"/>
      <c r="D618" s="56"/>
      <c r="E618" s="56"/>
      <c r="F618" s="56"/>
      <c r="G618" s="56"/>
      <c r="H618" s="56"/>
      <c r="I618" s="56"/>
      <c r="J618" s="56"/>
      <c r="K618" s="56"/>
      <c r="L618" s="56"/>
      <c r="M618" s="56"/>
      <c r="N618" s="56"/>
      <c r="O618" s="56"/>
      <c r="P618" s="56"/>
      <c r="Q618" s="56"/>
      <c r="R618" s="2227"/>
      <c r="S618" s="256"/>
    </row>
    <row r="619" spans="1:19">
      <c r="A619" s="256"/>
      <c r="B619" s="56"/>
      <c r="C619" s="56"/>
      <c r="D619" s="56"/>
      <c r="E619" s="56"/>
      <c r="F619" s="56"/>
      <c r="G619" s="56"/>
      <c r="H619" s="56"/>
      <c r="I619" s="56"/>
      <c r="J619" s="56"/>
      <c r="K619" s="56"/>
      <c r="L619" s="56"/>
      <c r="M619" s="56"/>
      <c r="N619" s="56"/>
      <c r="O619" s="56"/>
      <c r="P619" s="56"/>
      <c r="Q619" s="56"/>
      <c r="R619" s="2227"/>
      <c r="S619" s="256"/>
    </row>
    <row r="620" spans="1:19">
      <c r="A620" s="256"/>
      <c r="B620" s="56"/>
      <c r="C620" s="56"/>
      <c r="D620" s="56"/>
      <c r="E620" s="56"/>
      <c r="F620" s="56"/>
      <c r="G620" s="56"/>
      <c r="H620" s="56"/>
      <c r="I620" s="56"/>
      <c r="J620" s="56"/>
      <c r="K620" s="56"/>
      <c r="L620" s="56"/>
      <c r="M620" s="56"/>
      <c r="N620" s="56"/>
      <c r="O620" s="56"/>
      <c r="P620" s="56"/>
      <c r="Q620" s="56"/>
      <c r="R620" s="2227"/>
      <c r="S620" s="256"/>
    </row>
    <row r="621" spans="1:19">
      <c r="A621" s="256"/>
      <c r="B621" s="56"/>
      <c r="C621" s="56"/>
      <c r="D621" s="56"/>
      <c r="E621" s="56"/>
      <c r="F621" s="56"/>
      <c r="G621" s="56"/>
      <c r="H621" s="56"/>
      <c r="I621" s="56"/>
      <c r="J621" s="56"/>
      <c r="K621" s="56"/>
      <c r="L621" s="56"/>
      <c r="M621" s="56"/>
      <c r="N621" s="56"/>
      <c r="O621" s="56"/>
      <c r="P621" s="56"/>
      <c r="Q621" s="56"/>
      <c r="R621" s="2227"/>
      <c r="S621" s="256"/>
    </row>
    <row r="622" spans="1:19">
      <c r="A622" s="256"/>
      <c r="B622" s="56"/>
      <c r="C622" s="56"/>
      <c r="D622" s="56"/>
      <c r="E622" s="56"/>
      <c r="F622" s="56"/>
      <c r="G622" s="56"/>
      <c r="H622" s="56"/>
      <c r="I622" s="56"/>
      <c r="J622" s="56"/>
      <c r="K622" s="56"/>
      <c r="L622" s="56"/>
      <c r="M622" s="56"/>
      <c r="N622" s="56"/>
      <c r="O622" s="56"/>
      <c r="P622" s="56"/>
      <c r="Q622" s="56"/>
      <c r="R622" s="2227"/>
      <c r="S622" s="256"/>
    </row>
    <row r="623" spans="1:19">
      <c r="A623" s="256"/>
      <c r="B623" s="56"/>
      <c r="C623" s="56"/>
      <c r="D623" s="56"/>
      <c r="E623" s="56"/>
      <c r="F623" s="56"/>
      <c r="G623" s="56"/>
      <c r="H623" s="56"/>
      <c r="I623" s="56"/>
      <c r="J623" s="56"/>
      <c r="K623" s="56"/>
      <c r="L623" s="56"/>
      <c r="M623" s="56"/>
      <c r="N623" s="56"/>
      <c r="O623" s="56"/>
      <c r="P623" s="56"/>
      <c r="Q623" s="56"/>
      <c r="R623" s="2227"/>
      <c r="S623" s="256"/>
    </row>
    <row r="624" spans="1:19">
      <c r="A624" s="256"/>
      <c r="B624" s="56"/>
      <c r="C624" s="56"/>
      <c r="D624" s="56"/>
      <c r="E624" s="56"/>
      <c r="F624" s="56"/>
      <c r="G624" s="56"/>
      <c r="H624" s="56"/>
      <c r="I624" s="56"/>
      <c r="J624" s="56"/>
      <c r="K624" s="56"/>
      <c r="L624" s="56"/>
      <c r="M624" s="56"/>
      <c r="N624" s="56"/>
      <c r="O624" s="56"/>
      <c r="P624" s="56"/>
      <c r="Q624" s="56"/>
      <c r="R624" s="2227"/>
      <c r="S624" s="256"/>
    </row>
    <row r="625" spans="1:19">
      <c r="A625" s="256"/>
      <c r="B625" s="56"/>
      <c r="C625" s="56"/>
      <c r="D625" s="56"/>
      <c r="E625" s="56"/>
      <c r="F625" s="56"/>
      <c r="G625" s="56"/>
      <c r="H625" s="56"/>
      <c r="I625" s="56"/>
      <c r="J625" s="56"/>
      <c r="K625" s="56"/>
      <c r="L625" s="56"/>
      <c r="M625" s="56"/>
      <c r="N625" s="56"/>
      <c r="O625" s="56"/>
      <c r="P625" s="56"/>
      <c r="Q625" s="56"/>
      <c r="R625" s="2227"/>
      <c r="S625" s="256"/>
    </row>
    <row r="626" spans="1:19">
      <c r="A626" s="256"/>
      <c r="B626" s="56"/>
      <c r="C626" s="56"/>
      <c r="D626" s="56"/>
      <c r="E626" s="56"/>
      <c r="F626" s="56"/>
      <c r="G626" s="56"/>
      <c r="H626" s="56"/>
      <c r="I626" s="56"/>
      <c r="J626" s="56"/>
      <c r="K626" s="56"/>
      <c r="L626" s="56"/>
      <c r="M626" s="56"/>
      <c r="N626" s="56"/>
      <c r="O626" s="56"/>
      <c r="P626" s="56"/>
      <c r="Q626" s="56"/>
      <c r="R626" s="2227"/>
      <c r="S626" s="256"/>
    </row>
    <row r="627" spans="1:19">
      <c r="A627" s="256"/>
      <c r="B627" s="56"/>
      <c r="C627" s="56"/>
      <c r="D627" s="56"/>
      <c r="E627" s="56"/>
      <c r="F627" s="56"/>
      <c r="G627" s="56"/>
      <c r="H627" s="56"/>
      <c r="I627" s="56"/>
      <c r="J627" s="56"/>
      <c r="K627" s="56"/>
      <c r="L627" s="56"/>
      <c r="M627" s="56"/>
      <c r="N627" s="56"/>
      <c r="O627" s="56"/>
      <c r="P627" s="56"/>
      <c r="Q627" s="56"/>
      <c r="R627" s="2227"/>
      <c r="S627" s="256"/>
    </row>
    <row r="628" spans="1:19">
      <c r="A628" s="256"/>
      <c r="B628" s="56"/>
      <c r="C628" s="56"/>
      <c r="D628" s="56"/>
      <c r="E628" s="56"/>
      <c r="F628" s="56"/>
      <c r="G628" s="56"/>
      <c r="H628" s="56"/>
      <c r="I628" s="56"/>
      <c r="J628" s="56"/>
      <c r="K628" s="56"/>
      <c r="L628" s="56"/>
      <c r="M628" s="56"/>
      <c r="N628" s="56"/>
      <c r="O628" s="56"/>
      <c r="P628" s="56"/>
      <c r="Q628" s="56"/>
      <c r="R628" s="2227"/>
      <c r="S628" s="256"/>
    </row>
    <row r="629" spans="1:19">
      <c r="A629" s="256"/>
      <c r="B629" s="56"/>
      <c r="C629" s="56"/>
      <c r="D629" s="56"/>
      <c r="E629" s="56"/>
      <c r="F629" s="56"/>
      <c r="G629" s="56"/>
      <c r="H629" s="56"/>
      <c r="I629" s="56"/>
      <c r="J629" s="56"/>
      <c r="K629" s="56"/>
      <c r="L629" s="56"/>
      <c r="M629" s="56"/>
      <c r="N629" s="56"/>
      <c r="O629" s="56"/>
      <c r="P629" s="56"/>
      <c r="Q629" s="56"/>
      <c r="R629" s="2227"/>
      <c r="S629" s="256"/>
    </row>
    <row r="630" spans="1:19">
      <c r="A630" s="256"/>
      <c r="B630" s="56"/>
      <c r="C630" s="56"/>
      <c r="D630" s="56"/>
      <c r="E630" s="56"/>
      <c r="F630" s="56"/>
      <c r="G630" s="56"/>
      <c r="H630" s="56"/>
      <c r="I630" s="56"/>
      <c r="J630" s="56"/>
      <c r="K630" s="56"/>
      <c r="L630" s="56"/>
      <c r="M630" s="56"/>
      <c r="N630" s="56"/>
      <c r="O630" s="56"/>
      <c r="P630" s="56"/>
      <c r="Q630" s="56"/>
      <c r="R630" s="2227"/>
      <c r="S630" s="256"/>
    </row>
    <row r="631" spans="1:19">
      <c r="A631" s="256"/>
      <c r="B631" s="56"/>
      <c r="C631" s="56"/>
      <c r="D631" s="56"/>
      <c r="E631" s="56"/>
      <c r="F631" s="56"/>
      <c r="G631" s="56"/>
      <c r="H631" s="56"/>
      <c r="I631" s="56"/>
      <c r="J631" s="56"/>
      <c r="K631" s="56"/>
      <c r="L631" s="56"/>
      <c r="M631" s="56"/>
      <c r="N631" s="56"/>
      <c r="O631" s="56"/>
      <c r="P631" s="56"/>
      <c r="Q631" s="56"/>
      <c r="R631" s="2227"/>
      <c r="S631" s="256"/>
    </row>
    <row r="632" spans="1:19">
      <c r="A632" s="256"/>
      <c r="B632" s="56"/>
      <c r="C632" s="56"/>
      <c r="D632" s="56"/>
      <c r="E632" s="56"/>
      <c r="F632" s="56"/>
      <c r="G632" s="56"/>
      <c r="H632" s="56"/>
      <c r="I632" s="56"/>
      <c r="J632" s="56"/>
      <c r="K632" s="56"/>
      <c r="L632" s="56"/>
      <c r="M632" s="56"/>
      <c r="N632" s="56"/>
      <c r="O632" s="56"/>
      <c r="P632" s="56"/>
      <c r="Q632" s="56"/>
      <c r="R632" s="2227"/>
      <c r="S632" s="256"/>
    </row>
    <row r="633" spans="1:19">
      <c r="A633" s="256"/>
      <c r="B633" s="56"/>
      <c r="C633" s="56"/>
      <c r="D633" s="56"/>
      <c r="E633" s="56"/>
      <c r="F633" s="56"/>
      <c r="G633" s="56"/>
      <c r="H633" s="56"/>
      <c r="I633" s="56"/>
      <c r="J633" s="56"/>
      <c r="K633" s="56"/>
      <c r="L633" s="56"/>
      <c r="M633" s="56"/>
      <c r="N633" s="56"/>
      <c r="O633" s="56"/>
      <c r="P633" s="56"/>
      <c r="Q633" s="56"/>
      <c r="R633" s="2227"/>
      <c r="S633" s="256"/>
    </row>
    <row r="634" spans="1:19">
      <c r="A634" s="256"/>
      <c r="B634" s="56"/>
      <c r="C634" s="56"/>
      <c r="D634" s="56"/>
      <c r="E634" s="56"/>
      <c r="F634" s="56"/>
      <c r="G634" s="56"/>
      <c r="H634" s="56"/>
      <c r="I634" s="56"/>
      <c r="J634" s="56"/>
      <c r="K634" s="56"/>
      <c r="L634" s="56"/>
      <c r="M634" s="56"/>
      <c r="N634" s="56"/>
      <c r="O634" s="56"/>
      <c r="P634" s="56"/>
      <c r="Q634" s="56"/>
      <c r="R634" s="2227"/>
      <c r="S634" s="256"/>
    </row>
    <row r="635" spans="1:19">
      <c r="A635" s="256"/>
      <c r="B635" s="56"/>
      <c r="C635" s="56"/>
      <c r="D635" s="56"/>
      <c r="E635" s="56"/>
      <c r="F635" s="56"/>
      <c r="G635" s="56"/>
      <c r="H635" s="56"/>
      <c r="I635" s="56"/>
      <c r="J635" s="56"/>
      <c r="K635" s="56"/>
      <c r="L635" s="56"/>
      <c r="M635" s="56"/>
      <c r="N635" s="56"/>
      <c r="O635" s="56"/>
      <c r="P635" s="56"/>
      <c r="Q635" s="56"/>
      <c r="R635" s="2227"/>
      <c r="S635" s="256"/>
    </row>
    <row r="636" spans="1:19">
      <c r="A636" s="256"/>
      <c r="B636" s="56"/>
      <c r="C636" s="56"/>
      <c r="D636" s="56"/>
      <c r="E636" s="56"/>
      <c r="F636" s="56"/>
      <c r="G636" s="56"/>
      <c r="H636" s="56"/>
      <c r="I636" s="56"/>
      <c r="J636" s="56"/>
      <c r="K636" s="56"/>
      <c r="L636" s="56"/>
      <c r="M636" s="56"/>
      <c r="N636" s="56"/>
      <c r="O636" s="56"/>
      <c r="P636" s="56"/>
      <c r="Q636" s="56"/>
      <c r="R636" s="2227"/>
      <c r="S636" s="256"/>
    </row>
    <row r="637" spans="1:19">
      <c r="A637" s="256"/>
      <c r="B637" s="56"/>
      <c r="C637" s="56"/>
      <c r="D637" s="56"/>
      <c r="E637" s="56"/>
      <c r="F637" s="56"/>
      <c r="G637" s="56"/>
      <c r="H637" s="56"/>
      <c r="I637" s="56"/>
      <c r="J637" s="56"/>
      <c r="K637" s="56"/>
      <c r="L637" s="56"/>
      <c r="M637" s="56"/>
      <c r="N637" s="56"/>
      <c r="O637" s="56"/>
      <c r="P637" s="56"/>
      <c r="Q637" s="56"/>
      <c r="R637" s="2227"/>
      <c r="S637" s="256"/>
    </row>
    <row r="638" spans="1:19">
      <c r="A638" s="256"/>
      <c r="B638" s="56"/>
      <c r="C638" s="56"/>
      <c r="D638" s="56"/>
      <c r="E638" s="56"/>
      <c r="F638" s="56"/>
      <c r="G638" s="56"/>
      <c r="H638" s="56"/>
      <c r="I638" s="56"/>
      <c r="J638" s="56"/>
      <c r="K638" s="56"/>
      <c r="L638" s="56"/>
      <c r="M638" s="56"/>
      <c r="N638" s="56"/>
      <c r="O638" s="56"/>
      <c r="P638" s="56"/>
      <c r="Q638" s="56"/>
      <c r="R638" s="2227"/>
      <c r="S638" s="256"/>
    </row>
    <row r="639" spans="1:19">
      <c r="A639" s="256"/>
      <c r="B639" s="56"/>
      <c r="C639" s="56"/>
      <c r="D639" s="56"/>
      <c r="E639" s="56"/>
      <c r="F639" s="56"/>
      <c r="G639" s="56"/>
      <c r="H639" s="56"/>
      <c r="I639" s="56"/>
      <c r="J639" s="56"/>
      <c r="K639" s="56"/>
      <c r="L639" s="56"/>
      <c r="M639" s="56"/>
      <c r="N639" s="56"/>
      <c r="O639" s="56"/>
      <c r="P639" s="56"/>
      <c r="Q639" s="56"/>
      <c r="R639" s="2227"/>
      <c r="S639" s="256"/>
    </row>
    <row r="640" spans="1:19">
      <c r="A640" s="256"/>
      <c r="B640" s="56"/>
      <c r="C640" s="56"/>
      <c r="D640" s="56"/>
      <c r="E640" s="56"/>
      <c r="F640" s="56"/>
      <c r="G640" s="56"/>
      <c r="H640" s="56"/>
      <c r="I640" s="56"/>
      <c r="J640" s="56"/>
      <c r="K640" s="56"/>
      <c r="L640" s="56"/>
      <c r="M640" s="56"/>
      <c r="N640" s="56"/>
      <c r="O640" s="56"/>
      <c r="P640" s="56"/>
      <c r="Q640" s="56"/>
      <c r="R640" s="2227"/>
      <c r="S640" s="256"/>
    </row>
    <row r="641" spans="1:19">
      <c r="A641" s="256"/>
      <c r="B641" s="56"/>
      <c r="C641" s="56"/>
      <c r="D641" s="56"/>
      <c r="E641" s="56"/>
      <c r="F641" s="56"/>
      <c r="G641" s="56"/>
      <c r="H641" s="56"/>
      <c r="I641" s="56"/>
      <c r="J641" s="56"/>
      <c r="K641" s="56"/>
      <c r="L641" s="56"/>
      <c r="M641" s="56"/>
      <c r="N641" s="56"/>
      <c r="O641" s="56"/>
      <c r="P641" s="56"/>
      <c r="Q641" s="56"/>
      <c r="R641" s="2227"/>
      <c r="S641" s="256"/>
    </row>
    <row r="642" spans="1:19">
      <c r="A642" s="256"/>
      <c r="B642" s="56"/>
      <c r="C642" s="56"/>
      <c r="D642" s="56"/>
      <c r="E642" s="56"/>
      <c r="F642" s="56"/>
      <c r="G642" s="56"/>
      <c r="H642" s="56"/>
      <c r="I642" s="56"/>
      <c r="J642" s="56"/>
      <c r="K642" s="56"/>
      <c r="L642" s="56"/>
      <c r="M642" s="56"/>
      <c r="N642" s="56"/>
      <c r="O642" s="56"/>
      <c r="P642" s="56"/>
      <c r="Q642" s="56"/>
      <c r="R642" s="2227"/>
      <c r="S642" s="256"/>
    </row>
    <row r="643" spans="1:19">
      <c r="A643" s="256"/>
      <c r="B643" s="56"/>
      <c r="C643" s="56"/>
      <c r="D643" s="56"/>
      <c r="E643" s="56"/>
      <c r="F643" s="56"/>
      <c r="G643" s="56"/>
      <c r="H643" s="56"/>
      <c r="I643" s="56"/>
      <c r="J643" s="56"/>
      <c r="K643" s="56"/>
      <c r="L643" s="56"/>
      <c r="M643" s="56"/>
      <c r="N643" s="56"/>
      <c r="O643" s="56"/>
      <c r="P643" s="56"/>
      <c r="Q643" s="56"/>
      <c r="R643" s="2227"/>
      <c r="S643" s="256"/>
    </row>
    <row r="644" spans="1:19">
      <c r="A644" s="256"/>
      <c r="B644" s="56"/>
      <c r="C644" s="56"/>
      <c r="D644" s="56"/>
      <c r="E644" s="56"/>
      <c r="F644" s="56"/>
      <c r="G644" s="56"/>
      <c r="H644" s="56"/>
      <c r="I644" s="56"/>
      <c r="J644" s="56"/>
      <c r="K644" s="56"/>
      <c r="L644" s="56"/>
      <c r="M644" s="56"/>
      <c r="N644" s="56"/>
      <c r="O644" s="56"/>
      <c r="P644" s="56"/>
      <c r="Q644" s="56"/>
      <c r="R644" s="2227"/>
      <c r="S644" s="256"/>
    </row>
    <row r="645" spans="1:19">
      <c r="A645" s="256"/>
      <c r="B645" s="56"/>
      <c r="C645" s="56"/>
      <c r="D645" s="56"/>
      <c r="E645" s="56"/>
      <c r="F645" s="56"/>
      <c r="G645" s="56"/>
      <c r="H645" s="56"/>
      <c r="I645" s="56"/>
      <c r="J645" s="56"/>
      <c r="K645" s="56"/>
      <c r="L645" s="56"/>
      <c r="M645" s="56"/>
      <c r="N645" s="56"/>
      <c r="O645" s="56"/>
      <c r="P645" s="56"/>
      <c r="Q645" s="56"/>
      <c r="R645" s="2227"/>
      <c r="S645" s="256"/>
    </row>
    <row r="646" spans="1:19">
      <c r="A646" s="256"/>
      <c r="B646" s="56"/>
      <c r="C646" s="56"/>
      <c r="D646" s="56"/>
      <c r="E646" s="56"/>
      <c r="F646" s="56"/>
      <c r="G646" s="56"/>
      <c r="H646" s="56"/>
      <c r="I646" s="56"/>
      <c r="J646" s="56"/>
      <c r="K646" s="56"/>
      <c r="L646" s="56"/>
      <c r="M646" s="56"/>
      <c r="N646" s="56"/>
      <c r="O646" s="56"/>
      <c r="P646" s="56"/>
      <c r="Q646" s="56"/>
      <c r="R646" s="2227"/>
      <c r="S646" s="256"/>
    </row>
    <row r="647" spans="1:19">
      <c r="A647" s="256"/>
      <c r="B647" s="56"/>
      <c r="C647" s="56"/>
      <c r="D647" s="56"/>
      <c r="E647" s="56"/>
      <c r="F647" s="56"/>
      <c r="G647" s="56"/>
      <c r="H647" s="56"/>
      <c r="I647" s="56"/>
      <c r="J647" s="56"/>
      <c r="K647" s="56"/>
      <c r="L647" s="56"/>
      <c r="M647" s="56"/>
      <c r="N647" s="56"/>
      <c r="O647" s="56"/>
      <c r="P647" s="56"/>
      <c r="Q647" s="56"/>
      <c r="R647" s="2227"/>
      <c r="S647" s="256"/>
    </row>
    <row r="648" spans="1:19">
      <c r="A648" s="256"/>
      <c r="B648" s="56"/>
      <c r="C648" s="56"/>
      <c r="D648" s="56"/>
      <c r="E648" s="56"/>
      <c r="F648" s="56"/>
      <c r="G648" s="56"/>
      <c r="H648" s="56"/>
      <c r="I648" s="56"/>
      <c r="J648" s="56"/>
      <c r="K648" s="56"/>
      <c r="L648" s="56"/>
      <c r="M648" s="56"/>
      <c r="N648" s="56"/>
      <c r="O648" s="56"/>
      <c r="P648" s="56"/>
      <c r="Q648" s="56"/>
      <c r="R648" s="2227"/>
      <c r="S648" s="256"/>
    </row>
    <row r="649" spans="1:19">
      <c r="A649" s="256"/>
      <c r="B649" s="56"/>
      <c r="C649" s="56"/>
      <c r="D649" s="56"/>
      <c r="E649" s="56"/>
      <c r="F649" s="56"/>
      <c r="G649" s="56"/>
      <c r="H649" s="56"/>
      <c r="I649" s="56"/>
      <c r="J649" s="56"/>
      <c r="K649" s="56"/>
      <c r="L649" s="56"/>
      <c r="M649" s="56"/>
      <c r="N649" s="56"/>
      <c r="O649" s="56"/>
      <c r="P649" s="56"/>
      <c r="Q649" s="56"/>
      <c r="R649" s="2227"/>
      <c r="S649" s="256"/>
    </row>
    <row r="650" spans="1:19">
      <c r="A650" s="256"/>
      <c r="B650" s="56"/>
      <c r="C650" s="56"/>
      <c r="D650" s="56"/>
      <c r="E650" s="56"/>
      <c r="F650" s="56"/>
      <c r="G650" s="56"/>
      <c r="H650" s="56"/>
      <c r="I650" s="56"/>
      <c r="J650" s="56"/>
      <c r="K650" s="56"/>
      <c r="L650" s="56"/>
      <c r="M650" s="56"/>
      <c r="N650" s="56"/>
      <c r="O650" s="56"/>
      <c r="P650" s="56"/>
      <c r="Q650" s="56"/>
      <c r="R650" s="2227"/>
      <c r="S650" s="256"/>
    </row>
    <row r="651" spans="1:19">
      <c r="A651" s="256"/>
      <c r="B651" s="56"/>
      <c r="C651" s="56"/>
      <c r="D651" s="56"/>
      <c r="E651" s="56"/>
      <c r="F651" s="56"/>
      <c r="G651" s="56"/>
      <c r="H651" s="56"/>
      <c r="I651" s="56"/>
      <c r="J651" s="56"/>
      <c r="K651" s="56"/>
      <c r="L651" s="56"/>
      <c r="M651" s="56"/>
      <c r="N651" s="56"/>
      <c r="O651" s="56"/>
      <c r="P651" s="56"/>
      <c r="Q651" s="56"/>
      <c r="R651" s="2227"/>
      <c r="S651" s="256"/>
    </row>
    <row r="652" spans="1:19">
      <c r="A652" s="256"/>
      <c r="B652" s="56"/>
      <c r="C652" s="56"/>
      <c r="D652" s="56"/>
      <c r="E652" s="56"/>
      <c r="F652" s="56"/>
      <c r="G652" s="56"/>
      <c r="H652" s="56"/>
      <c r="I652" s="56"/>
      <c r="J652" s="56"/>
      <c r="K652" s="56"/>
      <c r="L652" s="56"/>
      <c r="M652" s="56"/>
      <c r="N652" s="56"/>
      <c r="O652" s="56"/>
      <c r="P652" s="56"/>
      <c r="Q652" s="56"/>
      <c r="R652" s="2227"/>
      <c r="S652" s="256"/>
    </row>
    <row r="653" spans="1:19">
      <c r="A653" s="256"/>
      <c r="B653" s="56"/>
      <c r="C653" s="56"/>
      <c r="D653" s="56"/>
      <c r="E653" s="56"/>
      <c r="F653" s="56"/>
      <c r="G653" s="56"/>
      <c r="H653" s="56"/>
      <c r="I653" s="56"/>
      <c r="J653" s="56"/>
      <c r="K653" s="56"/>
      <c r="L653" s="56"/>
      <c r="M653" s="56"/>
      <c r="N653" s="56"/>
      <c r="O653" s="56"/>
      <c r="P653" s="56"/>
      <c r="Q653" s="56"/>
      <c r="R653" s="2227"/>
      <c r="S653" s="256"/>
    </row>
    <row r="654" spans="1:19">
      <c r="A654" s="256"/>
      <c r="B654" s="56"/>
      <c r="C654" s="56"/>
      <c r="D654" s="56"/>
      <c r="E654" s="56"/>
      <c r="F654" s="56"/>
      <c r="G654" s="56"/>
      <c r="H654" s="56"/>
      <c r="I654" s="56"/>
      <c r="J654" s="56"/>
      <c r="K654" s="56"/>
      <c r="L654" s="56"/>
      <c r="M654" s="56"/>
      <c r="N654" s="56"/>
      <c r="O654" s="56"/>
      <c r="P654" s="56"/>
      <c r="Q654" s="56"/>
      <c r="R654" s="2227"/>
      <c r="S654" s="256"/>
    </row>
    <row r="655" spans="1:19">
      <c r="A655" s="256"/>
      <c r="B655" s="56"/>
      <c r="C655" s="56"/>
      <c r="D655" s="56"/>
      <c r="E655" s="56"/>
      <c r="F655" s="56"/>
      <c r="G655" s="56"/>
      <c r="H655" s="56"/>
      <c r="I655" s="56"/>
      <c r="J655" s="56"/>
      <c r="K655" s="56"/>
      <c r="L655" s="56"/>
      <c r="M655" s="56"/>
      <c r="N655" s="56"/>
      <c r="O655" s="56"/>
      <c r="P655" s="56"/>
      <c r="Q655" s="56"/>
      <c r="R655" s="2227"/>
      <c r="S655" s="256"/>
    </row>
    <row r="656" spans="1:19">
      <c r="A656" s="256"/>
      <c r="B656" s="56"/>
      <c r="C656" s="56"/>
      <c r="D656" s="56"/>
      <c r="E656" s="56"/>
      <c r="F656" s="56"/>
      <c r="G656" s="56"/>
      <c r="H656" s="56"/>
      <c r="I656" s="56"/>
      <c r="J656" s="56"/>
      <c r="K656" s="56"/>
      <c r="L656" s="56"/>
      <c r="M656" s="56"/>
      <c r="N656" s="56"/>
      <c r="O656" s="56"/>
      <c r="P656" s="56"/>
      <c r="Q656" s="56"/>
      <c r="R656" s="2227"/>
      <c r="S656" s="256"/>
    </row>
    <row r="657" spans="1:19">
      <c r="A657" s="256"/>
      <c r="B657" s="56"/>
      <c r="C657" s="56"/>
      <c r="D657" s="56"/>
      <c r="E657" s="56"/>
      <c r="F657" s="56"/>
      <c r="G657" s="56"/>
      <c r="H657" s="56"/>
      <c r="I657" s="56"/>
      <c r="J657" s="56"/>
      <c r="K657" s="56"/>
      <c r="L657" s="56"/>
      <c r="M657" s="56"/>
      <c r="N657" s="56"/>
      <c r="O657" s="56"/>
      <c r="P657" s="56"/>
      <c r="Q657" s="56"/>
      <c r="R657" s="2227"/>
      <c r="S657" s="256"/>
    </row>
    <row r="658" spans="1:19">
      <c r="A658" s="256"/>
      <c r="B658" s="56"/>
      <c r="C658" s="56"/>
      <c r="D658" s="56"/>
      <c r="E658" s="56"/>
      <c r="F658" s="56"/>
      <c r="G658" s="56"/>
      <c r="H658" s="56"/>
      <c r="I658" s="56"/>
      <c r="J658" s="56"/>
      <c r="K658" s="56"/>
      <c r="L658" s="56"/>
      <c r="M658" s="56"/>
      <c r="N658" s="56"/>
      <c r="O658" s="56"/>
      <c r="P658" s="56"/>
      <c r="Q658" s="56"/>
      <c r="R658" s="2227"/>
      <c r="S658" s="256"/>
    </row>
    <row r="659" spans="1:19">
      <c r="A659" s="256"/>
      <c r="B659" s="56"/>
      <c r="C659" s="56"/>
      <c r="D659" s="56"/>
      <c r="E659" s="56"/>
      <c r="F659" s="56"/>
      <c r="G659" s="56"/>
      <c r="H659" s="56"/>
      <c r="I659" s="56"/>
      <c r="J659" s="56"/>
      <c r="K659" s="56"/>
      <c r="L659" s="56"/>
      <c r="M659" s="56"/>
      <c r="N659" s="56"/>
      <c r="O659" s="56"/>
      <c r="P659" s="56"/>
      <c r="Q659" s="56"/>
      <c r="R659" s="2227"/>
      <c r="S659" s="256"/>
    </row>
    <row r="660" spans="1:19">
      <c r="A660" s="256"/>
      <c r="B660" s="56"/>
      <c r="C660" s="56"/>
      <c r="D660" s="56"/>
      <c r="E660" s="56"/>
      <c r="F660" s="56"/>
      <c r="G660" s="56"/>
      <c r="H660" s="56"/>
      <c r="I660" s="56"/>
      <c r="J660" s="56"/>
      <c r="K660" s="56"/>
      <c r="L660" s="56"/>
      <c r="M660" s="56"/>
      <c r="N660" s="56"/>
      <c r="O660" s="56"/>
      <c r="P660" s="56"/>
      <c r="Q660" s="56"/>
      <c r="R660" s="2227"/>
      <c r="S660" s="256"/>
    </row>
    <row r="661" spans="1:19">
      <c r="A661" s="256"/>
      <c r="B661" s="56"/>
      <c r="C661" s="56"/>
      <c r="D661" s="56"/>
      <c r="E661" s="56"/>
      <c r="F661" s="56"/>
      <c r="G661" s="56"/>
      <c r="H661" s="56"/>
      <c r="I661" s="56"/>
      <c r="J661" s="56"/>
      <c r="K661" s="56"/>
      <c r="L661" s="56"/>
      <c r="M661" s="56"/>
      <c r="N661" s="56"/>
      <c r="O661" s="56"/>
      <c r="P661" s="56"/>
      <c r="Q661" s="56"/>
      <c r="R661" s="2227"/>
      <c r="S661" s="256"/>
    </row>
    <row r="662" spans="1:19">
      <c r="A662" s="256"/>
      <c r="B662" s="56"/>
      <c r="C662" s="56"/>
      <c r="D662" s="56"/>
      <c r="E662" s="56"/>
      <c r="F662" s="56"/>
      <c r="G662" s="56"/>
      <c r="H662" s="56"/>
      <c r="I662" s="56"/>
      <c r="J662" s="56"/>
      <c r="K662" s="56"/>
      <c r="L662" s="56"/>
      <c r="M662" s="56"/>
      <c r="N662" s="56"/>
      <c r="O662" s="56"/>
      <c r="P662" s="56"/>
      <c r="Q662" s="56"/>
      <c r="R662" s="2227"/>
      <c r="S662" s="256"/>
    </row>
    <row r="663" spans="1:19">
      <c r="A663" s="256"/>
      <c r="B663" s="56"/>
      <c r="C663" s="56"/>
      <c r="D663" s="56"/>
      <c r="E663" s="56"/>
      <c r="F663" s="56"/>
      <c r="G663" s="56"/>
      <c r="H663" s="56"/>
      <c r="I663" s="56"/>
      <c r="J663" s="56"/>
      <c r="K663" s="56"/>
      <c r="L663" s="56"/>
      <c r="M663" s="56"/>
      <c r="N663" s="56"/>
      <c r="O663" s="56"/>
      <c r="P663" s="56"/>
      <c r="Q663" s="56"/>
      <c r="R663" s="2227"/>
      <c r="S663" s="256"/>
    </row>
    <row r="664" spans="1:19">
      <c r="A664" s="256"/>
      <c r="B664" s="56"/>
      <c r="C664" s="56"/>
      <c r="D664" s="56"/>
      <c r="E664" s="56"/>
      <c r="F664" s="56"/>
      <c r="G664" s="56"/>
      <c r="H664" s="56"/>
      <c r="I664" s="56"/>
      <c r="J664" s="56"/>
      <c r="K664" s="56"/>
      <c r="L664" s="56"/>
      <c r="M664" s="56"/>
      <c r="N664" s="56"/>
      <c r="O664" s="56"/>
      <c r="P664" s="56"/>
      <c r="Q664" s="56"/>
      <c r="R664" s="2227"/>
      <c r="S664" s="256"/>
    </row>
    <row r="665" spans="1:19">
      <c r="A665" s="256"/>
      <c r="B665" s="56"/>
      <c r="C665" s="56"/>
      <c r="D665" s="56"/>
      <c r="E665" s="56"/>
      <c r="F665" s="56"/>
      <c r="G665" s="56"/>
      <c r="H665" s="56"/>
      <c r="I665" s="56"/>
      <c r="J665" s="56"/>
      <c r="K665" s="56"/>
      <c r="L665" s="56"/>
      <c r="M665" s="56"/>
      <c r="N665" s="56"/>
      <c r="O665" s="56"/>
      <c r="P665" s="56"/>
      <c r="Q665" s="56"/>
      <c r="R665" s="2227"/>
      <c r="S665" s="256"/>
    </row>
    <row r="666" spans="1:19">
      <c r="A666" s="256"/>
      <c r="B666" s="56"/>
      <c r="C666" s="56"/>
      <c r="D666" s="56"/>
      <c r="E666" s="56"/>
      <c r="F666" s="56"/>
      <c r="G666" s="56"/>
      <c r="H666" s="56"/>
      <c r="I666" s="56"/>
      <c r="J666" s="56"/>
      <c r="K666" s="56"/>
      <c r="L666" s="56"/>
      <c r="M666" s="56"/>
      <c r="N666" s="56"/>
      <c r="O666" s="56"/>
      <c r="P666" s="56"/>
      <c r="Q666" s="56"/>
      <c r="R666" s="2227"/>
      <c r="S666" s="256"/>
    </row>
    <row r="667" spans="1:19">
      <c r="A667" s="256"/>
      <c r="B667" s="56"/>
      <c r="C667" s="56"/>
      <c r="D667" s="56"/>
      <c r="E667" s="56"/>
      <c r="F667" s="56"/>
      <c r="G667" s="56"/>
      <c r="H667" s="56"/>
      <c r="I667" s="56"/>
      <c r="J667" s="56"/>
      <c r="K667" s="56"/>
      <c r="L667" s="56"/>
      <c r="M667" s="56"/>
      <c r="N667" s="56"/>
      <c r="O667" s="56"/>
      <c r="P667" s="56"/>
      <c r="Q667" s="56"/>
      <c r="R667" s="2227"/>
      <c r="S667" s="256"/>
    </row>
    <row r="668" spans="1:19">
      <c r="A668" s="256"/>
      <c r="B668" s="56"/>
      <c r="C668" s="56"/>
      <c r="D668" s="56"/>
      <c r="E668" s="56"/>
      <c r="F668" s="56"/>
      <c r="G668" s="56"/>
      <c r="H668" s="56"/>
      <c r="I668" s="56"/>
      <c r="J668" s="56"/>
      <c r="K668" s="56"/>
      <c r="L668" s="56"/>
      <c r="M668" s="56"/>
      <c r="N668" s="56"/>
      <c r="O668" s="56"/>
      <c r="P668" s="56"/>
      <c r="Q668" s="56"/>
      <c r="R668" s="2227"/>
      <c r="S668" s="256"/>
    </row>
    <row r="669" spans="1:19">
      <c r="A669" s="256"/>
      <c r="B669" s="56"/>
      <c r="C669" s="56"/>
      <c r="D669" s="56"/>
      <c r="E669" s="56"/>
      <c r="F669" s="56"/>
      <c r="G669" s="56"/>
      <c r="H669" s="56"/>
      <c r="I669" s="56"/>
      <c r="J669" s="56"/>
      <c r="K669" s="56"/>
      <c r="L669" s="56"/>
      <c r="M669" s="56"/>
      <c r="N669" s="56"/>
      <c r="O669" s="56"/>
      <c r="P669" s="56"/>
      <c r="Q669" s="56"/>
      <c r="R669" s="2227"/>
      <c r="S669" s="256"/>
    </row>
    <row r="670" spans="1:19">
      <c r="A670" s="256"/>
      <c r="B670" s="56"/>
      <c r="C670" s="56"/>
      <c r="D670" s="56"/>
      <c r="E670" s="56"/>
      <c r="F670" s="56"/>
      <c r="G670" s="56"/>
      <c r="H670" s="56"/>
      <c r="I670" s="56"/>
      <c r="J670" s="56"/>
      <c r="K670" s="56"/>
      <c r="L670" s="56"/>
      <c r="M670" s="56"/>
      <c r="N670" s="56"/>
      <c r="O670" s="56"/>
      <c r="P670" s="56"/>
      <c r="Q670" s="56"/>
      <c r="R670" s="2227"/>
      <c r="S670" s="256"/>
    </row>
    <row r="671" spans="1:19">
      <c r="A671" s="256"/>
      <c r="B671" s="56"/>
      <c r="C671" s="56"/>
      <c r="D671" s="56"/>
      <c r="E671" s="56"/>
      <c r="F671" s="56"/>
      <c r="G671" s="56"/>
      <c r="H671" s="56"/>
      <c r="I671" s="56"/>
      <c r="J671" s="56"/>
      <c r="K671" s="56"/>
      <c r="L671" s="56"/>
      <c r="M671" s="56"/>
      <c r="N671" s="56"/>
      <c r="O671" s="56"/>
      <c r="P671" s="56"/>
      <c r="Q671" s="56"/>
      <c r="R671" s="2227"/>
      <c r="S671" s="256"/>
    </row>
    <row r="672" spans="1:19">
      <c r="A672" s="256"/>
      <c r="B672" s="56"/>
      <c r="C672" s="56"/>
      <c r="D672" s="56"/>
      <c r="E672" s="56"/>
      <c r="F672" s="56"/>
      <c r="G672" s="56"/>
      <c r="H672" s="56"/>
      <c r="I672" s="56"/>
      <c r="J672" s="56"/>
      <c r="K672" s="56"/>
      <c r="L672" s="56"/>
      <c r="M672" s="56"/>
      <c r="N672" s="56"/>
      <c r="O672" s="56"/>
      <c r="P672" s="56"/>
      <c r="Q672" s="56"/>
      <c r="R672" s="2227"/>
      <c r="S672" s="256"/>
    </row>
    <row r="673" spans="1:19">
      <c r="A673" s="256"/>
      <c r="B673" s="56"/>
      <c r="C673" s="56"/>
      <c r="D673" s="56"/>
      <c r="E673" s="56"/>
      <c r="F673" s="56"/>
      <c r="G673" s="56"/>
      <c r="H673" s="56"/>
      <c r="I673" s="56"/>
      <c r="J673" s="56"/>
      <c r="K673" s="56"/>
      <c r="L673" s="56"/>
      <c r="M673" s="56"/>
      <c r="N673" s="56"/>
      <c r="O673" s="56"/>
      <c r="P673" s="56"/>
      <c r="Q673" s="56"/>
      <c r="R673" s="2227"/>
      <c r="S673" s="256"/>
    </row>
    <row r="674" spans="1:19">
      <c r="A674" s="256"/>
      <c r="B674" s="56"/>
      <c r="C674" s="56"/>
      <c r="D674" s="56"/>
      <c r="E674" s="56"/>
      <c r="F674" s="56"/>
      <c r="G674" s="56"/>
      <c r="H674" s="56"/>
      <c r="I674" s="56"/>
      <c r="J674" s="56"/>
      <c r="K674" s="56"/>
      <c r="L674" s="56"/>
      <c r="M674" s="56"/>
      <c r="N674" s="56"/>
      <c r="O674" s="56"/>
      <c r="P674" s="56"/>
      <c r="Q674" s="56"/>
      <c r="R674" s="2227"/>
      <c r="S674" s="256"/>
    </row>
    <row r="675" spans="1:19">
      <c r="A675" s="256"/>
      <c r="B675" s="56"/>
      <c r="C675" s="56"/>
      <c r="D675" s="56"/>
      <c r="E675" s="56"/>
      <c r="F675" s="56"/>
      <c r="G675" s="56"/>
      <c r="H675" s="56"/>
      <c r="I675" s="56"/>
      <c r="J675" s="56"/>
      <c r="K675" s="56"/>
      <c r="L675" s="56"/>
      <c r="M675" s="56"/>
      <c r="N675" s="56"/>
      <c r="O675" s="56"/>
      <c r="P675" s="56"/>
      <c r="Q675" s="56"/>
      <c r="R675" s="2227"/>
      <c r="S675" s="256"/>
    </row>
    <row r="676" spans="1:19">
      <c r="A676" s="256"/>
      <c r="B676" s="56"/>
      <c r="C676" s="56"/>
      <c r="D676" s="56"/>
      <c r="E676" s="56"/>
      <c r="F676" s="56"/>
      <c r="G676" s="56"/>
      <c r="H676" s="56"/>
      <c r="I676" s="56"/>
      <c r="J676" s="56"/>
      <c r="K676" s="56"/>
      <c r="L676" s="56"/>
      <c r="M676" s="56"/>
      <c r="N676" s="56"/>
      <c r="O676" s="56"/>
      <c r="P676" s="56"/>
      <c r="Q676" s="56"/>
      <c r="R676" s="2227"/>
      <c r="S676" s="256"/>
    </row>
    <row r="677" spans="1:19">
      <c r="A677" s="256"/>
      <c r="B677" s="56"/>
      <c r="C677" s="56"/>
      <c r="D677" s="56"/>
      <c r="E677" s="56"/>
      <c r="F677" s="56"/>
      <c r="G677" s="56"/>
      <c r="H677" s="56"/>
      <c r="I677" s="56"/>
      <c r="J677" s="56"/>
      <c r="K677" s="56"/>
      <c r="L677" s="56"/>
      <c r="M677" s="56"/>
      <c r="N677" s="56"/>
      <c r="O677" s="56"/>
      <c r="P677" s="56"/>
      <c r="Q677" s="56"/>
      <c r="R677" s="2227"/>
      <c r="S677" s="256"/>
    </row>
    <row r="678" spans="1:19">
      <c r="A678" s="256"/>
      <c r="B678" s="56"/>
      <c r="C678" s="56"/>
      <c r="D678" s="56"/>
      <c r="E678" s="56"/>
      <c r="F678" s="56"/>
      <c r="G678" s="56"/>
      <c r="H678" s="56"/>
      <c r="I678" s="56"/>
      <c r="J678" s="56"/>
      <c r="K678" s="56"/>
      <c r="L678" s="56"/>
      <c r="M678" s="56"/>
      <c r="N678" s="56"/>
      <c r="O678" s="56"/>
      <c r="P678" s="56"/>
      <c r="Q678" s="56"/>
      <c r="R678" s="2227"/>
      <c r="S678" s="256"/>
    </row>
    <row r="679" spans="1:19">
      <c r="A679" s="256"/>
      <c r="B679" s="56"/>
      <c r="C679" s="56"/>
      <c r="D679" s="56"/>
      <c r="E679" s="56"/>
      <c r="F679" s="56"/>
      <c r="G679" s="56"/>
      <c r="H679" s="56"/>
      <c r="I679" s="56"/>
      <c r="J679" s="56"/>
      <c r="K679" s="56"/>
      <c r="L679" s="56"/>
      <c r="M679" s="56"/>
      <c r="N679" s="56"/>
      <c r="O679" s="56"/>
      <c r="P679" s="56"/>
      <c r="Q679" s="56"/>
      <c r="R679" s="2227"/>
      <c r="S679" s="256"/>
    </row>
    <row r="680" spans="1:19">
      <c r="A680" s="256"/>
      <c r="B680" s="56"/>
      <c r="C680" s="56"/>
      <c r="D680" s="56"/>
      <c r="E680" s="56"/>
      <c r="F680" s="56"/>
      <c r="G680" s="56"/>
      <c r="H680" s="56"/>
      <c r="I680" s="56"/>
      <c r="J680" s="56"/>
      <c r="K680" s="56"/>
      <c r="L680" s="56"/>
      <c r="M680" s="56"/>
      <c r="N680" s="56"/>
      <c r="O680" s="56"/>
      <c r="P680" s="56"/>
      <c r="Q680" s="56"/>
      <c r="R680" s="2227"/>
      <c r="S680" s="256"/>
    </row>
    <row r="681" spans="1:19">
      <c r="A681" s="256"/>
      <c r="B681" s="56"/>
      <c r="C681" s="56"/>
      <c r="D681" s="56"/>
      <c r="E681" s="56"/>
      <c r="F681" s="56"/>
      <c r="G681" s="56"/>
      <c r="H681" s="56"/>
      <c r="I681" s="56"/>
      <c r="J681" s="56"/>
      <c r="K681" s="56"/>
      <c r="L681" s="56"/>
      <c r="M681" s="56"/>
      <c r="N681" s="56"/>
      <c r="O681" s="56"/>
      <c r="P681" s="56"/>
      <c r="Q681" s="56"/>
      <c r="R681" s="2227"/>
      <c r="S681" s="256"/>
    </row>
    <row r="682" spans="1:19">
      <c r="A682" s="256"/>
      <c r="B682" s="56"/>
      <c r="C682" s="56"/>
      <c r="D682" s="56"/>
      <c r="E682" s="56"/>
      <c r="F682" s="56"/>
      <c r="G682" s="56"/>
      <c r="H682" s="56"/>
      <c r="I682" s="56"/>
      <c r="J682" s="56"/>
      <c r="K682" s="56"/>
      <c r="L682" s="56"/>
      <c r="M682" s="56"/>
      <c r="N682" s="56"/>
      <c r="O682" s="56"/>
      <c r="P682" s="56"/>
      <c r="Q682" s="56"/>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2796</v>
      </c>
      <c r="C1" s="3028">
        <f>项目基本情况!D3</f>
        <v>43187</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2827</v>
      </c>
      <c r="C2" s="3029">
        <f>'数据-取费表'!B22</f>
        <v>2</v>
      </c>
      <c r="D2" s="3024" t="s">
        <v>2797</v>
      </c>
      <c r="E2" s="3027">
        <f ca="1">INDIRECT("I"&amp;$I$1)/100</f>
        <v>4.7500000000000001E-2</v>
      </c>
      <c r="G2" s="2964"/>
      <c r="H2" s="2964"/>
      <c r="I2" s="2964" t="s">
        <v>2798</v>
      </c>
      <c r="K2" s="2964"/>
      <c r="L2" s="2964"/>
      <c r="M2" s="2964"/>
      <c r="N2" s="2964" t="s">
        <v>2799</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2829</v>
      </c>
      <c r="C3" s="3026">
        <f>'数据-取费表'!B19</f>
        <v>0</v>
      </c>
      <c r="D3" s="3024" t="s">
        <v>2797</v>
      </c>
      <c r="E3" s="3027">
        <f ca="1">INDIRECT("J"&amp;$J$1)/100</f>
        <v>0</v>
      </c>
      <c r="G3" s="2966" t="s">
        <v>2800</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2828</v>
      </c>
      <c r="C4" s="3027">
        <f ca="1">N4/100</f>
        <v>1.4999999999999999E-2</v>
      </c>
      <c r="G4" s="2972" t="s">
        <v>2801</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2802</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2803</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2804</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2805</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2806</v>
      </c>
      <c r="C10" s="2991"/>
      <c r="D10" s="2991"/>
      <c r="E10" s="2991"/>
      <c r="F10" s="2991"/>
      <c r="G10" s="2991"/>
      <c r="H10" s="2991"/>
      <c r="I10" s="2965"/>
      <c r="J10" s="2965"/>
      <c r="K10" s="2991"/>
      <c r="L10" s="2992" t="s">
        <v>2807</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2808</v>
      </c>
      <c r="C11" s="2996" t="s">
        <v>2809</v>
      </c>
      <c r="D11" s="2997" t="s">
        <v>2810</v>
      </c>
      <c r="E11" s="2998"/>
      <c r="F11" s="2997" t="s">
        <v>2811</v>
      </c>
      <c r="G11" s="2999"/>
      <c r="H11" s="2998"/>
      <c r="I11" s="2997" t="s">
        <v>2812</v>
      </c>
      <c r="J11" s="2998"/>
      <c r="K11" s="2994"/>
      <c r="L11" s="2995" t="s">
        <v>2808</v>
      </c>
      <c r="M11" s="2996" t="s">
        <v>2809</v>
      </c>
      <c r="N11" s="2995" t="s">
        <v>2813</v>
      </c>
      <c r="O11" s="2997" t="s">
        <v>2814</v>
      </c>
      <c r="P11" s="2999"/>
      <c r="Q11" s="2999"/>
      <c r="R11" s="2999"/>
      <c r="S11" s="2999"/>
      <c r="T11" s="2998"/>
      <c r="U11" s="2997" t="s">
        <v>2815</v>
      </c>
      <c r="V11" s="2999"/>
      <c r="W11" s="2998"/>
      <c r="X11" s="2995" t="s">
        <v>2816</v>
      </c>
      <c r="Y11" s="2995" t="s">
        <v>2817</v>
      </c>
      <c r="Z11" s="2995" t="s">
        <v>2818</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2819</v>
      </c>
      <c r="E12" s="3004" t="s">
        <v>2820</v>
      </c>
      <c r="F12" s="3004" t="s">
        <v>2821</v>
      </c>
      <c r="G12" s="3004" t="s">
        <v>2822</v>
      </c>
      <c r="H12" s="3004" t="s">
        <v>2804</v>
      </c>
      <c r="I12" s="3005" t="s">
        <v>2823</v>
      </c>
      <c r="J12" s="3005" t="s">
        <v>2823</v>
      </c>
      <c r="K12" s="3001"/>
      <c r="L12" s="3002"/>
      <c r="M12" s="3003"/>
      <c r="N12" s="3002"/>
      <c r="O12" s="3005" t="s">
        <v>2824</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2825</v>
      </c>
      <c r="C13" s="3009">
        <v>42301</v>
      </c>
      <c r="D13" s="3010">
        <v>4.3499999999999996</v>
      </c>
      <c r="E13" s="3010">
        <v>4.3499999999999996</v>
      </c>
      <c r="F13" s="3010">
        <v>4.75</v>
      </c>
      <c r="G13" s="3010">
        <v>4.75</v>
      </c>
      <c r="H13" s="3010">
        <v>4.9000000000000004</v>
      </c>
      <c r="I13" s="3010">
        <v>2.75</v>
      </c>
      <c r="J13" s="3010">
        <v>3.25</v>
      </c>
      <c r="K13" s="3007"/>
      <c r="L13" s="3008" t="s">
        <v>2825</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2826</v>
      </c>
      <c r="Y42" s="3014" t="s">
        <v>2826</v>
      </c>
      <c r="Z42" s="3014" t="s">
        <v>2826</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2826</v>
      </c>
      <c r="Y43" s="3014" t="s">
        <v>2826</v>
      </c>
      <c r="Z43" s="3014" t="s">
        <v>2826</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2826</v>
      </c>
      <c r="Y44" s="3014" t="s">
        <v>2826</v>
      </c>
      <c r="Z44" s="3014" t="s">
        <v>2826</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2826</v>
      </c>
      <c r="Y45" s="3014" t="s">
        <v>2826</v>
      </c>
      <c r="Z45" s="3014" t="s">
        <v>2826</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2826</v>
      </c>
      <c r="Y46" s="3014" t="s">
        <v>2826</v>
      </c>
      <c r="Z46" s="3014" t="s">
        <v>2826</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2826</v>
      </c>
      <c r="Y47" s="3014" t="s">
        <v>2826</v>
      </c>
      <c r="Z47" s="3014" t="s">
        <v>2826</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2826</v>
      </c>
      <c r="Y48" s="3014" t="s">
        <v>2826</v>
      </c>
      <c r="Z48" s="3014" t="s">
        <v>2826</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2826</v>
      </c>
      <c r="Y49" s="3014" t="s">
        <v>2826</v>
      </c>
      <c r="Z49" s="3014" t="s">
        <v>2826</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2826</v>
      </c>
      <c r="Y50" s="3014" t="s">
        <v>2826</v>
      </c>
      <c r="Z50" s="3014" t="s">
        <v>2826</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2826</v>
      </c>
      <c r="V51" s="3014" t="s">
        <v>2826</v>
      </c>
      <c r="W51" s="3014" t="s">
        <v>2826</v>
      </c>
      <c r="X51" s="3014" t="s">
        <v>2826</v>
      </c>
      <c r="Y51" s="3014" t="s">
        <v>2826</v>
      </c>
      <c r="Z51" s="3014" t="s">
        <v>2826</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2826</v>
      </c>
      <c r="J55" s="3014" t="s">
        <v>2826</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2041</v>
      </c>
      <c r="B1" s="3215"/>
      <c r="C1" s="3215"/>
      <c r="D1" s="3215"/>
      <c r="E1" s="3215"/>
      <c r="F1" s="3215"/>
      <c r="G1" s="3215"/>
      <c r="H1" s="3215"/>
      <c r="I1" s="3215"/>
      <c r="J1" s="3215"/>
      <c r="K1" s="3215"/>
      <c r="L1" s="3215"/>
      <c r="M1" s="3215"/>
      <c r="N1" s="3215"/>
      <c r="O1" s="3215"/>
      <c r="P1" s="3215"/>
      <c r="Q1" s="3215"/>
      <c r="R1" s="3215"/>
    </row>
    <row r="2" spans="1:18">
      <c r="A2" s="1808" t="s">
        <v>2043</v>
      </c>
      <c r="B2" s="1808"/>
      <c r="C2" s="1808"/>
      <c r="D2" s="1808"/>
      <c r="E2" s="1808"/>
      <c r="F2" s="1808"/>
      <c r="G2" s="1808"/>
      <c r="H2" s="1808"/>
      <c r="I2" s="1809"/>
      <c r="J2" s="1809"/>
      <c r="K2" s="1810" t="str">
        <f>"估价期日："&amp;TEXT(项目基本情况!D3,"yyyy年m月d日;;")</f>
        <v>估价期日：2018年3月28日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6" t="s">
        <v>2032</v>
      </c>
      <c r="B3" s="3216" t="s">
        <v>2739</v>
      </c>
      <c r="C3" s="3217" t="s">
        <v>2033</v>
      </c>
      <c r="D3" s="3216" t="s">
        <v>2743</v>
      </c>
      <c r="E3" s="3219" t="s">
        <v>2034</v>
      </c>
      <c r="F3" s="3219"/>
      <c r="G3" s="3219"/>
      <c r="H3" s="3219" t="s">
        <v>2035</v>
      </c>
      <c r="I3" s="3219"/>
      <c r="J3" s="3219"/>
      <c r="K3" s="3217" t="s">
        <v>2036</v>
      </c>
      <c r="L3" s="3217" t="s">
        <v>2037</v>
      </c>
      <c r="M3" s="3216" t="s">
        <v>2740</v>
      </c>
      <c r="N3" s="3218" t="str">
        <f>"（分摊）"&amp;项目基本情况!B16&amp;"国有建设用地使用权面积/㎡"</f>
        <v>（分摊）出让国有建设用地使用权面积/㎡</v>
      </c>
      <c r="O3" s="3216" t="s">
        <v>2066</v>
      </c>
      <c r="P3" s="3217" t="s">
        <v>2046</v>
      </c>
      <c r="Q3" s="3217" t="s">
        <v>2067</v>
      </c>
      <c r="R3" s="3217" t="s">
        <v>2038</v>
      </c>
    </row>
    <row r="4" spans="1:18" ht="36.75" customHeight="1">
      <c r="A4" s="3216"/>
      <c r="B4" s="3216"/>
      <c r="C4" s="3217"/>
      <c r="D4" s="3216"/>
      <c r="E4" s="2672" t="s">
        <v>2045</v>
      </c>
      <c r="F4" s="2672" t="s">
        <v>2752</v>
      </c>
      <c r="G4" s="2672" t="s">
        <v>2039</v>
      </c>
      <c r="H4" s="2672" t="s">
        <v>2040</v>
      </c>
      <c r="I4" s="2672" t="s">
        <v>2753</v>
      </c>
      <c r="J4" s="2672" t="s">
        <v>2039</v>
      </c>
      <c r="K4" s="3217"/>
      <c r="L4" s="3217"/>
      <c r="M4" s="3216"/>
      <c r="N4" s="3218"/>
      <c r="O4" s="3216"/>
      <c r="P4" s="3217"/>
      <c r="Q4" s="3217"/>
      <c r="R4" s="3217"/>
    </row>
    <row r="5" spans="1:18" ht="135" customHeight="1">
      <c r="A5" s="1944" t="s">
        <v>2663</v>
      </c>
      <c r="B5" s="2891" t="s">
        <v>2661</v>
      </c>
      <c r="C5" s="2671">
        <v>22</v>
      </c>
      <c r="D5" s="2670" t="s">
        <v>2662</v>
      </c>
      <c r="E5" s="1811" t="str">
        <f>项目基本情况!B12</f>
        <v>城镇住宅用地</v>
      </c>
      <c r="F5" s="2670">
        <v>258</v>
      </c>
      <c r="G5" s="1811">
        <f>项目基本情况!B13</f>
        <v>0</v>
      </c>
      <c r="H5" s="2670">
        <v>1.5</v>
      </c>
      <c r="I5" s="2670">
        <v>1.5</v>
      </c>
      <c r="J5" s="2670">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42563.17</v>
      </c>
      <c r="O5" s="1811">
        <f>项目基本情况!C21</f>
        <v>217232</v>
      </c>
      <c r="P5" s="1811">
        <f ca="1">结果表!E42</f>
        <v>18895</v>
      </c>
      <c r="Q5" s="1811">
        <f ca="1">结果表!D42</f>
        <v>3702</v>
      </c>
      <c r="R5" s="1812">
        <f ca="1">结果表!C42</f>
        <v>80423</v>
      </c>
    </row>
    <row r="6" spans="1:18">
      <c r="A6" s="3220" t="str">
        <f>IF(项目基本情况!B9="市场价格","——","抵押价格")</f>
        <v>——</v>
      </c>
      <c r="B6" s="3221"/>
      <c r="C6" s="3221"/>
      <c r="D6" s="3221"/>
      <c r="E6" s="3221"/>
      <c r="F6" s="3221"/>
      <c r="G6" s="3221"/>
      <c r="H6" s="3221"/>
      <c r="I6" s="3221"/>
      <c r="J6" s="3221"/>
      <c r="K6" s="3221"/>
      <c r="L6" s="3221"/>
      <c r="M6" s="3221"/>
      <c r="N6" s="3221"/>
      <c r="O6" s="3221"/>
      <c r="P6" s="3221"/>
      <c r="Q6" s="3222"/>
      <c r="R6" s="1813" t="str">
        <f>结果表!O39</f>
        <v>——</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3" t="str">
        <f>结果表!O40</f>
        <v>——</v>
      </c>
    </row>
    <row r="8" spans="1:18">
      <c r="A8" s="3220" t="str">
        <f>IF(项目基本情况!B9="市场价格","——",项目基本情况!E9)</f>
        <v>——</v>
      </c>
      <c r="B8" s="3221"/>
      <c r="C8" s="3221"/>
      <c r="D8" s="3221"/>
      <c r="E8" s="3221"/>
      <c r="F8" s="3221"/>
      <c r="G8" s="3221"/>
      <c r="H8" s="3221"/>
      <c r="I8" s="3221"/>
      <c r="J8" s="3221"/>
      <c r="K8" s="3221"/>
      <c r="L8" s="3221"/>
      <c r="M8" s="3221"/>
      <c r="N8" s="3221"/>
      <c r="O8" s="3221"/>
      <c r="P8" s="3221"/>
      <c r="Q8" s="3222"/>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4" t="s">
        <v>2068</v>
      </c>
      <c r="B1" s="3224"/>
      <c r="C1" s="3224"/>
      <c r="D1" s="3224"/>
    </row>
    <row r="2" spans="1:4" ht="47.25" customHeight="1">
      <c r="A2" s="3225" t="str">
        <f>"1.权利限制："&amp;项目基本情况!L24&amp;"未设定租赁等其他他项权利。"</f>
        <v>1.权利限制：根据估价对象《不动产权证书》复印件、《国有土地使用权》复印件，截至估价期日，估价对象已设定抵押。未设定租赁等其他他项权利。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3" t="s">
        <v>2069</v>
      </c>
      <c r="B5" s="3223"/>
      <c r="C5" s="3223"/>
      <c r="D5" s="3223"/>
    </row>
    <row r="6" spans="1:4">
      <c r="A6" s="3224" t="s">
        <v>2047</v>
      </c>
      <c r="B6" s="3224"/>
      <c r="C6" s="3224"/>
      <c r="D6" s="3224"/>
    </row>
    <row r="7" spans="1:4" ht="33" customHeight="1">
      <c r="A7" s="3224" t="s">
        <v>2581</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4"/>
      <c r="C8" s="3224"/>
      <c r="D8" s="3224"/>
    </row>
    <row r="9" spans="1:4" ht="33.75" customHeight="1">
      <c r="A9" s="3224" t="str">
        <f>IF(项目基本情况!B8="抵押","3.抵押双方在办理抵押登记手续时，应使用本公司出具的正式《土地估价报告》，特提请报告使用者注意。","——")</f>
        <v>——</v>
      </c>
      <c r="B9" s="3224"/>
      <c r="C9" s="3224"/>
      <c r="D9" s="3224"/>
    </row>
    <row r="10" spans="1:4">
      <c r="A10" s="3224" t="str">
        <f>IF(项目基本情况!B8="抵押","4.估价师所知悉的法定优先受偿款情况为：","——")</f>
        <v>——</v>
      </c>
      <c r="B10" s="3224"/>
      <c r="C10" s="3224"/>
      <c r="D10" s="3224"/>
    </row>
    <row r="11" spans="1:4" ht="37.5" customHeight="1">
      <c r="A11" s="3226" t="str">
        <f>IF(项目基本情况!B8="抵押","（1）"&amp;CONCATENATE(项目基本情况!L24,项目基本情况!L25,项目基本情况!L26),"——")</f>
        <v>——</v>
      </c>
      <c r="B11" s="3226"/>
      <c r="C11" s="3226"/>
      <c r="D11" s="3226"/>
    </row>
    <row r="12" spans="1:4" ht="168" customHeight="1">
      <c r="A12" s="3223" t="s">
        <v>2071</v>
      </c>
      <c r="B12" s="3223"/>
      <c r="C12" s="3223"/>
      <c r="D12" s="3223"/>
    </row>
    <row r="13" spans="1:4">
      <c r="A13" s="3227" t="s">
        <v>2754</v>
      </c>
      <c r="B13" s="3227"/>
      <c r="C13" s="3227"/>
      <c r="D13" s="3227"/>
    </row>
    <row r="14" spans="1:4">
      <c r="A14" s="3226" t="str">
        <f>IF(项目基本情况!B8="抵押","综上，"&amp;结果表!K47,"——")</f>
        <v>——</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2710</v>
      </c>
      <c r="B17" s="3224"/>
      <c r="C17" s="3224"/>
      <c r="D17" s="3224"/>
    </row>
    <row r="18" spans="1:4">
      <c r="A18" s="3224" t="s">
        <v>2702</v>
      </c>
      <c r="B18" s="3224"/>
      <c r="C18" s="3224"/>
      <c r="D18" s="3224"/>
    </row>
    <row r="19" spans="1:4">
      <c r="A19" s="2892" t="s">
        <v>2703</v>
      </c>
      <c r="B19" s="2892" t="s">
        <v>2704</v>
      </c>
      <c r="C19" s="2892" t="s">
        <v>2705</v>
      </c>
      <c r="D19" s="2892" t="s">
        <v>2706</v>
      </c>
    </row>
    <row r="20" spans="1:4">
      <c r="A20" s="2892" t="str">
        <f>项目基本情况!B4</f>
        <v>王鹏</v>
      </c>
      <c r="B20" s="2892">
        <f ca="1">项目基本情况!C4</f>
        <v>2002110030</v>
      </c>
      <c r="C20" s="2894"/>
      <c r="D20" s="1801" t="s">
        <v>2711</v>
      </c>
    </row>
    <row r="21" spans="1:4">
      <c r="A21" s="2892" t="str">
        <f>项目基本情况!D4</f>
        <v>郑燚</v>
      </c>
      <c r="B21" s="2892">
        <f>项目基本情况!E4</f>
        <v>2014110011</v>
      </c>
      <c r="C21" s="2894"/>
      <c r="D21" s="1801" t="s">
        <v>2712</v>
      </c>
    </row>
    <row r="23" spans="1:4">
      <c r="A23" s="3224" t="s">
        <v>2707</v>
      </c>
      <c r="B23" s="3224"/>
      <c r="C23" s="3224"/>
      <c r="D23" s="3224"/>
    </row>
    <row r="24" spans="1:4">
      <c r="A24" s="2892" t="s">
        <v>2703</v>
      </c>
      <c r="B24" s="2892" t="s">
        <v>2708</v>
      </c>
      <c r="C24" s="2892" t="s">
        <v>2705</v>
      </c>
      <c r="D24" s="2892" t="s">
        <v>2706</v>
      </c>
    </row>
    <row r="25" spans="1:4">
      <c r="A25" s="2895" t="s">
        <v>2709</v>
      </c>
      <c r="B25" s="2892" t="s">
        <v>953</v>
      </c>
      <c r="C25" s="2894"/>
      <c r="D25" s="1801" t="s">
        <v>2712</v>
      </c>
    </row>
    <row r="29" spans="1:4">
      <c r="D29" s="2893" t="s">
        <v>2042</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35" t="s">
        <v>53</v>
      </c>
      <c r="B15" s="3236" t="s">
        <v>847</v>
      </c>
      <c r="C15" s="3232"/>
    </row>
    <row r="16" spans="1:7" ht="14.25">
      <c r="A16" s="3235"/>
      <c r="B16" s="3233" t="s">
        <v>54</v>
      </c>
      <c r="C16" s="1171" t="s">
        <v>53</v>
      </c>
    </row>
    <row r="17" spans="1:3" ht="14.25">
      <c r="A17" s="3235"/>
      <c r="B17" s="3233"/>
      <c r="C17" s="1171" t="s">
        <v>55</v>
      </c>
    </row>
    <row r="18" spans="1:3" ht="14.25">
      <c r="A18" s="3235"/>
      <c r="B18" s="3233"/>
      <c r="C18" s="1171" t="s">
        <v>56</v>
      </c>
    </row>
    <row r="19" spans="1:3" ht="14.25">
      <c r="A19" s="3235"/>
      <c r="B19" s="3231" t="s">
        <v>57</v>
      </c>
      <c r="C19" s="3232"/>
    </row>
    <row r="20" spans="1:3" ht="14.25">
      <c r="A20" s="1172" t="s">
        <v>58</v>
      </c>
      <c r="B20" s="1173"/>
      <c r="C20" s="1174"/>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5" t="s">
        <v>838</v>
      </c>
    </row>
    <row r="25" spans="1:3" ht="14.25">
      <c r="A25" s="3234"/>
      <c r="B25" s="3238"/>
      <c r="C25" s="1175" t="s">
        <v>839</v>
      </c>
    </row>
    <row r="26" spans="1:3" ht="14.25">
      <c r="A26" s="3234"/>
      <c r="B26" s="3238"/>
      <c r="C26" s="1175" t="s">
        <v>840</v>
      </c>
    </row>
    <row r="27" spans="1:3" ht="14.25">
      <c r="A27" s="3234"/>
      <c r="B27" s="3238"/>
      <c r="C27" s="1175" t="s">
        <v>841</v>
      </c>
    </row>
    <row r="28" spans="1:3" ht="14.25">
      <c r="A28" s="3234"/>
      <c r="B28" s="3238"/>
      <c r="C28" s="1175" t="s">
        <v>842</v>
      </c>
    </row>
    <row r="29" spans="1:3" ht="14.25">
      <c r="A29" s="3234"/>
      <c r="B29" s="3238"/>
      <c r="C29" s="1175" t="s">
        <v>843</v>
      </c>
    </row>
    <row r="30" spans="1:3" ht="14.25">
      <c r="A30" s="3234"/>
      <c r="B30" s="3238"/>
      <c r="C30" s="1175" t="s">
        <v>844</v>
      </c>
    </row>
    <row r="31" spans="1:3" ht="14.25">
      <c r="A31" s="3234"/>
      <c r="B31" s="3238"/>
      <c r="C31" s="1175" t="s">
        <v>845</v>
      </c>
    </row>
    <row r="32" spans="1:3" ht="14.25">
      <c r="A32" s="3234"/>
      <c r="B32" s="3238"/>
      <c r="C32" s="1175" t="s">
        <v>1648</v>
      </c>
    </row>
    <row r="33" spans="1:3" ht="14.25">
      <c r="A33" s="3234"/>
      <c r="B33" s="3228" t="s">
        <v>1654</v>
      </c>
      <c r="C33" s="1175" t="s">
        <v>1649</v>
      </c>
    </row>
    <row r="34" spans="1:3" ht="14.25">
      <c r="A34" s="3234"/>
      <c r="B34" s="3229"/>
      <c r="C34" s="1180" t="s">
        <v>1650</v>
      </c>
    </row>
    <row r="35" spans="1:3" ht="14.25">
      <c r="A35" s="3234"/>
      <c r="B35" s="3229"/>
      <c r="C35" s="1181" t="s">
        <v>1651</v>
      </c>
    </row>
    <row r="36" spans="1:3" ht="14.25">
      <c r="A36" s="3234"/>
      <c r="B36" s="3229"/>
      <c r="C36" s="1181" t="s">
        <v>1652</v>
      </c>
    </row>
    <row r="37" spans="1:3" ht="14.25">
      <c r="A37" s="3234"/>
      <c r="B37" s="3230"/>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43200</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0">
        <v>43849</v>
      </c>
      <c r="D4" s="2344" t="s">
        <v>1916</v>
      </c>
      <c r="E4" s="2344">
        <f ca="1">IF(F4&lt;B2,"已过期",96010014)</f>
        <v>96010014</v>
      </c>
      <c r="F4" s="3031">
        <v>47118</v>
      </c>
    </row>
    <row r="5" spans="1:6" ht="20.25" customHeight="1">
      <c r="A5" s="2344" t="s">
        <v>1917</v>
      </c>
      <c r="B5" s="2344">
        <f ca="1">IF(C5&lt;B2,"已过期",1119970074)</f>
        <v>1119970074</v>
      </c>
      <c r="C5" s="3030">
        <v>43849</v>
      </c>
      <c r="D5" s="2344" t="s">
        <v>1917</v>
      </c>
      <c r="E5" s="2344">
        <f ca="1">IF(F5&lt;B2,"已过期",2002110027)</f>
        <v>2002110027</v>
      </c>
      <c r="F5" s="3031">
        <v>46752</v>
      </c>
    </row>
    <row r="6" spans="1:6" ht="20.25" customHeight="1">
      <c r="A6" s="2344" t="s">
        <v>1918</v>
      </c>
      <c r="B6" s="2344">
        <f ca="1">IF(C6&lt;B2,"已过期",1119970111)</f>
        <v>1119970111</v>
      </c>
      <c r="C6" s="3030">
        <v>43849</v>
      </c>
      <c r="D6" s="2344" t="s">
        <v>1918</v>
      </c>
      <c r="E6" s="2344">
        <f ca="1">IF(F6&lt;B2,"已过期",94010078)</f>
        <v>94010078</v>
      </c>
      <c r="F6" s="3031">
        <v>46387</v>
      </c>
    </row>
    <row r="7" spans="1:6" ht="20.25" customHeight="1">
      <c r="A7" s="2344" t="s">
        <v>1919</v>
      </c>
      <c r="B7" s="2344">
        <f ca="1">IF(C7&lt;B2,"已过期",1120050019)</f>
        <v>1120050019</v>
      </c>
      <c r="C7" s="3030">
        <v>43359</v>
      </c>
      <c r="D7" s="2344" t="s">
        <v>1919</v>
      </c>
      <c r="E7" s="2344">
        <f ca="1">IF(F7&lt;B2,"已过期",2002110030)</f>
        <v>2002110030</v>
      </c>
      <c r="F7" s="3031">
        <v>46387</v>
      </c>
    </row>
    <row r="8" spans="1:6" ht="20.25" customHeight="1">
      <c r="A8" s="2344" t="s">
        <v>1920</v>
      </c>
      <c r="B8" s="2344">
        <f ca="1">IF(C8&lt;B2,"已过期",1120000080)</f>
        <v>1120000080</v>
      </c>
      <c r="C8" s="3030">
        <v>43849</v>
      </c>
      <c r="D8" s="2344" t="s">
        <v>1920</v>
      </c>
      <c r="E8" s="2344">
        <f ca="1">IF(F8&lt;B2,"已过期",2000110082)</f>
        <v>2000110082</v>
      </c>
      <c r="F8" s="3031">
        <v>46387</v>
      </c>
    </row>
    <row r="9" spans="1:6" ht="20.25" customHeight="1">
      <c r="A9" s="2344" t="s">
        <v>1921</v>
      </c>
      <c r="B9" s="2344">
        <f ca="1">IF(C9&lt;B2,"已过期",1419970001)</f>
        <v>1419970001</v>
      </c>
      <c r="C9" s="3030">
        <v>43867</v>
      </c>
      <c r="D9" s="2344" t="s">
        <v>1921</v>
      </c>
      <c r="E9" s="2344">
        <f ca="1">IF(F9&lt;B2,"已过期",2002110125)</f>
        <v>2002110125</v>
      </c>
      <c r="F9" s="3031">
        <v>47118</v>
      </c>
    </row>
    <row r="10" spans="1:6" ht="20.25" customHeight="1">
      <c r="A10" s="2344" t="s">
        <v>1922</v>
      </c>
      <c r="B10" s="2344">
        <f ca="1">IF(C10&lt;B2,"已过期",1120060040)</f>
        <v>1120060040</v>
      </c>
      <c r="C10" s="3030">
        <v>43483</v>
      </c>
      <c r="D10" s="2344" t="s">
        <v>1922</v>
      </c>
      <c r="E10" s="2344">
        <f ca="1">IF(F10&lt;B2,"已过期",2004110096)</f>
        <v>2004110096</v>
      </c>
      <c r="F10" s="3031">
        <v>47118</v>
      </c>
    </row>
    <row r="11" spans="1:6" ht="20.25" customHeight="1">
      <c r="A11" s="2344" t="s">
        <v>1923</v>
      </c>
      <c r="B11" s="2344">
        <f ca="1">IF(C11&lt;B2,"已过期",1120100036)</f>
        <v>1120100036</v>
      </c>
      <c r="C11" s="3030">
        <v>43622</v>
      </c>
      <c r="D11" s="2344" t="s">
        <v>1923</v>
      </c>
      <c r="E11" s="2344">
        <f ca="1">IF(F11&lt;B2,"已过期",2010110070)</f>
        <v>2010110070</v>
      </c>
      <c r="F11" s="3031">
        <v>47907</v>
      </c>
    </row>
    <row r="12" spans="1:6" ht="20.25" customHeight="1">
      <c r="A12" s="2344"/>
      <c r="B12" s="2344"/>
      <c r="C12" s="3030"/>
      <c r="D12" s="2344"/>
      <c r="E12" s="2344"/>
      <c r="F12" s="2344"/>
    </row>
    <row r="13" spans="1:6" ht="20.25" customHeight="1">
      <c r="A13" s="2344" t="s">
        <v>1924</v>
      </c>
      <c r="B13" s="2344">
        <f ca="1">IF(C13&lt;B2,"已过期",1120070131)</f>
        <v>1120070131</v>
      </c>
      <c r="C13" s="3030">
        <v>43814</v>
      </c>
      <c r="D13" s="2344" t="s">
        <v>1924</v>
      </c>
      <c r="E13" s="2344">
        <v>2014110011</v>
      </c>
      <c r="F13" s="3031">
        <v>49302</v>
      </c>
    </row>
    <row r="14" spans="1:6" ht="20.25" customHeight="1">
      <c r="A14" s="2344" t="s">
        <v>1925</v>
      </c>
      <c r="B14" s="2344">
        <f ca="1">IF(C14&lt;B2,"已过期",1120130020)</f>
        <v>1120130020</v>
      </c>
      <c r="C14" s="3030">
        <v>43622</v>
      </c>
      <c r="D14" s="2344"/>
      <c r="E14" s="2344"/>
      <c r="F14" s="2344"/>
    </row>
    <row r="15" spans="1:6" ht="20.25" customHeight="1">
      <c r="A15" s="2344" t="s">
        <v>2580</v>
      </c>
      <c r="B15" s="2344">
        <v>1120070085</v>
      </c>
      <c r="C15" s="3030">
        <v>43814</v>
      </c>
      <c r="D15" s="2344" t="s">
        <v>2580</v>
      </c>
      <c r="E15" s="2344">
        <v>2004110128</v>
      </c>
      <c r="F15" s="3031">
        <v>47118</v>
      </c>
    </row>
    <row r="16" spans="1:6" ht="20.25" customHeight="1">
      <c r="A16" s="2344" t="s">
        <v>1926</v>
      </c>
      <c r="B16" s="2344">
        <f ca="1">IF(C16&lt;B2,"已过期",1120140022)</f>
        <v>1120140022</v>
      </c>
      <c r="C16" s="3030">
        <v>44029</v>
      </c>
      <c r="D16" s="2344" t="s">
        <v>1926</v>
      </c>
      <c r="E16" s="2344">
        <f ca="1">IF(F16&lt;B2,"已过期",2008110059)</f>
        <v>2008110059</v>
      </c>
      <c r="F16" s="3031">
        <v>47177</v>
      </c>
    </row>
    <row r="17" spans="1:7" ht="20.25" customHeight="1">
      <c r="A17" s="2344"/>
      <c r="B17" s="2344"/>
      <c r="C17" s="3030"/>
      <c r="D17" s="2344"/>
      <c r="E17" s="2344"/>
      <c r="F17" s="3031"/>
    </row>
    <row r="18" spans="1:7" ht="20.25" customHeight="1">
      <c r="A18" s="2344"/>
      <c r="B18" s="2344"/>
      <c r="C18" s="3030"/>
      <c r="D18" s="2344"/>
      <c r="E18" s="2344"/>
      <c r="F18" s="3031"/>
    </row>
    <row r="19" spans="1:7" ht="20.25" customHeight="1">
      <c r="A19" s="2344"/>
      <c r="B19" s="2344"/>
      <c r="C19" s="3030"/>
      <c r="D19" s="2344"/>
      <c r="E19" s="2344"/>
      <c r="F19" s="2344"/>
    </row>
    <row r="20" spans="1:7" ht="20.25" customHeight="1">
      <c r="A20" s="2344"/>
      <c r="B20" s="2344"/>
      <c r="C20" s="3030"/>
      <c r="D20" s="2344"/>
      <c r="E20" s="2344"/>
      <c r="F20" s="2344"/>
    </row>
    <row r="21" spans="1:7" ht="20.25" customHeight="1">
      <c r="A21" s="2344"/>
      <c r="B21" s="2344"/>
      <c r="C21" s="3030"/>
      <c r="D21" s="2344" t="s">
        <v>1927</v>
      </c>
      <c r="E21" s="2344">
        <f ca="1">IF(F21&lt;B2,"已过期",2011110090)</f>
        <v>2011110090</v>
      </c>
      <c r="F21" s="3031">
        <v>48302</v>
      </c>
    </row>
    <row r="22" spans="1:7" ht="20.25" customHeight="1">
      <c r="A22" s="2344" t="s">
        <v>1928</v>
      </c>
      <c r="B22" s="2344">
        <f ca="1">IF(C22&lt;B2,"已过期",1120020033)</f>
        <v>1120020033</v>
      </c>
      <c r="C22" s="3030">
        <v>43304</v>
      </c>
      <c r="D22" s="2344" t="s">
        <v>1928</v>
      </c>
      <c r="E22" s="2344">
        <f ca="1">IF(F22&lt;B2,"已过期",2000110137)</f>
        <v>2000110137</v>
      </c>
      <c r="F22" s="3031">
        <v>46387</v>
      </c>
    </row>
    <row r="23" spans="1:7" ht="20.25" customHeight="1">
      <c r="A23" s="2344" t="s">
        <v>1929</v>
      </c>
      <c r="B23" s="2344">
        <f ca="1">IF(C23&lt;B2,"已过期",1120130048)</f>
        <v>1120130048</v>
      </c>
      <c r="C23" s="3030">
        <v>43686</v>
      </c>
      <c r="D23" s="2344"/>
      <c r="E23" s="2344"/>
      <c r="F23" s="2344"/>
    </row>
    <row r="24" spans="1:7" s="2348" customFormat="1" ht="20.25" customHeight="1">
      <c r="A24" s="2346" t="s">
        <v>2056</v>
      </c>
      <c r="B24" s="2346" t="s">
        <v>2056</v>
      </c>
      <c r="C24" s="3030"/>
      <c r="D24" s="3032" t="s">
        <v>2056</v>
      </c>
      <c r="E24" s="2346" t="s">
        <v>2056</v>
      </c>
      <c r="F24" s="2347"/>
    </row>
    <row r="25" spans="1:7" ht="20.25" customHeight="1">
      <c r="A25" s="3239" t="s">
        <v>1930</v>
      </c>
      <c r="B25" s="3239"/>
      <c r="C25" s="3239"/>
      <c r="D25" s="3239"/>
      <c r="E25" s="3239"/>
      <c r="F25" s="3239"/>
      <c r="G25" s="3239"/>
    </row>
    <row r="26" spans="1:7" ht="20.25" customHeight="1">
      <c r="A26" s="3240" t="s">
        <v>1931</v>
      </c>
      <c r="B26" s="3240"/>
      <c r="C26" s="3240"/>
      <c r="D26" s="3240" t="s">
        <v>1932</v>
      </c>
      <c r="E26" s="3240"/>
      <c r="F26" s="3240"/>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2953</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G7" sqref="G7:G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2645" t="s">
        <v>720</v>
      </c>
      <c r="C1" s="2646" t="s">
        <v>721</v>
      </c>
      <c r="D1" s="2647" t="s">
        <v>3222</v>
      </c>
      <c r="E1" s="2648"/>
      <c r="F1" s="2831" t="s">
        <v>3054</v>
      </c>
      <c r="G1" s="1601" t="s">
        <v>722</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467</v>
      </c>
      <c r="B2" s="2644">
        <f>ROUND(B3*D3/10000,0)</f>
        <v>168336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11" t="s">
        <v>520</v>
      </c>
      <c r="B3" s="852">
        <f>C49</f>
        <v>10872</v>
      </c>
      <c r="C3" s="853" t="s">
        <v>723</v>
      </c>
      <c r="D3" s="852">
        <f>SUMIF('数据-汇总表'!$C19:$C33,D1,'数据-汇总表'!$E19:$E33)</f>
        <v>154834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4" t="s">
        <v>522</v>
      </c>
      <c r="B4" s="515"/>
      <c r="C4" s="3265" t="s">
        <v>523</v>
      </c>
      <c r="D4" s="3266"/>
      <c r="E4" s="3267" t="s">
        <v>524</v>
      </c>
      <c r="F4" s="3268"/>
      <c r="G4" s="3265" t="s">
        <v>525</v>
      </c>
      <c r="H4" s="3266"/>
      <c r="I4" s="3265" t="s">
        <v>526</v>
      </c>
      <c r="J4" s="3266"/>
      <c r="K4" s="854" t="s">
        <v>527</v>
      </c>
      <c r="L4" s="2134"/>
      <c r="M4" s="2135"/>
      <c r="N4" s="2135"/>
      <c r="O4" s="2135"/>
      <c r="P4" s="3269" t="s">
        <v>528</v>
      </c>
      <c r="Q4" s="3270"/>
      <c r="R4" s="3255" t="s">
        <v>524</v>
      </c>
      <c r="S4" s="3256"/>
      <c r="T4" s="3255" t="s">
        <v>525</v>
      </c>
      <c r="U4" s="3256"/>
      <c r="V4" s="3254" t="s">
        <v>526</v>
      </c>
      <c r="W4" s="3254"/>
      <c r="X4" s="3204"/>
      <c r="Y4" s="3255" t="s">
        <v>528</v>
      </c>
      <c r="Z4" s="3256"/>
      <c r="AA4" s="3261" t="s">
        <v>524</v>
      </c>
      <c r="AB4" s="3261" t="s">
        <v>525</v>
      </c>
      <c r="AC4" s="3261" t="s">
        <v>526</v>
      </c>
    </row>
    <row r="5" spans="1:29" ht="15" customHeight="1">
      <c r="A5" s="517"/>
      <c r="B5" s="518"/>
      <c r="C5" s="3275" t="s">
        <v>2937</v>
      </c>
      <c r="D5" s="3276"/>
      <c r="E5" s="3277" t="s">
        <v>3233</v>
      </c>
      <c r="F5" s="3278"/>
      <c r="G5" s="3279" t="s">
        <v>3244</v>
      </c>
      <c r="H5" s="3280"/>
      <c r="I5" s="3279" t="s">
        <v>3241</v>
      </c>
      <c r="J5" s="3280"/>
      <c r="K5" s="855"/>
      <c r="L5" s="2134"/>
      <c r="M5" s="2135"/>
      <c r="N5" s="2135"/>
      <c r="O5" s="2135"/>
      <c r="P5" s="3271"/>
      <c r="Q5" s="3272"/>
      <c r="R5" s="3257"/>
      <c r="S5" s="3258"/>
      <c r="T5" s="3257"/>
      <c r="U5" s="3258"/>
      <c r="V5" s="3254"/>
      <c r="W5" s="3254"/>
      <c r="X5" s="3204"/>
      <c r="Y5" s="3257"/>
      <c r="Z5" s="3258"/>
      <c r="AA5" s="3262"/>
      <c r="AB5" s="3262"/>
      <c r="AC5" s="3262"/>
    </row>
    <row r="6" spans="1:29" ht="27.75" customHeight="1" thickBot="1">
      <c r="A6" s="519"/>
      <c r="B6" s="520"/>
      <c r="C6" s="3281" t="s">
        <v>2941</v>
      </c>
      <c r="D6" s="3282"/>
      <c r="E6" s="3283" t="s">
        <v>3234</v>
      </c>
      <c r="F6" s="3284"/>
      <c r="G6" s="3285" t="s">
        <v>3245</v>
      </c>
      <c r="H6" s="3286"/>
      <c r="I6" s="3285" t="s">
        <v>3242</v>
      </c>
      <c r="J6" s="3286"/>
      <c r="K6" s="855" t="s">
        <v>529</v>
      </c>
      <c r="L6" s="2134"/>
      <c r="M6" s="2135"/>
      <c r="N6" s="2135"/>
      <c r="O6" s="2135"/>
      <c r="P6" s="3273"/>
      <c r="Q6" s="3274"/>
      <c r="R6" s="3257"/>
      <c r="S6" s="3258"/>
      <c r="T6" s="3259"/>
      <c r="U6" s="3260"/>
      <c r="V6" s="3254"/>
      <c r="W6" s="3254"/>
      <c r="X6" s="3204"/>
      <c r="Y6" s="3259"/>
      <c r="Z6" s="3260"/>
      <c r="AA6" s="3263"/>
      <c r="AB6" s="3263"/>
      <c r="AC6" s="3263"/>
    </row>
    <row r="7" spans="1:29" s="1219" customFormat="1" ht="15.75" thickBot="1">
      <c r="A7" s="2936"/>
      <c r="B7" s="2943" t="s">
        <v>530</v>
      </c>
      <c r="C7" s="521">
        <f>'数据-取费表'!B2</f>
        <v>43187</v>
      </c>
      <c r="D7" s="522">
        <v>100</v>
      </c>
      <c r="E7" s="3189">
        <v>43187</v>
      </c>
      <c r="F7" s="524">
        <f>SUMIF(58:58,YEAR(E7)&amp;"-"&amp;MONTH(E7),59:59)</f>
        <v>100</v>
      </c>
      <c r="G7" s="3189">
        <v>43187</v>
      </c>
      <c r="H7" s="522">
        <f>SUMIF(58:58,YEAR(G7)&amp;"-"&amp;MONTH(G7),59:59)</f>
        <v>100</v>
      </c>
      <c r="I7" s="3189">
        <v>43187</v>
      </c>
      <c r="J7" s="522">
        <f>SUMIF(58:58,YEAR(I7)&amp;"-"&amp;MONTH(I7),59:59)</f>
        <v>100</v>
      </c>
      <c r="K7" s="856"/>
      <c r="L7" s="2136"/>
      <c r="M7" s="2137"/>
      <c r="N7" s="2137"/>
      <c r="O7" s="2137"/>
      <c r="P7" s="3251" t="s">
        <v>531</v>
      </c>
      <c r="Q7" s="3264"/>
      <c r="R7" s="1568" t="s">
        <v>13</v>
      </c>
      <c r="S7" s="1569">
        <f t="shared" ref="S7:S15" si="0">F7</f>
        <v>100</v>
      </c>
      <c r="T7" s="1568" t="s">
        <v>13</v>
      </c>
      <c r="U7" s="1569">
        <f t="shared" ref="U7:U15" si="1">H7</f>
        <v>100</v>
      </c>
      <c r="V7" s="1568" t="s">
        <v>13</v>
      </c>
      <c r="W7" s="1569">
        <f t="shared" ref="W7:W15" si="2">J7</f>
        <v>100</v>
      </c>
      <c r="X7" s="1570"/>
      <c r="Y7" s="3251" t="s">
        <v>531</v>
      </c>
      <c r="Z7" s="3252"/>
      <c r="AA7" s="1571">
        <f>D7/F7</f>
        <v>1</v>
      </c>
      <c r="AB7" s="1571">
        <f>D7/H7</f>
        <v>1</v>
      </c>
      <c r="AC7" s="1571">
        <f>D7/J7</f>
        <v>1</v>
      </c>
    </row>
    <row r="8" spans="1:29" s="1219" customFormat="1" ht="15.75" thickBot="1">
      <c r="A8" s="2937"/>
      <c r="B8" s="2944" t="s">
        <v>532</v>
      </c>
      <c r="C8" s="527" t="s">
        <v>577</v>
      </c>
      <c r="D8" s="522">
        <v>100</v>
      </c>
      <c r="E8" s="3190" t="s">
        <v>2984</v>
      </c>
      <c r="F8" s="524">
        <f>SUMIF(61:61,E8,62:62)-SUMIF(61:61,C8,62:62)+100</f>
        <v>100</v>
      </c>
      <c r="G8" s="3198" t="s">
        <v>3230</v>
      </c>
      <c r="H8" s="522">
        <f>SUMIF(61:61,G8,62:62)-SUMIF(61:61,C8,62:62)+100</f>
        <v>100</v>
      </c>
      <c r="I8" s="3198" t="s">
        <v>3230</v>
      </c>
      <c r="J8" s="522">
        <f>SUMIF(61:61,I8,62:62)-SUMIF(61:61,C8,62:62)+100</f>
        <v>100</v>
      </c>
      <c r="K8" s="856"/>
      <c r="L8" s="2136"/>
      <c r="M8" s="2137"/>
      <c r="N8" s="2137"/>
      <c r="O8" s="2137"/>
      <c r="P8" s="3251" t="s">
        <v>534</v>
      </c>
      <c r="Q8" s="3252"/>
      <c r="R8" s="1568" t="s">
        <v>13</v>
      </c>
      <c r="S8" s="1569">
        <f t="shared" si="0"/>
        <v>100</v>
      </c>
      <c r="T8" s="1568" t="s">
        <v>13</v>
      </c>
      <c r="U8" s="1569">
        <f t="shared" si="1"/>
        <v>100</v>
      </c>
      <c r="V8" s="1568" t="s">
        <v>13</v>
      </c>
      <c r="W8" s="1569">
        <f t="shared" si="2"/>
        <v>100</v>
      </c>
      <c r="X8" s="1570"/>
      <c r="Y8" s="3251" t="s">
        <v>534</v>
      </c>
      <c r="Z8" s="3252"/>
      <c r="AA8" s="1571">
        <f t="shared" ref="AA8:AA46" si="3">D8/F8</f>
        <v>1</v>
      </c>
      <c r="AB8" s="1571">
        <f t="shared" ref="AB8:AB46" si="4">D8/H8</f>
        <v>1</v>
      </c>
      <c r="AC8" s="1571">
        <f t="shared" ref="AC8:AC46" si="5">D8/J8</f>
        <v>1</v>
      </c>
    </row>
    <row r="9" spans="1:29" s="1219" customFormat="1" ht="15">
      <c r="A9" s="2938"/>
      <c r="B9" s="2945" t="s">
        <v>2764</v>
      </c>
      <c r="C9" s="3165" t="s">
        <v>3038</v>
      </c>
      <c r="D9" s="253">
        <v>100</v>
      </c>
      <c r="E9" s="3191" t="s">
        <v>924</v>
      </c>
      <c r="F9" s="860">
        <f>SUMIF(63:63,E9,64:64)-SUMIF(63:63,C9,64:64)+100</f>
        <v>100</v>
      </c>
      <c r="G9" s="3191" t="s">
        <v>924</v>
      </c>
      <c r="H9" s="253">
        <f>SUMIF(63:63,G9,64:64)-SUMIF(63:63,C9,64:64)+100</f>
        <v>100</v>
      </c>
      <c r="I9" s="3191" t="s">
        <v>924</v>
      </c>
      <c r="J9" s="253">
        <f>SUMIF(63:63,I9,64:64)-SUMIF(63:63,C9,64:64)+100</f>
        <v>100</v>
      </c>
      <c r="K9" s="856"/>
      <c r="L9" s="2136"/>
      <c r="M9" s="2137"/>
      <c r="N9" s="2137"/>
      <c r="O9" s="2138"/>
      <c r="P9" s="3241" t="s">
        <v>536</v>
      </c>
      <c r="Q9" s="3201" t="str">
        <f t="shared" ref="Q9:Q15" si="6">B9</f>
        <v>用途</v>
      </c>
      <c r="R9" s="1568" t="s">
        <v>8</v>
      </c>
      <c r="S9" s="1569">
        <f t="shared" si="0"/>
        <v>100</v>
      </c>
      <c r="T9" s="1568" t="s">
        <v>8</v>
      </c>
      <c r="U9" s="1569">
        <f t="shared" si="1"/>
        <v>100</v>
      </c>
      <c r="V9" s="1568" t="s">
        <v>8</v>
      </c>
      <c r="W9" s="1569">
        <f t="shared" si="2"/>
        <v>100</v>
      </c>
      <c r="X9" s="1570"/>
      <c r="Y9" s="3253" t="s">
        <v>537</v>
      </c>
      <c r="Z9" s="3200" t="str">
        <f t="shared" ref="Z9:Z15" si="7">Q9</f>
        <v>用途</v>
      </c>
      <c r="AA9" s="1571">
        <f t="shared" si="3"/>
        <v>1</v>
      </c>
      <c r="AB9" s="1571">
        <f t="shared" si="4"/>
        <v>1</v>
      </c>
      <c r="AC9" s="1571">
        <f t="shared" si="5"/>
        <v>1</v>
      </c>
    </row>
    <row r="10" spans="1:29" s="1337" customFormat="1" ht="27">
      <c r="A10" s="2939"/>
      <c r="B10" s="2944" t="s">
        <v>2765</v>
      </c>
      <c r="C10" s="862" t="s">
        <v>3051</v>
      </c>
      <c r="D10" s="254">
        <v>100</v>
      </c>
      <c r="E10" s="3192" t="s">
        <v>3051</v>
      </c>
      <c r="F10" s="864">
        <f>SUMIF(65:65,E10,66:66)-SUMIF(65:65,C10,66:66)+100</f>
        <v>100</v>
      </c>
      <c r="G10" s="3199" t="s">
        <v>3051</v>
      </c>
      <c r="H10" s="254">
        <f>SUMIF(65:65,G10,66:66)-SUMIF(65:65,C10,66:66)+100</f>
        <v>100</v>
      </c>
      <c r="I10" s="3199" t="s">
        <v>3051</v>
      </c>
      <c r="J10" s="254">
        <f>SUMIF(65:65,I10,66:66)-SUMIF(65:65,C10,66:66)+100</f>
        <v>100</v>
      </c>
      <c r="K10" s="865">
        <v>1</v>
      </c>
      <c r="L10" s="2139"/>
      <c r="M10" s="2179"/>
      <c r="N10" s="2179"/>
      <c r="O10" s="2140"/>
      <c r="P10" s="3241"/>
      <c r="Q10" s="3201" t="str">
        <f t="shared" si="6"/>
        <v>土地使用年限（年）</v>
      </c>
      <c r="R10" s="1568" t="s">
        <v>8</v>
      </c>
      <c r="S10" s="1569">
        <f t="shared" si="0"/>
        <v>100</v>
      </c>
      <c r="T10" s="1568" t="s">
        <v>8</v>
      </c>
      <c r="U10" s="1569">
        <f t="shared" si="1"/>
        <v>100</v>
      </c>
      <c r="V10" s="1568" t="s">
        <v>8</v>
      </c>
      <c r="W10" s="1569">
        <f t="shared" si="2"/>
        <v>100</v>
      </c>
      <c r="X10" s="1570"/>
      <c r="Y10" s="3253"/>
      <c r="Z10" s="3200" t="str">
        <f t="shared" si="7"/>
        <v>土地使用年限（年）</v>
      </c>
      <c r="AA10" s="1571">
        <f t="shared" si="3"/>
        <v>1</v>
      </c>
      <c r="AB10" s="1571">
        <f t="shared" si="4"/>
        <v>1</v>
      </c>
      <c r="AC10" s="1571">
        <f t="shared" si="5"/>
        <v>1</v>
      </c>
    </row>
    <row r="11" spans="1:29" ht="15">
      <c r="A11" s="2940"/>
      <c r="B11" s="2944" t="s">
        <v>2766</v>
      </c>
      <c r="C11" s="534">
        <f>'比较法-住宅、综合'!C13</f>
        <v>3.79</v>
      </c>
      <c r="D11" s="254">
        <v>100</v>
      </c>
      <c r="E11" s="535">
        <v>4.5999999999999996</v>
      </c>
      <c r="F11" s="864">
        <f>LOOKUP(E11,68:68,69:69)-LOOKUP(C11,68:68,69:69)+100</f>
        <v>98</v>
      </c>
      <c r="G11" s="534">
        <v>4.0999999999999996</v>
      </c>
      <c r="H11" s="254">
        <f>LOOKUP(G11,68:68,69:69)-LOOKUP(C11,68:68,69:69)+100</f>
        <v>98</v>
      </c>
      <c r="I11" s="534">
        <v>2.9</v>
      </c>
      <c r="J11" s="254">
        <f>LOOKUP(I11,68:68,69:69)-LOOKUP(C11,68:68,69:69)+100</f>
        <v>102</v>
      </c>
      <c r="K11" s="865">
        <v>2</v>
      </c>
      <c r="L11" s="2141"/>
      <c r="M11" s="2135"/>
      <c r="N11" s="2135"/>
      <c r="O11" s="2142"/>
      <c r="P11" s="3241"/>
      <c r="Q11" s="3201" t="str">
        <f t="shared" si="6"/>
        <v>容积率</v>
      </c>
      <c r="R11" s="1568" t="s">
        <v>11</v>
      </c>
      <c r="S11" s="1569">
        <f t="shared" si="0"/>
        <v>98</v>
      </c>
      <c r="T11" s="1568" t="s">
        <v>11</v>
      </c>
      <c r="U11" s="1569">
        <f t="shared" si="1"/>
        <v>98</v>
      </c>
      <c r="V11" s="1568" t="s">
        <v>11</v>
      </c>
      <c r="W11" s="1569">
        <f t="shared" si="2"/>
        <v>102</v>
      </c>
      <c r="X11" s="1570"/>
      <c r="Y11" s="3253"/>
      <c r="Z11" s="3200" t="str">
        <f t="shared" si="7"/>
        <v>容积率</v>
      </c>
      <c r="AA11" s="1571">
        <f t="shared" si="3"/>
        <v>1.0204081632653061</v>
      </c>
      <c r="AB11" s="1571">
        <f t="shared" si="4"/>
        <v>1.0204081632653061</v>
      </c>
      <c r="AC11" s="1571">
        <f t="shared" si="5"/>
        <v>0.98039215686274506</v>
      </c>
    </row>
    <row r="12" spans="1:29" s="1219" customFormat="1" ht="15">
      <c r="A12" s="2941"/>
      <c r="B12" s="2947"/>
      <c r="C12" s="530"/>
      <c r="D12" s="539">
        <v>100</v>
      </c>
      <c r="E12" s="530"/>
      <c r="F12" s="864">
        <f>SUMIF(70:70,E12,71:71)-SUMIF(70:70,C12,71:71)+100</f>
        <v>100</v>
      </c>
      <c r="G12" s="530"/>
      <c r="H12" s="254">
        <f>SUMIF(70:70,G12,71:71)-SUMIF(70:70,C12,71:71)+100</f>
        <v>100</v>
      </c>
      <c r="I12" s="530"/>
      <c r="J12" s="254">
        <f>SUMIF(70:70,I12,71:71)-SUMIF(70:70,C12,71:71)+100</f>
        <v>100</v>
      </c>
      <c r="K12" s="866"/>
      <c r="L12" s="2136"/>
      <c r="M12" s="2137"/>
      <c r="N12" s="2137"/>
      <c r="O12" s="2138"/>
      <c r="P12" s="3241"/>
      <c r="Q12" s="3201">
        <f t="shared" si="6"/>
        <v>0</v>
      </c>
      <c r="R12" s="1568" t="s">
        <v>11</v>
      </c>
      <c r="S12" s="1569">
        <f t="shared" si="0"/>
        <v>100</v>
      </c>
      <c r="T12" s="1568" t="s">
        <v>11</v>
      </c>
      <c r="U12" s="1569">
        <f t="shared" si="1"/>
        <v>100</v>
      </c>
      <c r="V12" s="1568" t="s">
        <v>11</v>
      </c>
      <c r="W12" s="1569">
        <f t="shared" si="2"/>
        <v>100</v>
      </c>
      <c r="X12" s="1570"/>
      <c r="Y12" s="3253"/>
      <c r="Z12" s="3200">
        <f t="shared" si="7"/>
        <v>0</v>
      </c>
      <c r="AA12" s="1571">
        <f>D12/F12</f>
        <v>1</v>
      </c>
      <c r="AB12" s="1571">
        <f>D12/H12</f>
        <v>1</v>
      </c>
      <c r="AC12" s="1571">
        <f>D12/J12</f>
        <v>1</v>
      </c>
    </row>
    <row r="13" spans="1:29" ht="15">
      <c r="A13" s="2941"/>
      <c r="B13" s="2947"/>
      <c r="C13" s="540"/>
      <c r="D13" s="541">
        <v>100</v>
      </c>
      <c r="E13" s="540"/>
      <c r="F13" s="864">
        <f>SUMIF(72:72,E13,73:73)-SUMIF(72:72,C13,73:73)+100</f>
        <v>100</v>
      </c>
      <c r="G13" s="540"/>
      <c r="H13" s="541">
        <f>SUMIF(72:72,G13,73:73)-SUMIF(72:72,C13,73:73)+100</f>
        <v>100</v>
      </c>
      <c r="I13" s="540"/>
      <c r="J13" s="541">
        <f>SUMIF(72:72,I13,73:73)-SUMIF(72:72,C13,73:73)+100</f>
        <v>100</v>
      </c>
      <c r="K13" s="866"/>
      <c r="L13" s="2143"/>
      <c r="M13" s="2135"/>
      <c r="N13" s="2135"/>
      <c r="O13" s="2142"/>
      <c r="P13" s="3241"/>
      <c r="Q13" s="3201">
        <f t="shared" si="6"/>
        <v>0</v>
      </c>
      <c r="R13" s="1568" t="s">
        <v>11</v>
      </c>
      <c r="S13" s="1569">
        <f t="shared" si="0"/>
        <v>100</v>
      </c>
      <c r="T13" s="1568" t="s">
        <v>11</v>
      </c>
      <c r="U13" s="1569">
        <f t="shared" si="1"/>
        <v>100</v>
      </c>
      <c r="V13" s="1568" t="s">
        <v>11</v>
      </c>
      <c r="W13" s="1569">
        <f t="shared" si="2"/>
        <v>100</v>
      </c>
      <c r="X13" s="1570"/>
      <c r="Y13" s="3253"/>
      <c r="Z13" s="3200">
        <f t="shared" si="7"/>
        <v>0</v>
      </c>
      <c r="AA13" s="1571">
        <f t="shared" si="3"/>
        <v>1</v>
      </c>
      <c r="AB13" s="1571">
        <f t="shared" si="4"/>
        <v>1</v>
      </c>
      <c r="AC13" s="1571">
        <f t="shared" si="5"/>
        <v>1</v>
      </c>
    </row>
    <row r="14" spans="1:29" ht="15.75" thickBot="1">
      <c r="A14" s="2942"/>
      <c r="B14" s="2948"/>
      <c r="C14" s="546"/>
      <c r="D14" s="547">
        <v>100</v>
      </c>
      <c r="E14" s="546"/>
      <c r="F14" s="867">
        <f>SUMIF(74:74,E14,75:75)-SUMIF(74:74,C14,75:75)+100</f>
        <v>100</v>
      </c>
      <c r="G14" s="546"/>
      <c r="H14" s="547">
        <f>SUMIF(74:74,G14,75:75)-SUMIF(74:74,C14,75:75)+100</f>
        <v>100</v>
      </c>
      <c r="I14" s="546"/>
      <c r="J14" s="547">
        <f>SUMIF(74:74,I14,75:75)-SUMIF(74:74,C14,75:75)+100</f>
        <v>100</v>
      </c>
      <c r="K14" s="866"/>
      <c r="L14" s="2143"/>
      <c r="M14" s="2135"/>
      <c r="N14" s="2135"/>
      <c r="O14" s="2142"/>
      <c r="P14" s="3241"/>
      <c r="Q14" s="3201">
        <f t="shared" si="6"/>
        <v>0</v>
      </c>
      <c r="R14" s="1568" t="s">
        <v>11</v>
      </c>
      <c r="S14" s="1569">
        <f t="shared" si="0"/>
        <v>100</v>
      </c>
      <c r="T14" s="1568" t="s">
        <v>11</v>
      </c>
      <c r="U14" s="1569">
        <f t="shared" si="1"/>
        <v>100</v>
      </c>
      <c r="V14" s="1568" t="s">
        <v>11</v>
      </c>
      <c r="W14" s="1569">
        <f t="shared" si="2"/>
        <v>100</v>
      </c>
      <c r="X14" s="1570"/>
      <c r="Y14" s="3253"/>
      <c r="Z14" s="3200">
        <f t="shared" si="7"/>
        <v>0</v>
      </c>
      <c r="AA14" s="1571">
        <f t="shared" si="3"/>
        <v>1</v>
      </c>
      <c r="AB14" s="1571">
        <f t="shared" si="4"/>
        <v>1</v>
      </c>
      <c r="AC14" s="1571">
        <f t="shared" si="5"/>
        <v>1</v>
      </c>
    </row>
    <row r="15" spans="1:29" ht="99.75">
      <c r="A15" s="2934" t="s">
        <v>2762</v>
      </c>
      <c r="B15" s="165" t="s">
        <v>295</v>
      </c>
      <c r="C15" s="868" t="str">
        <f>估价对象房地状况!C3</f>
        <v>估价对象周边居住用地比例、居住小区规模和社区发展完善程度，综合评价居住社区成熟度一般</v>
      </c>
      <c r="D15" s="550">
        <v>100</v>
      </c>
      <c r="E15" s="3193"/>
      <c r="F15" s="552">
        <f>SUMIF(76:76,E16,77:77)-SUMIF(76:76,C16,77:77)+100</f>
        <v>100</v>
      </c>
      <c r="G15" s="3193"/>
      <c r="H15" s="550">
        <f>SUMIF(76:76,G16,77:77)-SUMIF(76:76,C16,77:77)+100</f>
        <v>100</v>
      </c>
      <c r="I15" s="3193"/>
      <c r="J15" s="550">
        <f>SUMIF(76:76,I16,77:77)-SUMIF(76:76,C16,77:77)+100</f>
        <v>100</v>
      </c>
      <c r="K15" s="869">
        <v>3</v>
      </c>
      <c r="L15" s="2143"/>
      <c r="M15" s="2135"/>
      <c r="N15" s="2135"/>
      <c r="O15" s="2142"/>
      <c r="P15" s="3246" t="s">
        <v>541</v>
      </c>
      <c r="Q15" s="3202" t="str">
        <f t="shared" si="6"/>
        <v>居住社区成熟度</v>
      </c>
      <c r="R15" s="1573" t="s">
        <v>11</v>
      </c>
      <c r="S15" s="1574">
        <f t="shared" si="0"/>
        <v>100</v>
      </c>
      <c r="T15" s="1573" t="s">
        <v>11</v>
      </c>
      <c r="U15" s="1574">
        <f t="shared" si="1"/>
        <v>100</v>
      </c>
      <c r="V15" s="1573" t="s">
        <v>11</v>
      </c>
      <c r="W15" s="1574">
        <f t="shared" si="2"/>
        <v>100</v>
      </c>
      <c r="X15" s="3204"/>
      <c r="Y15" s="3246" t="s">
        <v>541</v>
      </c>
      <c r="Z15" s="3203" t="str">
        <f t="shared" si="7"/>
        <v>居住社区成熟度</v>
      </c>
      <c r="AA15" s="3206">
        <f t="shared" si="3"/>
        <v>1</v>
      </c>
      <c r="AB15" s="3206">
        <f t="shared" si="4"/>
        <v>1</v>
      </c>
      <c r="AC15" s="3206">
        <f t="shared" si="5"/>
        <v>1</v>
      </c>
    </row>
    <row r="16" spans="1:29" ht="15">
      <c r="A16" s="533"/>
      <c r="B16" s="870"/>
      <c r="C16" s="577" t="str">
        <f>'比较法-住宅、综合'!C18</f>
        <v>一般</v>
      </c>
      <c r="D16" s="556"/>
      <c r="E16" s="577" t="s">
        <v>3052</v>
      </c>
      <c r="F16" s="558"/>
      <c r="G16" s="577" t="s">
        <v>3052</v>
      </c>
      <c r="H16" s="560"/>
      <c r="I16" s="577" t="s">
        <v>3052</v>
      </c>
      <c r="J16" s="556"/>
      <c r="K16" s="871"/>
      <c r="L16" s="2143"/>
      <c r="M16" s="2135"/>
      <c r="N16" s="2135"/>
      <c r="O16" s="2142"/>
      <c r="P16" s="3247"/>
      <c r="Q16" s="3202"/>
      <c r="R16" s="1573"/>
      <c r="S16" s="1574"/>
      <c r="T16" s="1573"/>
      <c r="U16" s="1574"/>
      <c r="V16" s="1573"/>
      <c r="W16" s="1574"/>
      <c r="X16" s="3204"/>
      <c r="Y16" s="3247"/>
      <c r="Z16" s="3203"/>
      <c r="AA16" s="3206">
        <v>1</v>
      </c>
      <c r="AB16" s="3206">
        <v>1</v>
      </c>
      <c r="AC16" s="3206">
        <v>1</v>
      </c>
    </row>
    <row r="17" spans="1:29" ht="85.5">
      <c r="A17" s="533"/>
      <c r="B17" s="872" t="s">
        <v>296</v>
      </c>
      <c r="C17" s="873" t="str">
        <f>估价对象房地状况!C6</f>
        <v>估价对象周边道路状况、公共交通通达情况、停车便捷程度，综合评价交通便捷度较好</v>
      </c>
      <c r="D17" s="560">
        <v>100</v>
      </c>
      <c r="E17" s="3194"/>
      <c r="F17" s="564">
        <f>SUMIF(78:78,E18,79:79)-SUMIF(78:78,C18,79:79)+100</f>
        <v>100</v>
      </c>
      <c r="G17" s="3194"/>
      <c r="H17" s="566">
        <f>SUMIF(78:78,G18,79:79)-SUMIF(78:78,C18,79:79)+100</f>
        <v>100</v>
      </c>
      <c r="I17" s="3194"/>
      <c r="J17" s="566">
        <f>SUMIF(78:78,I18,79:79)-SUMIF(78:78,C18,79:79)+100</f>
        <v>97</v>
      </c>
      <c r="K17" s="869">
        <v>3</v>
      </c>
      <c r="L17" s="2143"/>
      <c r="M17" s="2135"/>
      <c r="N17" s="2135"/>
      <c r="O17" s="2142"/>
      <c r="P17" s="3247"/>
      <c r="Q17" s="3202" t="str">
        <f>B17</f>
        <v>交通便捷度</v>
      </c>
      <c r="R17" s="1573" t="s">
        <v>11</v>
      </c>
      <c r="S17" s="1574">
        <f>F17</f>
        <v>100</v>
      </c>
      <c r="T17" s="1573" t="s">
        <v>11</v>
      </c>
      <c r="U17" s="1574">
        <f>H17</f>
        <v>100</v>
      </c>
      <c r="V17" s="1573" t="s">
        <v>11</v>
      </c>
      <c r="W17" s="1574">
        <f>J17</f>
        <v>97</v>
      </c>
      <c r="X17" s="3204"/>
      <c r="Y17" s="3247"/>
      <c r="Z17" s="3203" t="str">
        <f>Q17</f>
        <v>交通便捷度</v>
      </c>
      <c r="AA17" s="3206">
        <f t="shared" si="3"/>
        <v>1</v>
      </c>
      <c r="AB17" s="3206">
        <f t="shared" si="4"/>
        <v>1</v>
      </c>
      <c r="AC17" s="3206">
        <f t="shared" si="5"/>
        <v>1.0309278350515463</v>
      </c>
    </row>
    <row r="18" spans="1:29" ht="15">
      <c r="A18" s="533"/>
      <c r="B18" s="596"/>
      <c r="C18" s="874" t="str">
        <f>'比较法-住宅、综合'!C24</f>
        <v>一般</v>
      </c>
      <c r="D18" s="560"/>
      <c r="E18" s="874" t="s">
        <v>3052</v>
      </c>
      <c r="F18" s="564"/>
      <c r="G18" s="874" t="s">
        <v>3052</v>
      </c>
      <c r="H18" s="556"/>
      <c r="I18" s="874" t="s">
        <v>3063</v>
      </c>
      <c r="J18" s="556"/>
      <c r="K18" s="871"/>
      <c r="L18" s="2143"/>
      <c r="M18" s="2135"/>
      <c r="N18" s="2135"/>
      <c r="O18" s="2142"/>
      <c r="P18" s="3247"/>
      <c r="Q18" s="3202"/>
      <c r="R18" s="1573"/>
      <c r="S18" s="1574"/>
      <c r="T18" s="1573"/>
      <c r="U18" s="1574"/>
      <c r="V18" s="1573"/>
      <c r="W18" s="1574"/>
      <c r="X18" s="3204"/>
      <c r="Y18" s="3247"/>
      <c r="Z18" s="3203"/>
      <c r="AA18" s="3206">
        <v>1</v>
      </c>
      <c r="AB18" s="3206">
        <v>1</v>
      </c>
      <c r="AC18" s="3206">
        <v>1</v>
      </c>
    </row>
    <row r="19" spans="1:29" ht="42.75">
      <c r="A19" s="533"/>
      <c r="B19" s="2622" t="s">
        <v>2552</v>
      </c>
      <c r="C19" s="873" t="str">
        <f>估价对象房地状况!C7</f>
        <v>估价对象所在区域公共配套设施齐备情况</v>
      </c>
      <c r="D19" s="566">
        <v>100</v>
      </c>
      <c r="E19" s="592"/>
      <c r="F19" s="572">
        <f>SUMIF(80:80,E20,81:81)-SUMIF(80:80,C20,81:81)+100</f>
        <v>100</v>
      </c>
      <c r="G19" s="592"/>
      <c r="H19" s="560">
        <f>SUMIF(80:80,G20,81:81)-SUMIF(80:80,C20,81:81)+100</f>
        <v>100</v>
      </c>
      <c r="I19" s="592"/>
      <c r="J19" s="560">
        <f>SUMIF(80:80,I20,81:81)-SUMIF(80:80,C20,81:81)+100</f>
        <v>100</v>
      </c>
      <c r="K19" s="869">
        <v>3</v>
      </c>
      <c r="L19" s="2143"/>
      <c r="M19" s="2135"/>
      <c r="N19" s="2135"/>
      <c r="O19" s="2142"/>
      <c r="P19" s="3247"/>
      <c r="Q19" s="3202" t="str">
        <f>B19</f>
        <v>公共配套设施</v>
      </c>
      <c r="R19" s="1573" t="s">
        <v>11</v>
      </c>
      <c r="S19" s="1574">
        <f>F19</f>
        <v>100</v>
      </c>
      <c r="T19" s="1573" t="s">
        <v>11</v>
      </c>
      <c r="U19" s="1574">
        <f>H19</f>
        <v>100</v>
      </c>
      <c r="V19" s="1573" t="s">
        <v>11</v>
      </c>
      <c r="W19" s="1574">
        <f>J19</f>
        <v>100</v>
      </c>
      <c r="X19" s="3204"/>
      <c r="Y19" s="3247"/>
      <c r="Z19" s="3203" t="str">
        <f>Q19</f>
        <v>公共配套设施</v>
      </c>
      <c r="AA19" s="3206">
        <f t="shared" si="3"/>
        <v>1</v>
      </c>
      <c r="AB19" s="3206">
        <f t="shared" si="4"/>
        <v>1</v>
      </c>
      <c r="AC19" s="3206">
        <f t="shared" si="5"/>
        <v>1</v>
      </c>
    </row>
    <row r="20" spans="1:29" ht="15">
      <c r="A20" s="533"/>
      <c r="B20" s="596"/>
      <c r="C20" s="874" t="str">
        <f>'比较法-住宅、综合'!C30</f>
        <v>一般</v>
      </c>
      <c r="D20" s="556"/>
      <c r="E20" s="874" t="s">
        <v>3052</v>
      </c>
      <c r="F20" s="558"/>
      <c r="G20" s="874" t="s">
        <v>3052</v>
      </c>
      <c r="H20" s="556"/>
      <c r="I20" s="874" t="s">
        <v>3052</v>
      </c>
      <c r="J20" s="556"/>
      <c r="K20" s="871"/>
      <c r="L20" s="2143"/>
      <c r="M20" s="2135"/>
      <c r="N20" s="2135"/>
      <c r="O20" s="2142"/>
      <c r="P20" s="3247"/>
      <c r="Q20" s="3202"/>
      <c r="R20" s="1573"/>
      <c r="S20" s="1574"/>
      <c r="T20" s="1573"/>
      <c r="U20" s="1574"/>
      <c r="V20" s="1573"/>
      <c r="W20" s="1574"/>
      <c r="X20" s="3204"/>
      <c r="Y20" s="3247"/>
      <c r="Z20" s="3203"/>
      <c r="AA20" s="3206">
        <v>1</v>
      </c>
      <c r="AB20" s="3206">
        <v>1</v>
      </c>
      <c r="AC20" s="3206">
        <v>1</v>
      </c>
    </row>
    <row r="21" spans="1:29" ht="28.5">
      <c r="A21" s="533"/>
      <c r="B21" s="2615" t="s">
        <v>2553</v>
      </c>
      <c r="C21" s="873" t="str">
        <f>估价对象房地状况!C8</f>
        <v>估价对象所在区域基础设施水平</v>
      </c>
      <c r="D21" s="566">
        <v>100</v>
      </c>
      <c r="E21" s="3195"/>
      <c r="F21" s="572">
        <f>SUMIF(82:82,E22,83:83)-SUMIF(82:82,C22,83:83)+100</f>
        <v>100</v>
      </c>
      <c r="G21" s="3195"/>
      <c r="H21" s="566">
        <f>SUMIF(82:82,G22,83:83)-SUMIF(82:82,C22,83:83)+100</f>
        <v>100</v>
      </c>
      <c r="I21" s="3195"/>
      <c r="J21" s="566">
        <f>SUMIF(82:82,I22,83:83)-SUMIF(82:82,C22,83:83)+100</f>
        <v>100</v>
      </c>
      <c r="K21" s="869">
        <v>1</v>
      </c>
      <c r="L21" s="2143"/>
      <c r="M21" s="2135"/>
      <c r="N21" s="2135"/>
      <c r="O21" s="2142"/>
      <c r="P21" s="3247"/>
      <c r="Q21" s="3202" t="str">
        <f>B21</f>
        <v>基础设施水平</v>
      </c>
      <c r="R21" s="1573" t="s">
        <v>11</v>
      </c>
      <c r="S21" s="1574">
        <f>F21</f>
        <v>100</v>
      </c>
      <c r="T21" s="1573" t="s">
        <v>11</v>
      </c>
      <c r="U21" s="1574">
        <f>H21</f>
        <v>100</v>
      </c>
      <c r="V21" s="1573" t="s">
        <v>11</v>
      </c>
      <c r="W21" s="1574">
        <f>J21</f>
        <v>100</v>
      </c>
      <c r="X21" s="3204"/>
      <c r="Y21" s="3247"/>
      <c r="Z21" s="3203" t="str">
        <f>Q21</f>
        <v>基础设施水平</v>
      </c>
      <c r="AA21" s="3206">
        <f>D21/F21</f>
        <v>1</v>
      </c>
      <c r="AB21" s="3206">
        <f>D21/H21</f>
        <v>1</v>
      </c>
      <c r="AC21" s="3206">
        <f>D21/J21</f>
        <v>1</v>
      </c>
    </row>
    <row r="22" spans="1:29" ht="15">
      <c r="A22" s="533"/>
      <c r="B22" s="921"/>
      <c r="C22" s="874" t="s">
        <v>3050</v>
      </c>
      <c r="D22" s="556"/>
      <c r="E22" s="874" t="s">
        <v>3050</v>
      </c>
      <c r="F22" s="558"/>
      <c r="G22" s="874" t="s">
        <v>3050</v>
      </c>
      <c r="H22" s="556"/>
      <c r="I22" s="874" t="s">
        <v>3050</v>
      </c>
      <c r="J22" s="556"/>
      <c r="K22" s="2621"/>
      <c r="L22" s="2143"/>
      <c r="M22" s="2135"/>
      <c r="N22" s="2135"/>
      <c r="O22" s="2142"/>
      <c r="P22" s="3247"/>
      <c r="Q22" s="3202"/>
      <c r="R22" s="1573"/>
      <c r="S22" s="1574"/>
      <c r="T22" s="1573"/>
      <c r="U22" s="1574"/>
      <c r="V22" s="1573"/>
      <c r="W22" s="1574"/>
      <c r="X22" s="3204"/>
      <c r="Y22" s="3247"/>
      <c r="Z22" s="3203"/>
      <c r="AA22" s="3206">
        <v>1</v>
      </c>
      <c r="AB22" s="3206">
        <v>1</v>
      </c>
      <c r="AC22" s="3206">
        <v>1</v>
      </c>
    </row>
    <row r="23" spans="1:29" ht="57">
      <c r="A23" s="533"/>
      <c r="B23" s="872" t="s">
        <v>297</v>
      </c>
      <c r="C23" s="873" t="str">
        <f>估价对象房地状况!C9</f>
        <v>区域自然环境：；人文环境；综合评价环境状况一般</v>
      </c>
      <c r="D23" s="560">
        <v>100</v>
      </c>
      <c r="E23" s="3194"/>
      <c r="F23" s="564">
        <f>SUMIF(84:84,E24,85:85)-SUMIF(84:84,C24,85:85)+100</f>
        <v>100</v>
      </c>
      <c r="G23" s="3194"/>
      <c r="H23" s="560">
        <f>SUMIF(84:84,G24,85:85)-SUMIF(84:84,C24,85:85)+100</f>
        <v>103</v>
      </c>
      <c r="I23" s="3194"/>
      <c r="J23" s="560">
        <f>SUMIF(84:84,I24,85:85)-SUMIF(84:84,C24,85:85)+100</f>
        <v>103</v>
      </c>
      <c r="K23" s="869">
        <v>3</v>
      </c>
      <c r="L23" s="2143"/>
      <c r="M23" s="2135"/>
      <c r="N23" s="2135"/>
      <c r="O23" s="2142"/>
      <c r="P23" s="3247"/>
      <c r="Q23" s="3202" t="str">
        <f>B23</f>
        <v>自然及人文环境</v>
      </c>
      <c r="R23" s="1573" t="s">
        <v>11</v>
      </c>
      <c r="S23" s="1574">
        <f>F23</f>
        <v>100</v>
      </c>
      <c r="T23" s="1573" t="s">
        <v>11</v>
      </c>
      <c r="U23" s="1574">
        <f>H23</f>
        <v>103</v>
      </c>
      <c r="V23" s="1573" t="s">
        <v>11</v>
      </c>
      <c r="W23" s="1574">
        <f>J23</f>
        <v>103</v>
      </c>
      <c r="X23" s="3204"/>
      <c r="Y23" s="3247"/>
      <c r="Z23" s="3203" t="str">
        <f>Q23</f>
        <v>自然及人文环境</v>
      </c>
      <c r="AA23" s="3206">
        <f t="shared" si="3"/>
        <v>1</v>
      </c>
      <c r="AB23" s="3206">
        <f t="shared" si="4"/>
        <v>0.970873786407767</v>
      </c>
      <c r="AC23" s="3206">
        <f t="shared" si="5"/>
        <v>0.970873786407767</v>
      </c>
    </row>
    <row r="24" spans="1:29" ht="15">
      <c r="A24" s="533"/>
      <c r="B24" s="596"/>
      <c r="C24" s="874" t="str">
        <f>'比较法-住宅、综合'!C28</f>
        <v>较差</v>
      </c>
      <c r="D24" s="556"/>
      <c r="E24" s="874" t="s">
        <v>3063</v>
      </c>
      <c r="F24" s="558"/>
      <c r="G24" s="874" t="s">
        <v>3052</v>
      </c>
      <c r="H24" s="556"/>
      <c r="I24" s="874" t="s">
        <v>3052</v>
      </c>
      <c r="J24" s="556"/>
      <c r="K24" s="871"/>
      <c r="L24" s="2143"/>
      <c r="M24" s="2135"/>
      <c r="N24" s="2135"/>
      <c r="O24" s="2142"/>
      <c r="P24" s="3247"/>
      <c r="Q24" s="3202"/>
      <c r="R24" s="1573"/>
      <c r="S24" s="1574"/>
      <c r="T24" s="1573"/>
      <c r="U24" s="1574"/>
      <c r="V24" s="1573"/>
      <c r="W24" s="1574"/>
      <c r="X24" s="3204"/>
      <c r="Y24" s="3247"/>
      <c r="Z24" s="3203"/>
      <c r="AA24" s="3206">
        <v>1</v>
      </c>
      <c r="AB24" s="3206">
        <v>1</v>
      </c>
      <c r="AC24" s="3206">
        <v>1</v>
      </c>
    </row>
    <row r="25" spans="1:29" ht="15" hidden="1">
      <c r="A25" s="533"/>
      <c r="B25" s="1896" t="s">
        <v>2259</v>
      </c>
      <c r="C25" s="575"/>
      <c r="D25" s="541">
        <v>100</v>
      </c>
      <c r="E25" s="3196"/>
      <c r="F25" s="576">
        <f>SUMIF(86:86,E25,87:87)-SUMIF(86:86,C25,87:87)+100</f>
        <v>100</v>
      </c>
      <c r="G25" s="3196"/>
      <c r="H25" s="541">
        <f>SUMIF(86:86,G25,87:87)-SUMIF(86:86,C25,87:87)+100</f>
        <v>100</v>
      </c>
      <c r="I25" s="3196"/>
      <c r="J25" s="541">
        <f>SUMIF(86:86,I25,87:87)-SUMIF(86:86,C25,87:87)+100</f>
        <v>100</v>
      </c>
      <c r="K25" s="865"/>
      <c r="L25" s="2143"/>
      <c r="M25" s="2135"/>
      <c r="N25" s="2135"/>
      <c r="O25" s="2142"/>
      <c r="P25" s="3247"/>
      <c r="Q25" s="3202" t="str">
        <f t="shared" ref="Q25:Q46" si="8">B25</f>
        <v>楼层-1</v>
      </c>
      <c r="R25" s="1573" t="s">
        <v>11</v>
      </c>
      <c r="S25" s="1574">
        <f>F25</f>
        <v>100</v>
      </c>
      <c r="T25" s="1573" t="s">
        <v>11</v>
      </c>
      <c r="U25" s="1574">
        <f>H25</f>
        <v>100</v>
      </c>
      <c r="V25" s="1573" t="s">
        <v>11</v>
      </c>
      <c r="W25" s="1574">
        <f>J25</f>
        <v>100</v>
      </c>
      <c r="X25" s="3204"/>
      <c r="Y25" s="3247"/>
      <c r="Z25" s="3203" t="str">
        <f>Q25</f>
        <v>楼层-1</v>
      </c>
      <c r="AA25" s="3206">
        <f t="shared" si="3"/>
        <v>1</v>
      </c>
      <c r="AB25" s="3206">
        <f t="shared" si="4"/>
        <v>1</v>
      </c>
      <c r="AC25" s="3206">
        <f t="shared" si="5"/>
        <v>1</v>
      </c>
    </row>
    <row r="26" spans="1:29" ht="15" hidden="1">
      <c r="A26" s="533"/>
      <c r="B26" s="529" t="s">
        <v>724</v>
      </c>
      <c r="C26" s="575"/>
      <c r="D26" s="541">
        <v>100</v>
      </c>
      <c r="E26" s="3196"/>
      <c r="F26" s="576">
        <f>SUMIF(88:88,E26,89:89)-SUMIF(88:88,C26,89:89)+100</f>
        <v>100</v>
      </c>
      <c r="G26" s="3196"/>
      <c r="H26" s="541">
        <f>SUMIF(88:88,G26,89:89)-SUMIF(88:88,C26,89:89)+100</f>
        <v>100</v>
      </c>
      <c r="I26" s="3196"/>
      <c r="J26" s="541">
        <f>SUMIF(88:88,I26,89:89)-SUMIF(88:88,C26,89:89)+100</f>
        <v>100</v>
      </c>
      <c r="K26" s="865"/>
      <c r="L26" s="2143"/>
      <c r="M26" s="2135"/>
      <c r="N26" s="2135"/>
      <c r="O26" s="2142"/>
      <c r="P26" s="3247"/>
      <c r="Q26" s="3202" t="str">
        <f t="shared" si="8"/>
        <v>朝向</v>
      </c>
      <c r="R26" s="1573" t="s">
        <v>11</v>
      </c>
      <c r="S26" s="1574">
        <f>F26</f>
        <v>100</v>
      </c>
      <c r="T26" s="1573" t="s">
        <v>11</v>
      </c>
      <c r="U26" s="1574">
        <f>H26</f>
        <v>100</v>
      </c>
      <c r="V26" s="1573" t="s">
        <v>11</v>
      </c>
      <c r="W26" s="1574">
        <f>J26</f>
        <v>100</v>
      </c>
      <c r="X26" s="3204"/>
      <c r="Y26" s="3247"/>
      <c r="Z26" s="3203" t="str">
        <f>Q26</f>
        <v>朝向</v>
      </c>
      <c r="AA26" s="3206">
        <f t="shared" si="3"/>
        <v>1</v>
      </c>
      <c r="AB26" s="3206">
        <f t="shared" si="4"/>
        <v>1</v>
      </c>
      <c r="AC26" s="3206">
        <f t="shared" si="5"/>
        <v>1</v>
      </c>
    </row>
    <row r="27" spans="1:29" s="1219" customFormat="1" ht="15" hidden="1">
      <c r="A27" s="537"/>
      <c r="B27" s="538"/>
      <c r="C27" s="3166"/>
      <c r="D27" s="875">
        <v>100</v>
      </c>
      <c r="E27" s="3166"/>
      <c r="F27" s="876">
        <f>SUMIF(90:90,E27,91:91)-SUMIF(90:90,G27,91:91)+100</f>
        <v>100</v>
      </c>
      <c r="G27" s="3166"/>
      <c r="H27" s="875">
        <f>SUMIF(90:90,#REF!,91:91)-SUMIF(90:90,G27,91:91)+100</f>
        <v>100</v>
      </c>
      <c r="I27" s="3166"/>
      <c r="J27" s="875">
        <f>SUMIF(90:90,I27,91:91)-SUMIF(90:90,G27,91:91)+100</f>
        <v>100</v>
      </c>
      <c r="K27" s="866"/>
      <c r="L27" s="2136"/>
      <c r="M27" s="2137"/>
      <c r="N27" s="2137"/>
      <c r="O27" s="2138"/>
      <c r="P27" s="3247"/>
      <c r="Q27" s="3201">
        <f t="shared" si="8"/>
        <v>0</v>
      </c>
      <c r="R27" s="1568" t="s">
        <v>11</v>
      </c>
      <c r="S27" s="1569">
        <f>F27</f>
        <v>100</v>
      </c>
      <c r="T27" s="1568" t="s">
        <v>11</v>
      </c>
      <c r="U27" s="1569">
        <f>H27</f>
        <v>100</v>
      </c>
      <c r="V27" s="1568" t="s">
        <v>11</v>
      </c>
      <c r="W27" s="1569">
        <f>J27</f>
        <v>100</v>
      </c>
      <c r="X27" s="1570"/>
      <c r="Y27" s="3247"/>
      <c r="Z27" s="3200">
        <f>Q27</f>
        <v>0</v>
      </c>
      <c r="AA27" s="3206">
        <f>D27/F27</f>
        <v>1</v>
      </c>
      <c r="AB27" s="3206">
        <f>D27/H27</f>
        <v>1</v>
      </c>
      <c r="AC27" s="3206">
        <f>D27/J27</f>
        <v>1</v>
      </c>
    </row>
    <row r="28" spans="1:29" ht="15">
      <c r="A28" s="533"/>
      <c r="B28" s="538" t="s">
        <v>725</v>
      </c>
      <c r="C28" s="3166" t="s">
        <v>3240</v>
      </c>
      <c r="D28" s="541">
        <v>100</v>
      </c>
      <c r="E28" s="3166" t="s">
        <v>3229</v>
      </c>
      <c r="F28" s="576">
        <f>SUMIF(92:92,E28,93:93)-SUMIF(92:92,C28,93:93)+100</f>
        <v>98</v>
      </c>
      <c r="G28" s="3166" t="s">
        <v>3229</v>
      </c>
      <c r="H28" s="541">
        <f>SUMIF(92:92,G28,93:93)-SUMIF(92:92,C28,93:93)+100</f>
        <v>98</v>
      </c>
      <c r="I28" s="3166" t="s">
        <v>3229</v>
      </c>
      <c r="J28" s="541">
        <f>SUMIF(92:92,I28,93:93)-SUMIF(92:92,C28,93:93)+100</f>
        <v>98</v>
      </c>
      <c r="K28" s="866"/>
      <c r="L28" s="2143"/>
      <c r="M28" s="2135"/>
      <c r="N28" s="2135"/>
      <c r="O28" s="2142"/>
      <c r="P28" s="3247"/>
      <c r="Q28" s="3202" t="str">
        <f t="shared" si="8"/>
        <v>道路级别</v>
      </c>
      <c r="R28" s="1573" t="s">
        <v>11</v>
      </c>
      <c r="S28" s="1574">
        <f t="shared" ref="S28:S46" si="9">F28</f>
        <v>98</v>
      </c>
      <c r="T28" s="1573" t="s">
        <v>11</v>
      </c>
      <c r="U28" s="1574">
        <f t="shared" ref="U28:U46" si="10">H28</f>
        <v>98</v>
      </c>
      <c r="V28" s="1573" t="s">
        <v>11</v>
      </c>
      <c r="W28" s="1574">
        <f t="shared" ref="W28:W46" si="11">J28</f>
        <v>98</v>
      </c>
      <c r="X28" s="3204"/>
      <c r="Y28" s="3247"/>
      <c r="Z28" s="3203" t="str">
        <f t="shared" ref="Z28:Z46" si="12">Q28</f>
        <v>道路级别</v>
      </c>
      <c r="AA28" s="3206">
        <f t="shared" si="3"/>
        <v>1.0204081632653061</v>
      </c>
      <c r="AB28" s="3206">
        <f t="shared" si="4"/>
        <v>1.0204081632653061</v>
      </c>
      <c r="AC28" s="3206">
        <f t="shared" si="5"/>
        <v>1.0204081632653061</v>
      </c>
    </row>
    <row r="29" spans="1:29" ht="15">
      <c r="A29" s="533"/>
      <c r="B29" s="877"/>
      <c r="C29" s="540"/>
      <c r="D29" s="541">
        <v>100</v>
      </c>
      <c r="E29" s="540"/>
      <c r="F29" s="576">
        <f>SUMIF(94:94,E29,95:95)-SUMIF(94:94,C29,95:95)+100</f>
        <v>100</v>
      </c>
      <c r="G29" s="540"/>
      <c r="H29" s="541">
        <f>SUMIF(94:94,G29,95:95)-SUMIF(94:94,C29,95:95)+100</f>
        <v>100</v>
      </c>
      <c r="I29" s="540"/>
      <c r="J29" s="541">
        <f>SUMIF(94:94,I29,95:95)-SUMIF(94:94,C29,95:95)+100</f>
        <v>100</v>
      </c>
      <c r="K29" s="866"/>
      <c r="L29" s="2143"/>
      <c r="M29" s="2135"/>
      <c r="N29" s="2135"/>
      <c r="O29" s="2142"/>
      <c r="P29" s="3247"/>
      <c r="Q29" s="3202">
        <f t="shared" si="8"/>
        <v>0</v>
      </c>
      <c r="R29" s="1573" t="s">
        <v>11</v>
      </c>
      <c r="S29" s="1574">
        <f t="shared" si="9"/>
        <v>100</v>
      </c>
      <c r="T29" s="1573" t="s">
        <v>11</v>
      </c>
      <c r="U29" s="1574">
        <f t="shared" si="10"/>
        <v>100</v>
      </c>
      <c r="V29" s="1573" t="s">
        <v>11</v>
      </c>
      <c r="W29" s="1574">
        <f t="shared" si="11"/>
        <v>100</v>
      </c>
      <c r="X29" s="3204"/>
      <c r="Y29" s="3247"/>
      <c r="Z29" s="3203">
        <f t="shared" si="12"/>
        <v>0</v>
      </c>
      <c r="AA29" s="3206">
        <f t="shared" si="3"/>
        <v>1</v>
      </c>
      <c r="AB29" s="3206">
        <f t="shared" si="4"/>
        <v>1</v>
      </c>
      <c r="AC29" s="3206">
        <f t="shared" si="5"/>
        <v>1</v>
      </c>
    </row>
    <row r="30" spans="1:29" ht="15">
      <c r="A30" s="533"/>
      <c r="B30" s="877"/>
      <c r="C30" s="540"/>
      <c r="D30" s="541">
        <v>100</v>
      </c>
      <c r="E30" s="540"/>
      <c r="F30" s="576">
        <f>SUMIF(96:96,E30,97:97)-SUMIF(96:96,C30,97:97)+100</f>
        <v>100</v>
      </c>
      <c r="G30" s="540"/>
      <c r="H30" s="541">
        <f>SUMIF(96:96,G30,97:97)-SUMIF(96:96,C30,97:97)+100</f>
        <v>100</v>
      </c>
      <c r="I30" s="540"/>
      <c r="J30" s="541">
        <f>SUMIF(96:96,I30,97:97)-SUMIF(96:96,C30,97:97)+100</f>
        <v>100</v>
      </c>
      <c r="K30" s="866"/>
      <c r="L30" s="2143"/>
      <c r="M30" s="2135"/>
      <c r="N30" s="2135"/>
      <c r="O30" s="2142"/>
      <c r="P30" s="3247"/>
      <c r="Q30" s="3202">
        <f t="shared" si="8"/>
        <v>0</v>
      </c>
      <c r="R30" s="1573" t="s">
        <v>11</v>
      </c>
      <c r="S30" s="1574">
        <f t="shared" si="9"/>
        <v>100</v>
      </c>
      <c r="T30" s="1573" t="s">
        <v>11</v>
      </c>
      <c r="U30" s="1574">
        <f t="shared" si="10"/>
        <v>100</v>
      </c>
      <c r="V30" s="1573" t="s">
        <v>11</v>
      </c>
      <c r="W30" s="1574">
        <f t="shared" si="11"/>
        <v>100</v>
      </c>
      <c r="X30" s="3204"/>
      <c r="Y30" s="3247"/>
      <c r="Z30" s="3203">
        <f t="shared" si="12"/>
        <v>0</v>
      </c>
      <c r="AA30" s="3206">
        <f t="shared" si="3"/>
        <v>1</v>
      </c>
      <c r="AB30" s="3206">
        <f t="shared" si="4"/>
        <v>1</v>
      </c>
      <c r="AC30" s="3206">
        <f t="shared" si="5"/>
        <v>1</v>
      </c>
    </row>
    <row r="31" spans="1:29" ht="15.75" thickBot="1">
      <c r="A31" s="544"/>
      <c r="B31" s="877"/>
      <c r="C31" s="546"/>
      <c r="D31" s="547">
        <v>100</v>
      </c>
      <c r="E31" s="546"/>
      <c r="F31" s="867">
        <f>SUMIF(98:98,E31,99:99)-SUMIF(98:98,C31,99:99)+100</f>
        <v>100</v>
      </c>
      <c r="G31" s="546"/>
      <c r="H31" s="547">
        <f>SUMIF(98:98,G31,99:99)-SUMIF(98:98,C31,99:99)+100</f>
        <v>100</v>
      </c>
      <c r="I31" s="546"/>
      <c r="J31" s="547">
        <f>SUMIF(98:98,I31,99:99)-SUMIF(98:98,C31,99:99)+100</f>
        <v>100</v>
      </c>
      <c r="K31" s="866"/>
      <c r="L31" s="2143"/>
      <c r="M31" s="2135"/>
      <c r="N31" s="2135"/>
      <c r="O31" s="2142"/>
      <c r="P31" s="3247"/>
      <c r="Q31" s="3202">
        <f t="shared" si="8"/>
        <v>0</v>
      </c>
      <c r="R31" s="1573" t="s">
        <v>11</v>
      </c>
      <c r="S31" s="1574">
        <f t="shared" si="9"/>
        <v>100</v>
      </c>
      <c r="T31" s="1573" t="s">
        <v>11</v>
      </c>
      <c r="U31" s="1574">
        <f t="shared" si="10"/>
        <v>100</v>
      </c>
      <c r="V31" s="1573" t="s">
        <v>11</v>
      </c>
      <c r="W31" s="1574">
        <f t="shared" si="11"/>
        <v>100</v>
      </c>
      <c r="X31" s="3204"/>
      <c r="Y31" s="3247"/>
      <c r="Z31" s="3203">
        <f t="shared" si="12"/>
        <v>0</v>
      </c>
      <c r="AA31" s="3206">
        <f t="shared" si="3"/>
        <v>1</v>
      </c>
      <c r="AB31" s="3206">
        <f t="shared" si="4"/>
        <v>1</v>
      </c>
      <c r="AC31" s="3206">
        <f t="shared" si="5"/>
        <v>1</v>
      </c>
    </row>
    <row r="32" spans="1:29" ht="15">
      <c r="A32" s="2931" t="s">
        <v>2763</v>
      </c>
      <c r="B32" s="171" t="s">
        <v>726</v>
      </c>
      <c r="C32" s="878" t="s">
        <v>3235</v>
      </c>
      <c r="D32" s="598">
        <v>100</v>
      </c>
      <c r="E32" s="915" t="s">
        <v>3237</v>
      </c>
      <c r="F32" s="576">
        <f>SUMIF(100:100,E32,101:101)-SUMIF(100:100,C32,101:101)+100</f>
        <v>97</v>
      </c>
      <c r="G32" s="915" t="s">
        <v>3237</v>
      </c>
      <c r="H32" s="598">
        <f>SUMIF(100:100,G32,101:101)-SUMIF(100:100,C32,101:101)+100</f>
        <v>97</v>
      </c>
      <c r="I32" s="915" t="s">
        <v>3235</v>
      </c>
      <c r="J32" s="541">
        <f>SUMIF(100:100,I32,101:101)-SUMIF(100:100,C32,101:101)+100</f>
        <v>100</v>
      </c>
      <c r="K32" s="865">
        <v>3</v>
      </c>
      <c r="L32" s="2143"/>
      <c r="M32" s="2135"/>
      <c r="N32" s="2135"/>
      <c r="O32" s="2142"/>
      <c r="P32" s="3248" t="s">
        <v>551</v>
      </c>
      <c r="Q32" s="3202" t="str">
        <f t="shared" si="8"/>
        <v>建筑类型</v>
      </c>
      <c r="R32" s="1573" t="s">
        <v>11</v>
      </c>
      <c r="S32" s="1574">
        <f t="shared" si="9"/>
        <v>97</v>
      </c>
      <c r="T32" s="1573" t="s">
        <v>11</v>
      </c>
      <c r="U32" s="1574">
        <f t="shared" si="10"/>
        <v>97</v>
      </c>
      <c r="V32" s="1573" t="s">
        <v>11</v>
      </c>
      <c r="W32" s="1574">
        <f t="shared" si="11"/>
        <v>100</v>
      </c>
      <c r="X32" s="3204"/>
      <c r="Y32" s="3249" t="s">
        <v>551</v>
      </c>
      <c r="Z32" s="3203" t="str">
        <f t="shared" si="12"/>
        <v>建筑类型</v>
      </c>
      <c r="AA32" s="3206">
        <f t="shared" si="3"/>
        <v>1.0309278350515463</v>
      </c>
      <c r="AB32" s="3206">
        <f t="shared" si="4"/>
        <v>1.0309278350515463</v>
      </c>
      <c r="AC32" s="3206">
        <f t="shared" si="5"/>
        <v>1</v>
      </c>
    </row>
    <row r="33" spans="1:29" s="1338" customFormat="1" ht="15">
      <c r="A33" s="604"/>
      <c r="B33" s="529" t="s">
        <v>727</v>
      </c>
      <c r="C33" s="879">
        <f>'数据-汇总表'!E3</f>
        <v>217232</v>
      </c>
      <c r="D33" s="254">
        <v>100</v>
      </c>
      <c r="E33" s="879">
        <v>480000</v>
      </c>
      <c r="F33" s="864">
        <f>LOOKUP(E33,103:103,104:104)-LOOKUP(C33,103:103,104:104)+100</f>
        <v>102</v>
      </c>
      <c r="G33" s="879">
        <v>207423</v>
      </c>
      <c r="H33" s="254">
        <f>LOOKUP(G33,103:103,104:104)-LOOKUP(C33,103:103,104:104)+100</f>
        <v>100</v>
      </c>
      <c r="I33" s="879">
        <v>400000</v>
      </c>
      <c r="J33" s="254">
        <f>LOOKUP(I33,103:103,104:104)-LOOKUP(C33,103:103,104:104)+100</f>
        <v>102</v>
      </c>
      <c r="K33" s="866"/>
      <c r="L33" s="2141"/>
      <c r="M33" s="2172"/>
      <c r="N33" s="2172"/>
      <c r="O33" s="2144"/>
      <c r="P33" s="3249"/>
      <c r="Q33" s="1605" t="str">
        <f t="shared" si="8"/>
        <v>项目建筑规模</v>
      </c>
      <c r="R33" s="1577" t="s">
        <v>11</v>
      </c>
      <c r="S33" s="1578">
        <f t="shared" si="9"/>
        <v>102</v>
      </c>
      <c r="T33" s="1577" t="s">
        <v>11</v>
      </c>
      <c r="U33" s="1578">
        <f t="shared" si="10"/>
        <v>100</v>
      </c>
      <c r="V33" s="1577" t="s">
        <v>11</v>
      </c>
      <c r="W33" s="1578">
        <f t="shared" si="11"/>
        <v>102</v>
      </c>
      <c r="X33" s="1579"/>
      <c r="Y33" s="3249"/>
      <c r="Z33" s="1580" t="str">
        <f t="shared" si="12"/>
        <v>项目建筑规模</v>
      </c>
      <c r="AA33" s="3206">
        <f t="shared" si="3"/>
        <v>0.98039215686274506</v>
      </c>
      <c r="AB33" s="3206">
        <f t="shared" si="4"/>
        <v>1</v>
      </c>
      <c r="AC33" s="3206">
        <f t="shared" si="5"/>
        <v>0.98039215686274506</v>
      </c>
    </row>
    <row r="34" spans="1:29" ht="15">
      <c r="A34" s="595"/>
      <c r="B34" s="529" t="s">
        <v>728</v>
      </c>
      <c r="C34" s="880" t="s">
        <v>3040</v>
      </c>
      <c r="D34" s="541">
        <v>100</v>
      </c>
      <c r="E34" s="575" t="s">
        <v>3040</v>
      </c>
      <c r="F34" s="576">
        <f>SUMIF(105:105,E34,106:106)-SUMIF(105:105,C34,106:106)+100</f>
        <v>100</v>
      </c>
      <c r="G34" s="575" t="s">
        <v>3040</v>
      </c>
      <c r="H34" s="541">
        <f>SUMIF(105:105,G34,106:106)-SUMIF(105:105,C34,106:106)+100</f>
        <v>100</v>
      </c>
      <c r="I34" s="575" t="s">
        <v>3040</v>
      </c>
      <c r="J34" s="541">
        <f>SUMIF(105:105,I34,106:106)-SUMIF(105:105,C34,106:106)+100</f>
        <v>100</v>
      </c>
      <c r="K34" s="865">
        <v>2</v>
      </c>
      <c r="L34" s="2143"/>
      <c r="M34" s="2135"/>
      <c r="N34" s="2135"/>
      <c r="O34" s="2142"/>
      <c r="P34" s="3249"/>
      <c r="Q34" s="3202" t="str">
        <f t="shared" si="8"/>
        <v>建筑结构</v>
      </c>
      <c r="R34" s="1573" t="s">
        <v>11</v>
      </c>
      <c r="S34" s="1574">
        <f t="shared" si="9"/>
        <v>100</v>
      </c>
      <c r="T34" s="1573" t="s">
        <v>11</v>
      </c>
      <c r="U34" s="1574">
        <f t="shared" si="10"/>
        <v>100</v>
      </c>
      <c r="V34" s="1573" t="s">
        <v>11</v>
      </c>
      <c r="W34" s="1574">
        <f t="shared" si="11"/>
        <v>100</v>
      </c>
      <c r="X34" s="3204"/>
      <c r="Y34" s="3249"/>
      <c r="Z34" s="3203" t="str">
        <f t="shared" si="12"/>
        <v>建筑结构</v>
      </c>
      <c r="AA34" s="3206">
        <f t="shared" si="3"/>
        <v>1</v>
      </c>
      <c r="AB34" s="3206">
        <f t="shared" si="4"/>
        <v>1</v>
      </c>
      <c r="AC34" s="3206">
        <f t="shared" si="5"/>
        <v>1</v>
      </c>
    </row>
    <row r="35" spans="1:29" ht="15">
      <c r="A35" s="595"/>
      <c r="B35" s="529" t="s">
        <v>729</v>
      </c>
      <c r="C35" s="600" t="s">
        <v>3053</v>
      </c>
      <c r="D35" s="541">
        <v>100</v>
      </c>
      <c r="E35" s="575" t="s">
        <v>3246</v>
      </c>
      <c r="F35" s="576">
        <f>SUMIF(107:107,E35,108:108)-SUMIF(107:107,C35,108:108)+100</f>
        <v>95</v>
      </c>
      <c r="G35" s="575" t="s">
        <v>3053</v>
      </c>
      <c r="H35" s="541">
        <f>SUMIF(107:107,G35,108:108)-SUMIF(107:107,C35,108:108)+100</f>
        <v>100</v>
      </c>
      <c r="I35" s="575" t="s">
        <v>3243</v>
      </c>
      <c r="J35" s="541">
        <f>SUMIF(107:107,I35,108:108)-SUMIF(107:107,C35,108:108)+100</f>
        <v>105</v>
      </c>
      <c r="K35" s="865">
        <v>5</v>
      </c>
      <c r="L35" s="2143"/>
      <c r="M35" s="2135"/>
      <c r="N35" s="2135"/>
      <c r="O35" s="2142"/>
      <c r="P35" s="3249"/>
      <c r="Q35" s="3202" t="str">
        <f t="shared" si="8"/>
        <v>建筑品质</v>
      </c>
      <c r="R35" s="1573" t="s">
        <v>11</v>
      </c>
      <c r="S35" s="1574">
        <f t="shared" si="9"/>
        <v>95</v>
      </c>
      <c r="T35" s="1573" t="s">
        <v>11</v>
      </c>
      <c r="U35" s="1574">
        <f t="shared" si="10"/>
        <v>100</v>
      </c>
      <c r="V35" s="1573" t="s">
        <v>11</v>
      </c>
      <c r="W35" s="1574">
        <f t="shared" si="11"/>
        <v>105</v>
      </c>
      <c r="X35" s="3204"/>
      <c r="Y35" s="3249"/>
      <c r="Z35" s="3203" t="str">
        <f t="shared" si="12"/>
        <v>建筑品质</v>
      </c>
      <c r="AA35" s="3206">
        <f t="shared" si="3"/>
        <v>1.0526315789473684</v>
      </c>
      <c r="AB35" s="3206">
        <f t="shared" si="4"/>
        <v>1</v>
      </c>
      <c r="AC35" s="3206">
        <f t="shared" si="5"/>
        <v>0.95238095238095233</v>
      </c>
    </row>
    <row r="36" spans="1:29" ht="15">
      <c r="A36" s="595"/>
      <c r="B36" s="529" t="s">
        <v>730</v>
      </c>
      <c r="C36" s="600" t="s">
        <v>3041</v>
      </c>
      <c r="D36" s="541">
        <v>100</v>
      </c>
      <c r="E36" s="575" t="s">
        <v>3041</v>
      </c>
      <c r="F36" s="576">
        <f>SUMIF(109:109,E36,110:110)-SUMIF(109:109,C36,110:110)+100</f>
        <v>100</v>
      </c>
      <c r="G36" s="575" t="s">
        <v>3041</v>
      </c>
      <c r="H36" s="541">
        <f>SUMIF(109:109,G36,110:110)-SUMIF(109:109,C36,110:110)+100</f>
        <v>100</v>
      </c>
      <c r="I36" s="575" t="s">
        <v>3041</v>
      </c>
      <c r="J36" s="541">
        <f>SUMIF(109:109,I36,110:110)-SUMIF(109:109,C36,110:110)+100</f>
        <v>100</v>
      </c>
      <c r="K36" s="865">
        <v>2</v>
      </c>
      <c r="L36" s="2143"/>
      <c r="M36" s="2135"/>
      <c r="N36" s="2135"/>
      <c r="O36" s="2142"/>
      <c r="P36" s="3249"/>
      <c r="Q36" s="3202" t="str">
        <f t="shared" si="8"/>
        <v>公共部分装修</v>
      </c>
      <c r="R36" s="1573" t="s">
        <v>11</v>
      </c>
      <c r="S36" s="1574">
        <f t="shared" si="9"/>
        <v>100</v>
      </c>
      <c r="T36" s="1573" t="s">
        <v>11</v>
      </c>
      <c r="U36" s="1574">
        <f t="shared" si="10"/>
        <v>100</v>
      </c>
      <c r="V36" s="1573" t="s">
        <v>11</v>
      </c>
      <c r="W36" s="1574">
        <f t="shared" si="11"/>
        <v>100</v>
      </c>
      <c r="X36" s="3204"/>
      <c r="Y36" s="3249"/>
      <c r="Z36" s="3203" t="str">
        <f t="shared" si="12"/>
        <v>公共部分装修</v>
      </c>
      <c r="AA36" s="3206">
        <f t="shared" si="3"/>
        <v>1</v>
      </c>
      <c r="AB36" s="3206">
        <f t="shared" si="4"/>
        <v>1</v>
      </c>
      <c r="AC36" s="3206">
        <f t="shared" si="5"/>
        <v>1</v>
      </c>
    </row>
    <row r="37" spans="1:29" s="1219" customFormat="1" ht="15">
      <c r="A37" s="601"/>
      <c r="B37" s="529" t="s">
        <v>731</v>
      </c>
      <c r="C37" s="882">
        <v>1</v>
      </c>
      <c r="D37" s="254">
        <v>100</v>
      </c>
      <c r="E37" s="3197">
        <v>1</v>
      </c>
      <c r="F37" s="864">
        <f>LOOKUP(E37,112:112,113:113)-LOOKUP(C37,112:112,113:113)+100</f>
        <v>100</v>
      </c>
      <c r="G37" s="3197">
        <v>1</v>
      </c>
      <c r="H37" s="254">
        <f>LOOKUP(G37,112:112,113:113)-LOOKUP(C37,112:112,113:113)+100</f>
        <v>100</v>
      </c>
      <c r="I37" s="3197">
        <v>1</v>
      </c>
      <c r="J37" s="254">
        <f>LOOKUP(I37,112:112,113:113)-LOOKUP(C37,112:112,113:113)+100</f>
        <v>100</v>
      </c>
      <c r="K37" s="865">
        <v>1</v>
      </c>
      <c r="L37" s="2136"/>
      <c r="M37" s="2137"/>
      <c r="N37" s="2137"/>
      <c r="O37" s="2138"/>
      <c r="P37" s="3249"/>
      <c r="Q37" s="3201" t="str">
        <f t="shared" si="8"/>
        <v>成新度</v>
      </c>
      <c r="R37" s="1568" t="s">
        <v>11</v>
      </c>
      <c r="S37" s="1569">
        <f t="shared" si="9"/>
        <v>100</v>
      </c>
      <c r="T37" s="1568" t="s">
        <v>11</v>
      </c>
      <c r="U37" s="1569">
        <f t="shared" si="10"/>
        <v>100</v>
      </c>
      <c r="V37" s="1568" t="s">
        <v>11</v>
      </c>
      <c r="W37" s="1569">
        <f t="shared" si="11"/>
        <v>100</v>
      </c>
      <c r="X37" s="1570"/>
      <c r="Y37" s="3249"/>
      <c r="Z37" s="3200" t="str">
        <f t="shared" si="12"/>
        <v>成新度</v>
      </c>
      <c r="AA37" s="1571">
        <f t="shared" si="3"/>
        <v>1</v>
      </c>
      <c r="AB37" s="1571">
        <f t="shared" si="4"/>
        <v>1</v>
      </c>
      <c r="AC37" s="1571">
        <f t="shared" si="5"/>
        <v>1</v>
      </c>
    </row>
    <row r="38" spans="1:29" ht="15">
      <c r="A38" s="595"/>
      <c r="B38" s="529" t="s">
        <v>732</v>
      </c>
      <c r="C38" s="600" t="s">
        <v>3042</v>
      </c>
      <c r="D38" s="541">
        <v>100</v>
      </c>
      <c r="E38" s="575" t="s">
        <v>3042</v>
      </c>
      <c r="F38" s="576">
        <f>SUMIF(114:114,E38,115:115)-SUMIF(114:114,C38,115:115)+100</f>
        <v>100</v>
      </c>
      <c r="G38" s="575" t="s">
        <v>3042</v>
      </c>
      <c r="H38" s="541">
        <f>SUMIF(114:114,G38,115:115)-SUMIF(114:114,C38,115:115)+100</f>
        <v>100</v>
      </c>
      <c r="I38" s="575" t="s">
        <v>3042</v>
      </c>
      <c r="J38" s="541">
        <f>SUMIF(114:114,I38,115:115)-SUMIF(114:114,C38,115:115)+100</f>
        <v>100</v>
      </c>
      <c r="K38" s="865">
        <v>3</v>
      </c>
      <c r="L38" s="2143"/>
      <c r="M38" s="2135"/>
      <c r="N38" s="2135"/>
      <c r="O38" s="2142"/>
      <c r="P38" s="3249" t="s">
        <v>551</v>
      </c>
      <c r="Q38" s="3202" t="str">
        <f t="shared" si="8"/>
        <v>物业管理</v>
      </c>
      <c r="R38" s="1573" t="s">
        <v>11</v>
      </c>
      <c r="S38" s="1574">
        <f t="shared" si="9"/>
        <v>100</v>
      </c>
      <c r="T38" s="1573" t="s">
        <v>11</v>
      </c>
      <c r="U38" s="1574">
        <f t="shared" si="10"/>
        <v>100</v>
      </c>
      <c r="V38" s="1573" t="s">
        <v>11</v>
      </c>
      <c r="W38" s="1574">
        <f t="shared" si="11"/>
        <v>100</v>
      </c>
      <c r="X38" s="3204"/>
      <c r="Y38" s="3249" t="s">
        <v>551</v>
      </c>
      <c r="Z38" s="3203" t="str">
        <f t="shared" si="12"/>
        <v>物业管理</v>
      </c>
      <c r="AA38" s="3206">
        <f t="shared" si="3"/>
        <v>1</v>
      </c>
      <c r="AB38" s="3206">
        <f t="shared" si="4"/>
        <v>1</v>
      </c>
      <c r="AC38" s="3206">
        <f t="shared" si="5"/>
        <v>1</v>
      </c>
    </row>
    <row r="39" spans="1:29" ht="15">
      <c r="A39" s="595"/>
      <c r="B39" s="1896" t="s">
        <v>2570</v>
      </c>
      <c r="C39" s="600" t="s">
        <v>3050</v>
      </c>
      <c r="D39" s="541">
        <v>100</v>
      </c>
      <c r="E39" s="575" t="s">
        <v>3050</v>
      </c>
      <c r="F39" s="576">
        <f>SUMIF(116:116,E39,117:117)-SUMIF(116:116,C39,117:117)+100</f>
        <v>100</v>
      </c>
      <c r="G39" s="575" t="s">
        <v>3050</v>
      </c>
      <c r="H39" s="541">
        <f>SUMIF(116:116,G39,117:117)-SUMIF(116:116,C39,117:117)+100</f>
        <v>100</v>
      </c>
      <c r="I39" s="575" t="s">
        <v>3050</v>
      </c>
      <c r="J39" s="541">
        <f>SUMIF(116:116,I39,117:117)-SUMIF(116:116,C39,117:117)+100</f>
        <v>100</v>
      </c>
      <c r="K39" s="865">
        <v>1</v>
      </c>
      <c r="L39" s="2143"/>
      <c r="M39" s="2135"/>
      <c r="N39" s="2135"/>
      <c r="O39" s="2142"/>
      <c r="P39" s="3249"/>
      <c r="Q39" s="3202" t="str">
        <f t="shared" si="8"/>
        <v>市政基础设施</v>
      </c>
      <c r="R39" s="1573" t="s">
        <v>11</v>
      </c>
      <c r="S39" s="1574">
        <f t="shared" si="9"/>
        <v>100</v>
      </c>
      <c r="T39" s="1573" t="s">
        <v>11</v>
      </c>
      <c r="U39" s="1574">
        <f t="shared" si="10"/>
        <v>100</v>
      </c>
      <c r="V39" s="1573" t="s">
        <v>11</v>
      </c>
      <c r="W39" s="1574">
        <f t="shared" si="11"/>
        <v>100</v>
      </c>
      <c r="X39" s="3204"/>
      <c r="Y39" s="3249"/>
      <c r="Z39" s="3203" t="str">
        <f t="shared" si="12"/>
        <v>市政基础设施</v>
      </c>
      <c r="AA39" s="3206">
        <f t="shared" si="3"/>
        <v>1</v>
      </c>
      <c r="AB39" s="3206">
        <f t="shared" si="4"/>
        <v>1</v>
      </c>
      <c r="AC39" s="3206">
        <f t="shared" si="5"/>
        <v>1</v>
      </c>
    </row>
    <row r="40" spans="1:29" ht="15">
      <c r="A40" s="595"/>
      <c r="B40" s="529" t="s">
        <v>733</v>
      </c>
      <c r="C40" s="600" t="s">
        <v>3043</v>
      </c>
      <c r="D40" s="541">
        <v>100</v>
      </c>
      <c r="E40" s="575" t="s">
        <v>3043</v>
      </c>
      <c r="F40" s="576">
        <f>SUMIF(118:118,E40,119:119)-SUMIF(118:118,C40,119:119)+100</f>
        <v>100</v>
      </c>
      <c r="G40" s="575" t="s">
        <v>3043</v>
      </c>
      <c r="H40" s="541">
        <f>SUMIF(118:118,G40,119:119)-SUMIF(118:118,C40,119:119)+100</f>
        <v>100</v>
      </c>
      <c r="I40" s="575" t="s">
        <v>3043</v>
      </c>
      <c r="J40" s="541">
        <f>SUMIF(118:118,I40,119:119)-SUMIF(118:118,C40,119:119)+100</f>
        <v>100</v>
      </c>
      <c r="K40" s="865">
        <v>5</v>
      </c>
      <c r="L40" s="2143"/>
      <c r="M40" s="2135"/>
      <c r="N40" s="2135"/>
      <c r="O40" s="2142"/>
      <c r="P40" s="3249"/>
      <c r="Q40" s="3202" t="str">
        <f t="shared" si="8"/>
        <v>房型</v>
      </c>
      <c r="R40" s="1573" t="s">
        <v>11</v>
      </c>
      <c r="S40" s="1574">
        <f t="shared" si="9"/>
        <v>100</v>
      </c>
      <c r="T40" s="1573" t="s">
        <v>11</v>
      </c>
      <c r="U40" s="1574">
        <f t="shared" si="10"/>
        <v>100</v>
      </c>
      <c r="V40" s="1573" t="s">
        <v>11</v>
      </c>
      <c r="W40" s="1574">
        <f t="shared" si="11"/>
        <v>100</v>
      </c>
      <c r="X40" s="3204"/>
      <c r="Y40" s="3249"/>
      <c r="Z40" s="3203" t="str">
        <f t="shared" si="12"/>
        <v>房型</v>
      </c>
      <c r="AA40" s="3206">
        <f t="shared" si="3"/>
        <v>1</v>
      </c>
      <c r="AB40" s="3206">
        <f t="shared" si="4"/>
        <v>1</v>
      </c>
      <c r="AC40" s="3206">
        <f t="shared" si="5"/>
        <v>1</v>
      </c>
    </row>
    <row r="41" spans="1:29" s="1338" customFormat="1" ht="28.5">
      <c r="A41" s="604"/>
      <c r="B41" s="529" t="s">
        <v>734</v>
      </c>
      <c r="C41" s="879"/>
      <c r="D41" s="254">
        <v>100</v>
      </c>
      <c r="E41" s="879"/>
      <c r="F41" s="864">
        <f>SUMIF(120:120,E41,121:121)-SUMIF(120:120,C41,121:121)+100</f>
        <v>100</v>
      </c>
      <c r="G41" s="879"/>
      <c r="H41" s="254">
        <f>SUMIF(120:120,G41,121:121)-SUMIF(120:120,C41,121:121)+100</f>
        <v>100</v>
      </c>
      <c r="I41" s="879"/>
      <c r="J41" s="541">
        <f>SUMIF(120:120,I41,121:121)-SUMIF(120:120,C41,121:121)+100</f>
        <v>100</v>
      </c>
      <c r="K41" s="866"/>
      <c r="L41" s="2141"/>
      <c r="M41" s="2172"/>
      <c r="N41" s="2172"/>
      <c r="O41" s="2144"/>
      <c r="P41" s="3249"/>
      <c r="Q41" s="1605" t="str">
        <f t="shared" si="8"/>
        <v>单套/主力户型建筑面积</v>
      </c>
      <c r="R41" s="1577" t="s">
        <v>11</v>
      </c>
      <c r="S41" s="1578">
        <f t="shared" si="9"/>
        <v>100</v>
      </c>
      <c r="T41" s="1577" t="s">
        <v>11</v>
      </c>
      <c r="U41" s="1578">
        <f t="shared" si="10"/>
        <v>100</v>
      </c>
      <c r="V41" s="1577" t="s">
        <v>11</v>
      </c>
      <c r="W41" s="1578">
        <f t="shared" si="11"/>
        <v>100</v>
      </c>
      <c r="X41" s="1579"/>
      <c r="Y41" s="3249"/>
      <c r="Z41" s="1580" t="str">
        <f t="shared" si="12"/>
        <v>单套/主力户型建筑面积</v>
      </c>
      <c r="AA41" s="3206">
        <f t="shared" si="3"/>
        <v>1</v>
      </c>
      <c r="AB41" s="3206">
        <f t="shared" si="4"/>
        <v>1</v>
      </c>
      <c r="AC41" s="3206">
        <f t="shared" si="5"/>
        <v>1</v>
      </c>
    </row>
    <row r="42" spans="1:29" ht="15.75" thickBot="1">
      <c r="A42" s="595"/>
      <c r="B42" s="529" t="s">
        <v>735</v>
      </c>
      <c r="C42" s="600" t="s">
        <v>3232</v>
      </c>
      <c r="D42" s="541">
        <v>100</v>
      </c>
      <c r="E42" s="575" t="s">
        <v>3232</v>
      </c>
      <c r="F42" s="576">
        <f>SUMIF(122:122,E42,123:123)-SUMIF(122:122,C42,123:123)+100</f>
        <v>100</v>
      </c>
      <c r="G42" s="575" t="s">
        <v>3041</v>
      </c>
      <c r="H42" s="541">
        <f>SUMIF(122:122,G42,123:123)-SUMIF(122:122,C42,123:123)+100</f>
        <v>109</v>
      </c>
      <c r="I42" s="575" t="s">
        <v>3041</v>
      </c>
      <c r="J42" s="541">
        <f>SUMIF(122:122,I42,123:123)-SUMIF(122:122,C42,123:123)+100</f>
        <v>109</v>
      </c>
      <c r="K42" s="865">
        <v>3</v>
      </c>
      <c r="L42" s="2143"/>
      <c r="M42" s="2135"/>
      <c r="N42" s="2135"/>
      <c r="O42" s="2142"/>
      <c r="P42" s="3249"/>
      <c r="Q42" s="3202" t="str">
        <f t="shared" si="8"/>
        <v>内部装修</v>
      </c>
      <c r="R42" s="1573" t="s">
        <v>11</v>
      </c>
      <c r="S42" s="1574">
        <f t="shared" si="9"/>
        <v>100</v>
      </c>
      <c r="T42" s="1573" t="s">
        <v>11</v>
      </c>
      <c r="U42" s="1574">
        <f t="shared" si="10"/>
        <v>109</v>
      </c>
      <c r="V42" s="1573" t="s">
        <v>11</v>
      </c>
      <c r="W42" s="1574">
        <f t="shared" si="11"/>
        <v>109</v>
      </c>
      <c r="X42" s="3204"/>
      <c r="Y42" s="3249"/>
      <c r="Z42" s="3203" t="str">
        <f t="shared" si="12"/>
        <v>内部装修</v>
      </c>
      <c r="AA42" s="3206">
        <f t="shared" si="3"/>
        <v>1</v>
      </c>
      <c r="AB42" s="3206">
        <f t="shared" si="4"/>
        <v>0.91743119266055051</v>
      </c>
      <c r="AC42" s="3206">
        <f t="shared" si="5"/>
        <v>0.91743119266055051</v>
      </c>
    </row>
    <row r="43" spans="1:29" ht="27.75" hidden="1" thickBot="1">
      <c r="A43" s="595"/>
      <c r="B43" s="529" t="s">
        <v>736</v>
      </c>
      <c r="C43" s="600" t="s">
        <v>3013</v>
      </c>
      <c r="D43" s="541">
        <v>100</v>
      </c>
      <c r="E43" s="575" t="s">
        <v>3013</v>
      </c>
      <c r="F43" s="576">
        <f>SUMIF(124:124,E43,125:125)-SUMIF(124:124,C43,125:125)+100</f>
        <v>100</v>
      </c>
      <c r="G43" s="575" t="s">
        <v>3013</v>
      </c>
      <c r="H43" s="541">
        <f>SUMIF(124:124,G43,125:125)-SUMIF(124:124,C43,125:125)+100</f>
        <v>100</v>
      </c>
      <c r="I43" s="575" t="s">
        <v>3013</v>
      </c>
      <c r="J43" s="541">
        <f>SUMIF(124:124,I43,125:125)-SUMIF(124:124,C43,125:125)+100</f>
        <v>100</v>
      </c>
      <c r="K43" s="865">
        <v>0</v>
      </c>
      <c r="L43" s="2143"/>
      <c r="M43" s="2135"/>
      <c r="N43" s="2135"/>
      <c r="O43" s="2142"/>
      <c r="P43" s="3249"/>
      <c r="Q43" s="3202" t="str">
        <f t="shared" si="8"/>
        <v>内部装修维护情况</v>
      </c>
      <c r="R43" s="1573" t="s">
        <v>11</v>
      </c>
      <c r="S43" s="1574">
        <f t="shared" si="9"/>
        <v>100</v>
      </c>
      <c r="T43" s="1573" t="s">
        <v>11</v>
      </c>
      <c r="U43" s="1574">
        <f t="shared" si="10"/>
        <v>100</v>
      </c>
      <c r="V43" s="1573" t="s">
        <v>11</v>
      </c>
      <c r="W43" s="1574">
        <f t="shared" si="11"/>
        <v>100</v>
      </c>
      <c r="X43" s="3204"/>
      <c r="Y43" s="3249"/>
      <c r="Z43" s="3203" t="str">
        <f t="shared" si="12"/>
        <v>内部装修维护情况</v>
      </c>
      <c r="AA43" s="3206">
        <f t="shared" si="3"/>
        <v>1</v>
      </c>
      <c r="AB43" s="3206">
        <f t="shared" si="4"/>
        <v>1</v>
      </c>
      <c r="AC43" s="3206">
        <f t="shared" si="5"/>
        <v>1</v>
      </c>
    </row>
    <row r="44" spans="1:29" s="1219" customFormat="1" ht="15.75" hidden="1" thickBot="1">
      <c r="A44" s="601"/>
      <c r="B44" s="877"/>
      <c r="C44" s="879"/>
      <c r="D44" s="254">
        <v>100</v>
      </c>
      <c r="E44" s="879"/>
      <c r="F44" s="864">
        <f>SUMIF(126:126,E44,127:127)-SUMIF(126:126,C44,127:127)+100</f>
        <v>100</v>
      </c>
      <c r="G44" s="879"/>
      <c r="H44" s="254">
        <f>SUMIF(126:126,G44,127:127)-SUMIF(126:126,C44,127:127)+100</f>
        <v>100</v>
      </c>
      <c r="I44" s="879"/>
      <c r="J44" s="254">
        <f>SUMIF(126:126,I44,127:127)-SUMIF(126:126,C44,127:127)+100</f>
        <v>100</v>
      </c>
      <c r="K44" s="866"/>
      <c r="L44" s="2136"/>
      <c r="M44" s="2137"/>
      <c r="N44" s="2137"/>
      <c r="O44" s="2138"/>
      <c r="P44" s="3249"/>
      <c r="Q44" s="3201">
        <f t="shared" si="8"/>
        <v>0</v>
      </c>
      <c r="R44" s="1568" t="s">
        <v>11</v>
      </c>
      <c r="S44" s="1569">
        <f t="shared" si="9"/>
        <v>100</v>
      </c>
      <c r="T44" s="1568" t="s">
        <v>11</v>
      </c>
      <c r="U44" s="1569">
        <f t="shared" si="10"/>
        <v>100</v>
      </c>
      <c r="V44" s="1568" t="s">
        <v>11</v>
      </c>
      <c r="W44" s="1569">
        <f t="shared" si="11"/>
        <v>100</v>
      </c>
      <c r="X44" s="1570"/>
      <c r="Y44" s="3249"/>
      <c r="Z44" s="3200">
        <f t="shared" si="12"/>
        <v>0</v>
      </c>
      <c r="AA44" s="1571">
        <f t="shared" si="3"/>
        <v>1</v>
      </c>
      <c r="AB44" s="1571">
        <f t="shared" si="4"/>
        <v>1</v>
      </c>
      <c r="AC44" s="1571">
        <f t="shared" si="5"/>
        <v>1</v>
      </c>
    </row>
    <row r="45" spans="1:29" ht="15.75" hidden="1" thickBot="1">
      <c r="A45" s="595"/>
      <c r="B45" s="877"/>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3"/>
      <c r="M45" s="2135"/>
      <c r="N45" s="2135"/>
      <c r="O45" s="2142"/>
      <c r="P45" s="3249"/>
      <c r="Q45" s="3202">
        <f t="shared" si="8"/>
        <v>0</v>
      </c>
      <c r="R45" s="1573" t="s">
        <v>11</v>
      </c>
      <c r="S45" s="1574">
        <f t="shared" si="9"/>
        <v>100</v>
      </c>
      <c r="T45" s="1573" t="s">
        <v>11</v>
      </c>
      <c r="U45" s="1574">
        <f t="shared" si="10"/>
        <v>100</v>
      </c>
      <c r="V45" s="1573" t="s">
        <v>11</v>
      </c>
      <c r="W45" s="1574">
        <f t="shared" si="11"/>
        <v>100</v>
      </c>
      <c r="X45" s="3204"/>
      <c r="Y45" s="3249"/>
      <c r="Z45" s="3203">
        <f t="shared" si="12"/>
        <v>0</v>
      </c>
      <c r="AA45" s="3206">
        <f t="shared" si="3"/>
        <v>1</v>
      </c>
      <c r="AB45" s="3206">
        <f t="shared" si="4"/>
        <v>1</v>
      </c>
      <c r="AC45" s="3206">
        <f t="shared" si="5"/>
        <v>1</v>
      </c>
    </row>
    <row r="46" spans="1:29" ht="15.75" hidden="1" thickBot="1">
      <c r="A46" s="885"/>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3"/>
      <c r="M46" s="2135"/>
      <c r="N46" s="2135"/>
      <c r="O46" s="2142"/>
      <c r="P46" s="3250"/>
      <c r="Q46" s="3202">
        <f t="shared" si="8"/>
        <v>0</v>
      </c>
      <c r="R46" s="1573" t="s">
        <v>10</v>
      </c>
      <c r="S46" s="1574">
        <f t="shared" si="9"/>
        <v>100</v>
      </c>
      <c r="T46" s="1573" t="s">
        <v>10</v>
      </c>
      <c r="U46" s="1574">
        <f t="shared" si="10"/>
        <v>100</v>
      </c>
      <c r="V46" s="1573" t="s">
        <v>10</v>
      </c>
      <c r="W46" s="1574">
        <f t="shared" si="11"/>
        <v>100</v>
      </c>
      <c r="X46" s="3204"/>
      <c r="Y46" s="3250"/>
      <c r="Z46" s="3203">
        <f t="shared" si="12"/>
        <v>0</v>
      </c>
      <c r="AA46" s="3206">
        <f t="shared" si="3"/>
        <v>1</v>
      </c>
      <c r="AB46" s="3206">
        <f t="shared" si="4"/>
        <v>1</v>
      </c>
      <c r="AC46" s="3206">
        <f t="shared" si="5"/>
        <v>1</v>
      </c>
    </row>
    <row r="47" spans="1:29" ht="15">
      <c r="A47" s="608" t="s">
        <v>737</v>
      </c>
      <c r="B47" s="886"/>
      <c r="C47" s="2649" t="s">
        <v>9</v>
      </c>
      <c r="D47" s="2650"/>
      <c r="E47" s="2651">
        <v>10000</v>
      </c>
      <c r="F47" s="2652"/>
      <c r="G47" s="2651">
        <f>0.98*12000</f>
        <v>11760</v>
      </c>
      <c r="H47" s="2654"/>
      <c r="I47" s="2651">
        <v>12000</v>
      </c>
      <c r="J47" s="2654"/>
      <c r="K47" s="1606"/>
      <c r="L47" s="2145"/>
      <c r="M47" s="2146"/>
      <c r="N47" s="2135"/>
      <c r="O47" s="2146"/>
      <c r="P47" s="3241" t="str">
        <f>A47</f>
        <v>成交单价（元/平方米）</v>
      </c>
      <c r="Q47" s="3241"/>
      <c r="R47" s="3242">
        <f>E47</f>
        <v>10000</v>
      </c>
      <c r="S47" s="3242"/>
      <c r="T47" s="3242">
        <f>G47</f>
        <v>11760</v>
      </c>
      <c r="U47" s="3242"/>
      <c r="V47" s="3242">
        <f>I47</f>
        <v>12000</v>
      </c>
      <c r="W47" s="3242"/>
      <c r="X47" s="1559"/>
      <c r="Y47" s="1581"/>
      <c r="Z47" s="1559"/>
      <c r="AA47" s="1559"/>
      <c r="AB47" s="1559"/>
      <c r="AC47" s="1559"/>
    </row>
    <row r="48" spans="1:29" ht="15.75" thickBot="1">
      <c r="A48" s="616" t="s">
        <v>2701</v>
      </c>
      <c r="B48" s="887"/>
      <c r="C48" s="2655">
        <f>R49</f>
        <v>10872</v>
      </c>
      <c r="D48" s="2656"/>
      <c r="E48" s="2657">
        <f>R48</f>
        <v>11078</v>
      </c>
      <c r="F48" s="2657"/>
      <c r="G48" s="2655">
        <f>T48</f>
        <v>11244</v>
      </c>
      <c r="H48" s="2656"/>
      <c r="I48" s="2657">
        <f>V48</f>
        <v>10293</v>
      </c>
      <c r="J48" s="2656"/>
      <c r="K48" s="1607"/>
      <c r="L48" s="2145"/>
      <c r="M48" s="2146"/>
      <c r="N48" s="2146"/>
      <c r="O48" s="2146"/>
      <c r="P48" s="3241" t="str">
        <f>A48</f>
        <v>比较价格（元/平方米）</v>
      </c>
      <c r="Q48" s="3241"/>
      <c r="R48" s="3242">
        <f>IF(F1="售价",ROUND(PRODUCT(R47,AA7:AA46),0),ROUND(PRODUCT(R47,AA7:AA46),1))</f>
        <v>11078</v>
      </c>
      <c r="S48" s="3242"/>
      <c r="T48" s="3242">
        <f>IF(F1="售价",ROUND(PRODUCT(T47,AB7:AB46),0),ROUND(PRODUCT(T47,AB7:AB46),1))</f>
        <v>11244</v>
      </c>
      <c r="U48" s="3242"/>
      <c r="V48" s="3242">
        <f>IF(F1="售价",ROUND(PRODUCT(V47,AC7:AC46),0),ROUND(PRODUCT(V47,AC7:AC46),1))</f>
        <v>10293</v>
      </c>
      <c r="W48" s="3242"/>
      <c r="X48" s="1559"/>
      <c r="Y48" s="1559"/>
      <c r="Z48" s="1559"/>
      <c r="AA48" s="1559"/>
      <c r="AB48" s="1559"/>
      <c r="AC48" s="1559"/>
    </row>
    <row r="49" spans="1:29" ht="15.75" thickBot="1">
      <c r="A49" s="622" t="s">
        <v>2943</v>
      </c>
      <c r="B49" s="623"/>
      <c r="C49" s="2658">
        <f>R49</f>
        <v>10872</v>
      </c>
      <c r="D49" s="2658"/>
      <c r="E49" s="2658"/>
      <c r="F49" s="2658"/>
      <c r="G49" s="2658"/>
      <c r="H49" s="2658"/>
      <c r="I49" s="2658"/>
      <c r="J49" s="2658"/>
      <c r="K49" s="1608"/>
      <c r="L49" s="2145"/>
      <c r="M49" s="2146"/>
      <c r="N49" s="2146"/>
      <c r="O49" s="2146"/>
      <c r="P49" s="3243" t="str">
        <f>A49</f>
        <v>估价对象XX用房的比较价格（楼面单价，元/平方米）</v>
      </c>
      <c r="Q49" s="3244"/>
      <c r="R49" s="3245">
        <f>IF(F1="售价",ROUND(AVERAGE(R48:V48),0),ROUND(AVERAGE(R48:V48),1))</f>
        <v>10872</v>
      </c>
      <c r="S49" s="3245"/>
      <c r="T49" s="3245"/>
      <c r="U49" s="3245"/>
      <c r="V49" s="3245"/>
      <c r="W49" s="324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f>IF(E47&lt;E48,E48/E47-1,E47/E48-1)</f>
        <v>0.1077999999999999</v>
      </c>
      <c r="F52" s="628" t="str">
        <f>IF(OR(E52&gt;=0.3,E52&lt;=-0.3),"超过30%","")</f>
        <v/>
      </c>
      <c r="G52" s="627">
        <f>IF(G47&lt;G48,G48/G47-1,G47/G48-1)</f>
        <v>4.5891141942369318E-2</v>
      </c>
      <c r="H52" s="628" t="str">
        <f>IF(OR(G52&gt;=0.3,G52&lt;=-0.3),"超过30%","")</f>
        <v/>
      </c>
      <c r="I52" s="627">
        <f>IF(I47&lt;I48,I48/I47-1,I47/I48-1)</f>
        <v>0.16584086272223852</v>
      </c>
      <c r="J52" s="628"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f>IF(E48&lt;G48,G48/E48-1,E48/G48-1)</f>
        <v>1.4984654269723841E-2</v>
      </c>
      <c r="F53" s="628" t="str">
        <f>IF(OR(E53&gt;=0.2,E53&lt;=-0.2),"超过20%","")</f>
        <v/>
      </c>
      <c r="G53" s="627">
        <f>IF(G48&lt;I48,I48/G48-1,G48/I48-1)</f>
        <v>9.2392888370737447E-2</v>
      </c>
      <c r="H53" s="628" t="str">
        <f>IF(OR(G53&gt;=0.2,G53&lt;=-0.2),"超过20%","")</f>
        <v/>
      </c>
      <c r="I53" s="627">
        <f>IF(I48&lt;E48,E48/I48-1,I48/E48-1)</f>
        <v>7.626542310307971E-2</v>
      </c>
      <c r="J53" s="628"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5" t="s">
        <v>560</v>
      </c>
      <c r="D54" s="629"/>
      <c r="E54" s="627">
        <f>IF(E47&lt;G47,G47/E47-1,E47/G47-1)</f>
        <v>0.17599999999999993</v>
      </c>
      <c r="F54" s="628" t="str">
        <f>IF(OR(E54&gt;=0.3,E54&lt;=-0.3),"超过30%","")</f>
        <v/>
      </c>
      <c r="G54" s="627">
        <f>IF(G47&lt;I47,I47/G47-1,G47/I47-1)</f>
        <v>2.0408163265306145E-2</v>
      </c>
      <c r="H54" s="628" t="str">
        <f>IF(OR(G54&gt;=0.3,G54&lt;=-0.3),"超过30%","")</f>
        <v/>
      </c>
      <c r="I54" s="627">
        <f>IF(I47&lt;E47,E47/I47-1,I47/E47-1)</f>
        <v>0.19999999999999996</v>
      </c>
      <c r="J54" s="628"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6" t="s">
        <v>530</v>
      </c>
      <c r="B58" s="647"/>
      <c r="C58" s="2828"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1"/>
      <c r="Q58" s="2162"/>
      <c r="R58" s="2162"/>
      <c r="S58" s="2162"/>
      <c r="T58" s="2162"/>
      <c r="U58" s="2162"/>
      <c r="V58" s="2162"/>
      <c r="W58" s="2162"/>
      <c r="X58" s="2162"/>
      <c r="Y58" s="2162"/>
      <c r="Z58" s="2162"/>
      <c r="AA58" s="2162"/>
      <c r="AB58" s="2162"/>
      <c r="AC58" s="2162"/>
    </row>
    <row r="59" spans="1:29" s="1219" customFormat="1" ht="15">
      <c r="A59" s="648"/>
      <c r="B59" s="649"/>
      <c r="C59" s="650">
        <v>100</v>
      </c>
      <c r="D59" s="651"/>
      <c r="E59" s="651"/>
      <c r="F59" s="651"/>
      <c r="G59" s="651"/>
      <c r="H59" s="651"/>
      <c r="I59" s="651"/>
      <c r="J59" s="651"/>
      <c r="K59" s="651"/>
      <c r="L59" s="651"/>
      <c r="M59" s="651"/>
      <c r="N59" s="651"/>
      <c r="O59" s="651"/>
      <c r="P59" s="2159"/>
      <c r="Q59" s="1994"/>
      <c r="R59" s="1994"/>
      <c r="S59" s="1994"/>
      <c r="T59" s="1994"/>
      <c r="U59" s="1994"/>
      <c r="V59" s="1994"/>
      <c r="W59" s="1994"/>
      <c r="X59" s="1994"/>
      <c r="Y59" s="1994"/>
      <c r="Z59" s="1994"/>
      <c r="AA59" s="1994"/>
      <c r="AB59" s="1994"/>
      <c r="AC59" s="1994"/>
    </row>
    <row r="60" spans="1:29" s="1219"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19"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19" customFormat="1" ht="15.75" thickBot="1">
      <c r="A62" s="660"/>
      <c r="B62" s="649"/>
      <c r="C62" s="888">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994"/>
    </row>
    <row r="63" spans="1:29">
      <c r="A63" s="665" t="s">
        <v>578</v>
      </c>
      <c r="B63" s="666" t="s">
        <v>535</v>
      </c>
      <c r="C63" s="705" t="str">
        <f>C9</f>
        <v>住宅</v>
      </c>
      <c r="D63" s="3163" t="s">
        <v>1953</v>
      </c>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 t="shared" ref="D66:I66" si="14">C66-$K10</f>
        <v>99</v>
      </c>
      <c r="E66" s="680">
        <f t="shared" si="14"/>
        <v>98</v>
      </c>
      <c r="F66" s="680">
        <f t="shared" si="14"/>
        <v>97</v>
      </c>
      <c r="G66" s="680">
        <f t="shared" si="14"/>
        <v>96</v>
      </c>
      <c r="H66" s="680">
        <f t="shared" si="14"/>
        <v>95</v>
      </c>
      <c r="I66" s="680">
        <f t="shared" si="14"/>
        <v>94</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1（含）-2</v>
      </c>
      <c r="D67" s="683" t="str">
        <f t="shared" ref="D67:L67" si="15">D68&amp;"（含）"&amp;"-"&amp;E68</f>
        <v>2（含）-3</v>
      </c>
      <c r="E67" s="683" t="str">
        <f t="shared" si="15"/>
        <v>3（含）-4</v>
      </c>
      <c r="F67" s="683" t="str">
        <f t="shared" si="15"/>
        <v>4（含）-5</v>
      </c>
      <c r="G67" s="683" t="str">
        <f t="shared" si="15"/>
        <v>5（含）-6</v>
      </c>
      <c r="H67" s="683" t="str">
        <f t="shared" si="15"/>
        <v>6（含）-7</v>
      </c>
      <c r="I67" s="683" t="str">
        <f t="shared" si="15"/>
        <v>7（含）-8</v>
      </c>
      <c r="J67" s="683" t="str">
        <f t="shared" si="15"/>
        <v>8（含）-9</v>
      </c>
      <c r="K67" s="683" t="str">
        <f t="shared" si="15"/>
        <v>9（含）-10</v>
      </c>
      <c r="L67" s="683" t="str">
        <f t="shared" si="15"/>
        <v>10（含）-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v>1</v>
      </c>
      <c r="D68" s="542">
        <v>2</v>
      </c>
      <c r="E68" s="542">
        <v>3</v>
      </c>
      <c r="F68" s="542">
        <v>4</v>
      </c>
      <c r="G68" s="542">
        <v>5</v>
      </c>
      <c r="H68" s="542">
        <v>6</v>
      </c>
      <c r="I68" s="542">
        <v>7</v>
      </c>
      <c r="J68" s="542">
        <v>8</v>
      </c>
      <c r="K68" s="542">
        <v>9</v>
      </c>
      <c r="L68" s="542">
        <v>10</v>
      </c>
      <c r="M68" s="542"/>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6">C69-$K11</f>
        <v>98</v>
      </c>
      <c r="E69" s="680">
        <f t="shared" si="16"/>
        <v>96</v>
      </c>
      <c r="F69" s="680">
        <f t="shared" si="16"/>
        <v>94</v>
      </c>
      <c r="G69" s="680">
        <f t="shared" si="16"/>
        <v>92</v>
      </c>
      <c r="H69" s="680">
        <f t="shared" si="16"/>
        <v>90</v>
      </c>
      <c r="I69" s="680">
        <f t="shared" si="16"/>
        <v>88</v>
      </c>
      <c r="J69" s="680">
        <f t="shared" si="16"/>
        <v>86</v>
      </c>
      <c r="K69" s="680">
        <f t="shared" si="16"/>
        <v>84</v>
      </c>
      <c r="L69" s="680">
        <f t="shared" si="16"/>
        <v>82</v>
      </c>
      <c r="M69" s="681">
        <f t="shared" si="16"/>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8"/>
      <c r="B70" s="674">
        <f>B12</f>
        <v>0</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8"/>
      <c r="B72" s="674">
        <f>B13</f>
        <v>0</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8"/>
      <c r="B73" s="679"/>
      <c r="C73" s="693"/>
      <c r="D73" s="693"/>
      <c r="E73" s="693"/>
      <c r="F73" s="693"/>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8"/>
      <c r="B74" s="682">
        <f>B14</f>
        <v>0</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97</v>
      </c>
      <c r="E77" s="680">
        <f>D77-$K15</f>
        <v>94</v>
      </c>
      <c r="F77" s="680">
        <f>E77-$K15</f>
        <v>91</v>
      </c>
      <c r="G77" s="680">
        <f>F77-$K15</f>
        <v>88</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97</v>
      </c>
      <c r="E79" s="680">
        <f>D79-$K17</f>
        <v>94</v>
      </c>
      <c r="F79" s="680">
        <f>E79-$K17</f>
        <v>91</v>
      </c>
      <c r="G79" s="680">
        <f>F79-$K17</f>
        <v>88</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2320</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97</v>
      </c>
      <c r="E81" s="680">
        <f>D81-$K19</f>
        <v>94</v>
      </c>
      <c r="F81" s="680">
        <f>E81-$K19</f>
        <v>91</v>
      </c>
      <c r="G81" s="680">
        <f>F81-$K19</f>
        <v>88</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19" t="s">
        <v>2553</v>
      </c>
      <c r="C82" s="2620" t="s">
        <v>2565</v>
      </c>
      <c r="D82" s="2620" t="s">
        <v>2566</v>
      </c>
      <c r="E82" s="2620" t="s">
        <v>2567</v>
      </c>
      <c r="F82" s="2620" t="s">
        <v>2568</v>
      </c>
      <c r="G82" s="2620" t="s">
        <v>2569</v>
      </c>
      <c r="H82" s="675"/>
      <c r="I82" s="675"/>
      <c r="J82" s="675"/>
      <c r="K82" s="675"/>
      <c r="L82" s="675"/>
      <c r="M82" s="2623"/>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99</v>
      </c>
      <c r="E83" s="680">
        <f>D83-$K21</f>
        <v>98</v>
      </c>
      <c r="F83" s="680">
        <f>E83-$K21</f>
        <v>97</v>
      </c>
      <c r="G83" s="680">
        <f>F83-$K21</f>
        <v>96</v>
      </c>
      <c r="H83" s="934"/>
      <c r="I83" s="934"/>
      <c r="J83" s="934"/>
      <c r="K83" s="934"/>
      <c r="L83" s="934"/>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97</v>
      </c>
      <c r="E85" s="680">
        <f>D85-$K23</f>
        <v>94</v>
      </c>
      <c r="F85" s="680">
        <f>E85-$K23</f>
        <v>91</v>
      </c>
      <c r="G85" s="680">
        <f>F85-$K23</f>
        <v>88</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19" customFormat="1" ht="15.75" thickTop="1">
      <c r="A86" s="710"/>
      <c r="B86" s="1897" t="s">
        <v>2260</v>
      </c>
      <c r="C86" s="689"/>
      <c r="D86" s="689"/>
      <c r="E86" s="689"/>
      <c r="F86" s="689"/>
      <c r="G86" s="689"/>
      <c r="H86" s="689"/>
      <c r="I86" s="689"/>
      <c r="J86" s="689"/>
      <c r="K86" s="689"/>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10"/>
      <c r="B87" s="679"/>
      <c r="C87" s="713">
        <v>100</v>
      </c>
      <c r="D87" s="680">
        <f>$C$87-($C$86-D86)*$K$25</f>
        <v>100</v>
      </c>
      <c r="E87" s="680">
        <f t="shared" ref="E87:M87" si="17">$C$87-($C$86-E86)*$K$25</f>
        <v>100</v>
      </c>
      <c r="F87" s="680">
        <f t="shared" si="17"/>
        <v>100</v>
      </c>
      <c r="G87" s="680">
        <f t="shared" si="17"/>
        <v>100</v>
      </c>
      <c r="H87" s="680">
        <f t="shared" si="17"/>
        <v>100</v>
      </c>
      <c r="I87" s="680">
        <f t="shared" si="17"/>
        <v>100</v>
      </c>
      <c r="J87" s="680">
        <f t="shared" si="17"/>
        <v>100</v>
      </c>
      <c r="K87" s="680">
        <f t="shared" si="17"/>
        <v>100</v>
      </c>
      <c r="L87" s="680">
        <f t="shared" si="17"/>
        <v>100</v>
      </c>
      <c r="M87" s="680">
        <f t="shared" si="17"/>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10"/>
      <c r="B88" s="674" t="s">
        <v>747</v>
      </c>
      <c r="C88" s="689"/>
      <c r="D88" s="689"/>
      <c r="E88" s="689"/>
      <c r="F88" s="891"/>
      <c r="G88" s="689"/>
      <c r="H88" s="689"/>
      <c r="I88" s="689"/>
      <c r="J88" s="689"/>
      <c r="K88" s="689"/>
      <c r="L88" s="689"/>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10"/>
      <c r="B89" s="679"/>
      <c r="C89" s="713">
        <v>100</v>
      </c>
      <c r="D89" s="680">
        <f t="shared" ref="D89:M89" si="18">C89-$K26</f>
        <v>100</v>
      </c>
      <c r="E89" s="680">
        <f t="shared" si="18"/>
        <v>100</v>
      </c>
      <c r="F89" s="680">
        <f t="shared" si="18"/>
        <v>100</v>
      </c>
      <c r="G89" s="680">
        <f t="shared" si="18"/>
        <v>100</v>
      </c>
      <c r="H89" s="680">
        <f t="shared" si="18"/>
        <v>100</v>
      </c>
      <c r="I89" s="680">
        <f t="shared" si="18"/>
        <v>100</v>
      </c>
      <c r="J89" s="680">
        <f t="shared" si="18"/>
        <v>100</v>
      </c>
      <c r="K89" s="680">
        <f t="shared" si="18"/>
        <v>100</v>
      </c>
      <c r="L89" s="680">
        <f t="shared" si="18"/>
        <v>100</v>
      </c>
      <c r="M89" s="680">
        <f t="shared" si="18"/>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8"/>
      <c r="B90" s="674">
        <f>B27</f>
        <v>0</v>
      </c>
      <c r="C90" s="689" t="s">
        <v>3017</v>
      </c>
      <c r="D90" s="689" t="s">
        <v>3018</v>
      </c>
      <c r="E90" s="689" t="s">
        <v>3019</v>
      </c>
      <c r="F90" s="689" t="s">
        <v>3020</v>
      </c>
      <c r="G90" s="689" t="s">
        <v>2990</v>
      </c>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8"/>
      <c r="B91" s="679"/>
      <c r="C91" s="693">
        <v>100</v>
      </c>
      <c r="D91" s="693">
        <v>99.5</v>
      </c>
      <c r="E91" s="693">
        <v>99</v>
      </c>
      <c r="F91" s="693">
        <v>98.5</v>
      </c>
      <c r="G91" s="693">
        <v>98</v>
      </c>
      <c r="H91" s="693">
        <v>97.5</v>
      </c>
      <c r="I91" s="693"/>
      <c r="J91" s="693"/>
      <c r="K91" s="693"/>
      <c r="L91" s="694"/>
      <c r="M91" s="695"/>
      <c r="N91" s="2168"/>
      <c r="O91" s="2168"/>
      <c r="P91" s="2169"/>
      <c r="Q91" s="2170"/>
      <c r="R91" s="2171"/>
      <c r="S91" s="2171"/>
      <c r="T91" s="2171"/>
      <c r="U91" s="2171"/>
      <c r="V91" s="2171"/>
      <c r="W91" s="2171"/>
      <c r="X91" s="2171"/>
      <c r="Y91" s="2171"/>
      <c r="Z91" s="2171"/>
      <c r="AA91" s="2171"/>
      <c r="AB91" s="2171"/>
      <c r="AC91" s="2171"/>
    </row>
    <row r="92" spans="1:29" ht="15.75" thickTop="1">
      <c r="A92" s="670"/>
      <c r="B92" s="674" t="str">
        <f>B28</f>
        <v>道路级别</v>
      </c>
      <c r="C92" s="689" t="s">
        <v>3017</v>
      </c>
      <c r="D92" s="689" t="s">
        <v>3018</v>
      </c>
      <c r="E92" s="689" t="s">
        <v>3019</v>
      </c>
      <c r="F92" s="689" t="s">
        <v>3020</v>
      </c>
      <c r="G92" s="689" t="s">
        <v>2990</v>
      </c>
      <c r="H92" s="719"/>
      <c r="I92" s="719"/>
      <c r="J92" s="719"/>
      <c r="K92" s="720"/>
      <c r="L92" s="721"/>
      <c r="M92" s="722"/>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93">
        <v>100</v>
      </c>
      <c r="D93" s="693">
        <v>99</v>
      </c>
      <c r="E93" s="693">
        <v>98</v>
      </c>
      <c r="F93" s="693">
        <v>97</v>
      </c>
      <c r="G93" s="693">
        <v>96</v>
      </c>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0</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93"/>
      <c r="E95" s="693"/>
      <c r="F95" s="693"/>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0</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701"/>
      <c r="D97" s="701"/>
      <c r="E97" s="701"/>
      <c r="F97" s="701"/>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0</v>
      </c>
      <c r="C98" s="723"/>
      <c r="D98" s="723"/>
      <c r="E98" s="723"/>
      <c r="F98" s="723"/>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2"/>
      <c r="B99" s="700"/>
      <c r="C99" s="727"/>
      <c r="D99" s="727"/>
      <c r="E99" s="727"/>
      <c r="F99" s="727"/>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748</v>
      </c>
      <c r="C100" s="3163" t="s">
        <v>3039</v>
      </c>
      <c r="D100" s="3163" t="s">
        <v>3236</v>
      </c>
      <c r="E100" s="3163" t="s">
        <v>3238</v>
      </c>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19">C101-$K32</f>
        <v>97</v>
      </c>
      <c r="E101" s="680">
        <f t="shared" si="19"/>
        <v>94</v>
      </c>
      <c r="F101" s="680">
        <f t="shared" si="19"/>
        <v>91</v>
      </c>
      <c r="G101" s="680">
        <f t="shared" si="19"/>
        <v>88</v>
      </c>
      <c r="H101" s="680">
        <f t="shared" si="19"/>
        <v>85</v>
      </c>
      <c r="I101" s="680">
        <f t="shared" si="19"/>
        <v>82</v>
      </c>
      <c r="J101" s="680">
        <f t="shared" si="19"/>
        <v>79</v>
      </c>
      <c r="K101" s="680">
        <f t="shared" si="19"/>
        <v>76</v>
      </c>
      <c r="L101" s="680">
        <f t="shared" si="19"/>
        <v>73</v>
      </c>
      <c r="M101" s="680">
        <f t="shared" si="19"/>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0"/>
      <c r="B102" s="674" t="s">
        <v>749</v>
      </c>
      <c r="C102" s="709" t="str">
        <f>C103&amp;"(含)"&amp;"-"&amp;D103</f>
        <v>0(含)-200000</v>
      </c>
      <c r="D102" s="709" t="str">
        <f t="shared" ref="D102:L102" si="20">D103&amp;"(含)"&amp;"-"&amp;E103</f>
        <v>200000(含)-400000</v>
      </c>
      <c r="E102" s="709" t="str">
        <f t="shared" si="20"/>
        <v>400000(含)-600000</v>
      </c>
      <c r="F102" s="709" t="str">
        <f t="shared" si="20"/>
        <v>600000(含)-</v>
      </c>
      <c r="G102" s="709" t="str">
        <f t="shared" si="20"/>
        <v>(含)-</v>
      </c>
      <c r="H102" s="709" t="str">
        <f t="shared" si="20"/>
        <v>(含)-</v>
      </c>
      <c r="I102" s="709" t="str">
        <f t="shared" si="20"/>
        <v>(含)-</v>
      </c>
      <c r="J102" s="709" t="str">
        <f t="shared" si="20"/>
        <v>(含)-</v>
      </c>
      <c r="K102" s="709" t="str">
        <f t="shared" si="20"/>
        <v>(含)-</v>
      </c>
      <c r="L102" s="709" t="str">
        <f t="shared" si="20"/>
        <v>(含)-</v>
      </c>
      <c r="M102" s="709"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9"/>
      <c r="B103" s="730"/>
      <c r="C103" s="731">
        <v>0</v>
      </c>
      <c r="D103" s="731">
        <v>200000</v>
      </c>
      <c r="E103" s="731">
        <v>400000</v>
      </c>
      <c r="F103" s="731">
        <v>600000</v>
      </c>
      <c r="G103" s="731"/>
      <c r="H103" s="731"/>
      <c r="I103" s="731"/>
      <c r="J103" s="731"/>
      <c r="K103" s="731"/>
      <c r="L103" s="731"/>
      <c r="M103" s="731"/>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8"/>
      <c r="B104" s="679"/>
      <c r="C104" s="693">
        <v>100</v>
      </c>
      <c r="D104" s="672">
        <v>102</v>
      </c>
      <c r="E104" s="693">
        <v>104</v>
      </c>
      <c r="F104" s="672">
        <v>106</v>
      </c>
      <c r="G104" s="693"/>
      <c r="H104" s="672"/>
      <c r="I104" s="693"/>
      <c r="J104" s="672"/>
      <c r="K104" s="693"/>
      <c r="L104" s="672"/>
      <c r="M104" s="693"/>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t="s">
        <v>3021</v>
      </c>
      <c r="D105" s="689" t="s">
        <v>3022</v>
      </c>
      <c r="E105" s="719" t="s">
        <v>3023</v>
      </c>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1">C106-$K34</f>
        <v>98</v>
      </c>
      <c r="E106" s="680">
        <f t="shared" si="21"/>
        <v>96</v>
      </c>
      <c r="F106" s="680">
        <f t="shared" si="21"/>
        <v>94</v>
      </c>
      <c r="G106" s="680">
        <f t="shared" si="21"/>
        <v>92</v>
      </c>
      <c r="H106" s="680">
        <f t="shared" si="21"/>
        <v>90</v>
      </c>
      <c r="I106" s="680">
        <f t="shared" si="21"/>
        <v>88</v>
      </c>
      <c r="J106" s="680">
        <f t="shared" si="21"/>
        <v>86</v>
      </c>
      <c r="K106" s="680">
        <f t="shared" si="21"/>
        <v>84</v>
      </c>
      <c r="L106" s="680">
        <f t="shared" si="21"/>
        <v>82</v>
      </c>
      <c r="M106" s="680">
        <f t="shared" si="21"/>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751</v>
      </c>
      <c r="C107" s="3168" t="s">
        <v>3073</v>
      </c>
      <c r="D107" s="3168" t="s">
        <v>3055</v>
      </c>
      <c r="E107" s="719" t="s">
        <v>3024</v>
      </c>
      <c r="F107" s="3164" t="s">
        <v>3247</v>
      </c>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2">C108-$K35</f>
        <v>95</v>
      </c>
      <c r="E108" s="680">
        <f t="shared" si="22"/>
        <v>90</v>
      </c>
      <c r="F108" s="680">
        <f t="shared" si="22"/>
        <v>85</v>
      </c>
      <c r="G108" s="680">
        <f t="shared" si="22"/>
        <v>80</v>
      </c>
      <c r="H108" s="680">
        <f t="shared" si="22"/>
        <v>75</v>
      </c>
      <c r="I108" s="680">
        <f t="shared" si="22"/>
        <v>70</v>
      </c>
      <c r="J108" s="680">
        <f t="shared" si="22"/>
        <v>65</v>
      </c>
      <c r="K108" s="680">
        <f t="shared" si="22"/>
        <v>60</v>
      </c>
      <c r="L108" s="680">
        <f t="shared" si="22"/>
        <v>55</v>
      </c>
      <c r="M108" s="680">
        <f t="shared" si="22"/>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752</v>
      </c>
      <c r="C109" s="689" t="s">
        <v>3025</v>
      </c>
      <c r="D109" s="689" t="s">
        <v>3026</v>
      </c>
      <c r="E109" s="689" t="s">
        <v>3027</v>
      </c>
      <c r="F109" s="719" t="s">
        <v>3028</v>
      </c>
      <c r="G109" s="719"/>
      <c r="H109" s="71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ht="15.75" thickBot="1">
      <c r="A110" s="670"/>
      <c r="B110" s="679"/>
      <c r="C110" s="680">
        <v>100</v>
      </c>
      <c r="D110" s="680">
        <f t="shared" ref="D110:M110" si="23">C110-$K36</f>
        <v>98</v>
      </c>
      <c r="E110" s="680">
        <f t="shared" si="23"/>
        <v>96</v>
      </c>
      <c r="F110" s="680">
        <f t="shared" si="23"/>
        <v>94</v>
      </c>
      <c r="G110" s="680">
        <f t="shared" si="23"/>
        <v>92</v>
      </c>
      <c r="H110" s="680">
        <f t="shared" si="23"/>
        <v>90</v>
      </c>
      <c r="I110" s="680">
        <f t="shared" si="23"/>
        <v>88</v>
      </c>
      <c r="J110" s="680">
        <f t="shared" si="23"/>
        <v>86</v>
      </c>
      <c r="K110" s="680">
        <f t="shared" si="23"/>
        <v>84</v>
      </c>
      <c r="L110" s="680">
        <f t="shared" si="23"/>
        <v>82</v>
      </c>
      <c r="M110" s="680">
        <f t="shared" si="23"/>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9"/>
      <c r="B112" s="682"/>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754</v>
      </c>
      <c r="C114" s="689" t="s">
        <v>3029</v>
      </c>
      <c r="D114" s="689" t="s">
        <v>3030</v>
      </c>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4">C115-$K38</f>
        <v>97</v>
      </c>
      <c r="E115" s="680">
        <f t="shared" si="24"/>
        <v>94</v>
      </c>
      <c r="F115" s="680">
        <f t="shared" si="24"/>
        <v>91</v>
      </c>
      <c r="G115" s="680">
        <f t="shared" si="24"/>
        <v>88</v>
      </c>
      <c r="H115" s="680">
        <f t="shared" si="24"/>
        <v>85</v>
      </c>
      <c r="I115" s="680">
        <f t="shared" si="24"/>
        <v>82</v>
      </c>
      <c r="J115" s="680">
        <f t="shared" si="24"/>
        <v>79</v>
      </c>
      <c r="K115" s="680">
        <f t="shared" si="24"/>
        <v>76</v>
      </c>
      <c r="L115" s="680">
        <f t="shared" si="24"/>
        <v>73</v>
      </c>
      <c r="M115" s="680">
        <f t="shared" si="24"/>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1897" t="s">
        <v>2562</v>
      </c>
      <c r="C116" s="689" t="s">
        <v>3031</v>
      </c>
      <c r="D116" s="689" t="s">
        <v>3032</v>
      </c>
      <c r="E116" s="689" t="s">
        <v>3033</v>
      </c>
      <c r="F116" s="689" t="s">
        <v>3034</v>
      </c>
      <c r="G116" s="689" t="s">
        <v>3035</v>
      </c>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755</v>
      </c>
      <c r="C118" s="719" t="s">
        <v>3036</v>
      </c>
      <c r="D118" s="719" t="s">
        <v>3037</v>
      </c>
      <c r="E118" s="719"/>
      <c r="F118" s="719"/>
      <c r="G118" s="71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80">
        <v>100</v>
      </c>
      <c r="D119" s="680">
        <f t="shared" ref="D119:M119" si="25">C119-$K40</f>
        <v>95</v>
      </c>
      <c r="E119" s="680">
        <f t="shared" si="25"/>
        <v>90</v>
      </c>
      <c r="F119" s="680">
        <f t="shared" si="25"/>
        <v>85</v>
      </c>
      <c r="G119" s="680">
        <f t="shared" si="25"/>
        <v>80</v>
      </c>
      <c r="H119" s="680">
        <f t="shared" si="25"/>
        <v>75</v>
      </c>
      <c r="I119" s="680">
        <f t="shared" si="25"/>
        <v>70</v>
      </c>
      <c r="J119" s="680">
        <f t="shared" si="25"/>
        <v>65</v>
      </c>
      <c r="K119" s="680">
        <f t="shared" si="25"/>
        <v>60</v>
      </c>
      <c r="L119" s="680">
        <f t="shared" si="25"/>
        <v>55</v>
      </c>
      <c r="M119" s="680">
        <f t="shared" si="25"/>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9"/>
      <c r="B120" s="674" t="s">
        <v>734</v>
      </c>
      <c r="C120" s="689" t="s">
        <v>3056</v>
      </c>
      <c r="D120" s="689" t="s">
        <v>3057</v>
      </c>
      <c r="E120" s="689"/>
      <c r="F120" s="689"/>
      <c r="G120" s="689"/>
      <c r="H120" s="689"/>
      <c r="I120" s="689"/>
      <c r="J120" s="689"/>
      <c r="K120" s="689"/>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8"/>
      <c r="B121" s="671"/>
      <c r="C121" s="693">
        <v>100</v>
      </c>
      <c r="D121" s="672">
        <v>97</v>
      </c>
      <c r="E121" s="672"/>
      <c r="F121" s="672"/>
      <c r="G121" s="672"/>
      <c r="H121" s="672"/>
      <c r="I121" s="672"/>
      <c r="J121" s="672"/>
      <c r="K121" s="672"/>
      <c r="L121" s="672"/>
      <c r="M121" s="672"/>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t="s">
        <v>3025</v>
      </c>
      <c r="D122" s="689" t="s">
        <v>3026</v>
      </c>
      <c r="E122" s="689" t="s">
        <v>3027</v>
      </c>
      <c r="F122" s="719" t="s">
        <v>3028</v>
      </c>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6">C123-$K42</f>
        <v>97</v>
      </c>
      <c r="E123" s="680">
        <f t="shared" si="26"/>
        <v>94</v>
      </c>
      <c r="F123" s="680">
        <f t="shared" si="26"/>
        <v>91</v>
      </c>
      <c r="G123" s="680">
        <f t="shared" si="26"/>
        <v>88</v>
      </c>
      <c r="H123" s="680">
        <f t="shared" si="26"/>
        <v>85</v>
      </c>
      <c r="I123" s="680">
        <f t="shared" si="26"/>
        <v>82</v>
      </c>
      <c r="J123" s="680">
        <f t="shared" si="26"/>
        <v>79</v>
      </c>
      <c r="K123" s="680">
        <f t="shared" si="26"/>
        <v>76</v>
      </c>
      <c r="L123" s="680">
        <f t="shared" si="26"/>
        <v>73</v>
      </c>
      <c r="M123" s="680">
        <f t="shared" si="26"/>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9"/>
      <c r="B126" s="674">
        <f>B44</f>
        <v>0</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0</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93"/>
      <c r="E129" s="693"/>
      <c r="F129" s="693"/>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0</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2265</v>
      </c>
      <c r="H138" s="1929" t="s">
        <v>2266</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2272</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7">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7">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7">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85" priority="14" stopIfTrue="1" operator="containsText" text="超过">
      <formula>NOT(ISERROR(SEARCH("超过",F52)))</formula>
    </cfRule>
  </conditionalFormatting>
  <conditionalFormatting sqref="J54">
    <cfRule type="containsText" dxfId="184" priority="13" stopIfTrue="1" operator="containsText" text="超过">
      <formula>NOT(ISERROR(SEARCH("超过",J54)))</formula>
    </cfRule>
  </conditionalFormatting>
  <conditionalFormatting sqref="H54">
    <cfRule type="containsText" dxfId="183" priority="12" stopIfTrue="1" operator="containsText" text="超过">
      <formula>NOT(ISERROR(SEARCH("超过",H54)))</formula>
    </cfRule>
  </conditionalFormatting>
  <conditionalFormatting sqref="F54">
    <cfRule type="containsText" dxfId="182" priority="11" stopIfTrue="1" operator="containsText" text="超过">
      <formula>NOT(ISERROR(SEARCH("超过",F54)))</formula>
    </cfRule>
  </conditionalFormatting>
  <conditionalFormatting sqref="F53 H53 J53">
    <cfRule type="containsText" dxfId="181" priority="10" stopIfTrue="1" operator="containsText" text="超过">
      <formula>NOT(ISERROR(SEARCH("超过",F53)))</formula>
    </cfRule>
  </conditionalFormatting>
  <conditionalFormatting sqref="E52">
    <cfRule type="expression" dxfId="180" priority="9" stopIfTrue="1">
      <formula>$F$52="超过30%"</formula>
    </cfRule>
  </conditionalFormatting>
  <conditionalFormatting sqref="G54">
    <cfRule type="expression" dxfId="179" priority="8" stopIfTrue="1">
      <formula>$H$54="超过30%"</formula>
    </cfRule>
  </conditionalFormatting>
  <conditionalFormatting sqref="E53">
    <cfRule type="expression" dxfId="178" priority="7" stopIfTrue="1">
      <formula>$F$53="超过20%"</formula>
    </cfRule>
  </conditionalFormatting>
  <conditionalFormatting sqref="E54">
    <cfRule type="expression" dxfId="177" priority="6" stopIfTrue="1">
      <formula>$F$54="超过30%"</formula>
    </cfRule>
  </conditionalFormatting>
  <conditionalFormatting sqref="G52">
    <cfRule type="expression" dxfId="176" priority="5" stopIfTrue="1">
      <formula>$H$52="超过30%"</formula>
    </cfRule>
  </conditionalFormatting>
  <conditionalFormatting sqref="G53">
    <cfRule type="expression" dxfId="175" priority="4" stopIfTrue="1">
      <formula>$H$53="超过20%"</formula>
    </cfRule>
  </conditionalFormatting>
  <conditionalFormatting sqref="I52">
    <cfRule type="expression" dxfId="174" priority="3" stopIfTrue="1">
      <formula>$J$52="超过30%"</formula>
    </cfRule>
  </conditionalFormatting>
  <conditionalFormatting sqref="I53">
    <cfRule type="expression" dxfId="173" priority="2" stopIfTrue="1">
      <formula>$J$53="超过20%"</formula>
    </cfRule>
  </conditionalFormatting>
  <conditionalFormatting sqref="I54">
    <cfRule type="expression" dxfId="17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不动产比较法-住宅 (2)</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 (2)</vt:lpstr>
      <vt:lpstr>比较法-住宅、综合</vt:lpstr>
      <vt:lpstr>Sheet1</vt:lpstr>
      <vt:lpstr>Sheet2</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Sheet5</vt:lpstr>
      <vt:lpstr>'比较法-住宅、综合'!Print_Area</vt:lpstr>
      <vt:lpstr>'比较法-住宅、综合 (2)'!Print_Area</vt:lpstr>
      <vt:lpstr>结果表!Print_Area</vt:lpstr>
      <vt:lpstr>'剩余法-待开发'!Print_Area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(2)'!套工交易情况</vt:lpstr>
      <vt:lpstr>套工交易情况</vt:lpstr>
      <vt:lpstr>套工土地级别</vt:lpstr>
      <vt:lpstr>套工用途</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2018-02-24T07:18:54Z</cp:lastPrinted>
  <dcterms:created xsi:type="dcterms:W3CDTF">2015-07-13T07:17:23Z</dcterms:created>
  <dcterms:modified xsi:type="dcterms:W3CDTF">2018-04-10T03:27:40Z</dcterms:modified>
</cp:coreProperties>
</file>