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朝阳区黄厂南里3号院29号楼\"/>
    </mc:Choice>
  </mc:AlternateContent>
  <xr:revisionPtr revIDLastSave="0" documentId="13_ncr:1_{EB815628-BF32-4709-973A-47B14F6C02AB}" xr6:coauthVersionLast="47" xr6:coauthVersionMax="47" xr10:uidLastSave="{00000000-0000-0000-0000-000000000000}"/>
  <bookViews>
    <workbookView xWindow="-120" yWindow="-120" windowWidth="19440" windowHeight="15000"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案例" sheetId="81"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V4" i="80" l="1"/>
  <c r="V3" i="80"/>
  <c r="V10" i="80"/>
  <c r="V9" i="80"/>
  <c r="V8" i="80"/>
  <c r="V7" i="80"/>
  <c r="V6" i="80"/>
  <c r="D37" i="43"/>
  <c r="D38" i="43"/>
  <c r="S7" i="43"/>
  <c r="U7" i="43"/>
  <c r="U3" i="43"/>
  <c r="U4" i="43"/>
  <c r="U5" i="43"/>
  <c r="U6" i="43"/>
  <c r="U2" i="43"/>
  <c r="Y6" i="1"/>
  <c r="N6" i="1"/>
  <c r="V11" i="80" l="1"/>
  <c r="G19" i="6"/>
  <c r="F19" i="6"/>
  <c r="K13" i="3"/>
  <c r="I13" i="3"/>
  <c r="T11" i="80" l="1"/>
  <c r="T10" i="80"/>
  <c r="T9" i="80"/>
  <c r="T8" i="80"/>
  <c r="T7" i="80"/>
  <c r="T6" i="80"/>
  <c r="T5" i="80"/>
  <c r="T4" i="80"/>
  <c r="T3" i="80"/>
  <c r="Q35" i="80"/>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AD32" i="79" s="1"/>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42" i="79" l="1"/>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F93" i="43" l="1"/>
  <c r="H94" i="43" s="1"/>
  <c r="C15" i="78"/>
  <c r="G23" i="78"/>
  <c r="G24" i="78"/>
  <c r="G25" i="78"/>
  <c r="B15" i="78"/>
  <c r="B18" i="78"/>
  <c r="G19" i="73"/>
  <c r="F19" i="73"/>
  <c r="E19" i="73"/>
  <c r="H100" i="43" l="1"/>
  <c r="H101" i="43"/>
  <c r="H95" i="43"/>
  <c r="H93" i="43"/>
  <c r="H97" i="43"/>
  <c r="H96" i="43"/>
  <c r="H98" i="43"/>
  <c r="H99" i="43"/>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E38" i="71" s="1"/>
  <c r="E39" i="71" s="1"/>
  <c r="E40" i="71" s="1"/>
  <c r="U40"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B32" i="71" s="1"/>
  <c r="S32" i="71" s="1"/>
  <c r="E30" i="71"/>
  <c r="E31" i="71"/>
  <c r="E32" i="71" s="1"/>
  <c r="U32" i="71" s="1"/>
  <c r="B39" i="71"/>
  <c r="B40" i="71"/>
  <c r="S40" i="71" s="1"/>
  <c r="AA37" i="71"/>
  <c r="N68" i="71"/>
  <c r="E34" i="71"/>
  <c r="C30" i="71"/>
  <c r="C31" i="71" s="1"/>
  <c r="X31" i="71"/>
  <c r="C34" i="71"/>
  <c r="D34" i="71" s="1"/>
  <c r="X34" i="71"/>
  <c r="X35" i="71"/>
  <c r="C38" i="71"/>
  <c r="D38" i="71" s="1"/>
  <c r="Y37" i="71"/>
  <c r="Z37" i="71" s="1"/>
  <c r="F51" i="71"/>
  <c r="F52" i="71" s="1"/>
  <c r="V52" i="71" s="1"/>
  <c r="C28" i="71"/>
  <c r="T28" i="71" s="1"/>
  <c r="Y28" i="71"/>
  <c r="Z28" i="71" s="1"/>
  <c r="X25" i="71"/>
  <c r="C39" i="71"/>
  <c r="C40" i="71" s="1"/>
  <c r="D50" i="71"/>
  <c r="P28" i="71"/>
  <c r="E28" i="71" s="1"/>
  <c r="E63" i="71"/>
  <c r="E64" i="71" s="1"/>
  <c r="U64" i="71" s="1"/>
  <c r="U68" i="71"/>
  <c r="E67" i="71"/>
  <c r="E66" i="71" s="1"/>
  <c r="Q28" i="71"/>
  <c r="C59" i="71"/>
  <c r="D59" i="71" s="1"/>
  <c r="D58" i="71"/>
  <c r="C63" i="71"/>
  <c r="C64" i="71" s="1"/>
  <c r="D62" i="71"/>
  <c r="T68" i="71"/>
  <c r="O68" i="71"/>
  <c r="D68" i="71"/>
  <c r="C67" i="71"/>
  <c r="D67" i="71" s="1"/>
  <c r="Q68" i="71"/>
  <c r="C71" i="71"/>
  <c r="C70" i="71" s="1"/>
  <c r="D70" i="71" s="1"/>
  <c r="E71" i="71"/>
  <c r="E70" i="71"/>
  <c r="D72" i="71"/>
  <c r="C75" i="71"/>
  <c r="D75" i="71" s="1"/>
  <c r="D76" i="71"/>
  <c r="C79" i="71"/>
  <c r="D79" i="71" s="1"/>
  <c r="E79" i="71"/>
  <c r="E78" i="71"/>
  <c r="D80" i="71"/>
  <c r="C83" i="71"/>
  <c r="D83" i="71" s="1"/>
  <c r="C87" i="71"/>
  <c r="C86" i="71" s="1"/>
  <c r="D86" i="71" s="1"/>
  <c r="F28" i="71"/>
  <c r="F27" i="71"/>
  <c r="F26" i="71"/>
  <c r="AB26" i="71"/>
  <c r="AA3" i="71"/>
  <c r="AA27" i="71"/>
  <c r="C66" i="71"/>
  <c r="O65" i="71" s="1"/>
  <c r="D63" i="71"/>
  <c r="C82" i="71"/>
  <c r="D82" i="71" s="1"/>
  <c r="D87" i="7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W18" i="35" s="1"/>
  <c r="H21" i="37"/>
  <c r="AB21" i="37" s="1"/>
  <c r="F21" i="37"/>
  <c r="AA21" i="37" s="1"/>
  <c r="H21" i="34"/>
  <c r="AB21" i="34" s="1"/>
  <c r="H21" i="33"/>
  <c r="U21" i="33" s="1"/>
  <c r="F21" i="33"/>
  <c r="S21" i="33" s="1"/>
  <c r="E83" i="21"/>
  <c r="F83" i="21" s="1"/>
  <c r="H1" i="69"/>
  <c r="AC25" i="40"/>
  <c r="W25" i="40"/>
  <c r="U29" i="39"/>
  <c r="W29" i="39"/>
  <c r="W18" i="36"/>
  <c r="U21" i="37"/>
  <c r="AA21" i="33"/>
  <c r="AC18" i="35"/>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4" i="43"/>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A568" i="3" s="1"/>
  <c r="AZ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L579" i="3" s="1"/>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H12" i="40" s="1"/>
  <c r="AB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H14" i="39" s="1"/>
  <c r="AB14" i="39" s="1"/>
  <c r="B83" i="39"/>
  <c r="H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AB27" i="37" s="1"/>
  <c r="U27" i="37"/>
  <c r="B82" i="37"/>
  <c r="D79" i="37"/>
  <c r="E79" i="37" s="1"/>
  <c r="D75" i="37"/>
  <c r="E75" i="37"/>
  <c r="D73" i="37"/>
  <c r="E73" i="37" s="1"/>
  <c r="F73" i="37"/>
  <c r="D71" i="37"/>
  <c r="H15" i="37"/>
  <c r="AB15" i="37" s="1"/>
  <c r="B68" i="37"/>
  <c r="H14" i="37"/>
  <c r="AB14" i="37" s="1"/>
  <c r="B66" i="37"/>
  <c r="F13" i="37" s="1"/>
  <c r="S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B99" i="35"/>
  <c r="B97" i="35"/>
  <c r="B77" i="35"/>
  <c r="B75" i="35"/>
  <c r="J24" i="35" s="1"/>
  <c r="AC24" i="35"/>
  <c r="B73" i="35"/>
  <c r="J23" i="35" s="1"/>
  <c r="B57" i="35"/>
  <c r="B61" i="35"/>
  <c r="B59" i="35"/>
  <c r="B131" i="34"/>
  <c r="H47" i="34" s="1"/>
  <c r="U47" i="34" s="1"/>
  <c r="B129" i="34"/>
  <c r="B127" i="34"/>
  <c r="B99" i="34"/>
  <c r="B97" i="34"/>
  <c r="H31" i="34" s="1"/>
  <c r="B95" i="34"/>
  <c r="B93" i="34"/>
  <c r="B75" i="34"/>
  <c r="F14" i="34" s="1"/>
  <c r="B73" i="34"/>
  <c r="J13" i="34" s="1"/>
  <c r="W13" i="34" s="1"/>
  <c r="B71" i="34"/>
  <c r="J12" i="34" s="1"/>
  <c r="W12" i="34" s="1"/>
  <c r="B130" i="33"/>
  <c r="B128" i="33"/>
  <c r="B126" i="33"/>
  <c r="F44" i="33" s="1"/>
  <c r="B98" i="33"/>
  <c r="B96" i="33"/>
  <c r="B94" i="33"/>
  <c r="F29" i="33" s="1"/>
  <c r="S29" i="33" s="1"/>
  <c r="B74" i="33"/>
  <c r="J14" i="33" s="1"/>
  <c r="B72" i="33"/>
  <c r="B70" i="33"/>
  <c r="J12" i="33"/>
  <c r="D96" i="35"/>
  <c r="E96" i="35" s="1"/>
  <c r="F96" i="35" s="1"/>
  <c r="G96" i="35"/>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J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F45" i="39"/>
  <c r="S45" i="39"/>
  <c r="F36" i="39"/>
  <c r="S36" i="39" s="1"/>
  <c r="J35" i="39"/>
  <c r="AC35" i="39" s="1"/>
  <c r="F35" i="39"/>
  <c r="AA35"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S31" i="35"/>
  <c r="U34" i="35"/>
  <c r="F36" i="34"/>
  <c r="J35" i="34"/>
  <c r="U34" i="34"/>
  <c r="H39" i="33"/>
  <c r="AB39" i="33" s="1"/>
  <c r="U33" i="33"/>
  <c r="W33" i="33"/>
  <c r="W39" i="33"/>
  <c r="S27" i="35"/>
  <c r="F11" i="40"/>
  <c r="AA11" i="40" s="1"/>
  <c r="H11" i="40"/>
  <c r="AB11" i="40"/>
  <c r="W8" i="40"/>
  <c r="AA9" i="40"/>
  <c r="U9" i="40"/>
  <c r="S34" i="40"/>
  <c r="W31"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S44" i="39"/>
  <c r="F37" i="39"/>
  <c r="AA37" i="39" s="1"/>
  <c r="U30" i="36"/>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S41" i="33" s="1"/>
  <c r="AA41" i="33"/>
  <c r="E113" i="33"/>
  <c r="F32" i="33"/>
  <c r="AA32" i="33"/>
  <c r="J19" i="33"/>
  <c r="AC19" i="33" s="1"/>
  <c r="J15" i="33"/>
  <c r="AC15" i="33" s="1"/>
  <c r="F11" i="33"/>
  <c r="AA11" i="33" s="1"/>
  <c r="U40" i="33"/>
  <c r="W40" i="33"/>
  <c r="F37" i="40"/>
  <c r="AA37" i="40" s="1"/>
  <c r="F36" i="40"/>
  <c r="AA36" i="40"/>
  <c r="H28" i="40"/>
  <c r="U28" i="40" s="1"/>
  <c r="F23" i="40"/>
  <c r="AA23" i="40"/>
  <c r="F17" i="40"/>
  <c r="AA17" i="40" s="1"/>
  <c r="J17" i="40"/>
  <c r="W17" i="40"/>
  <c r="F15" i="40"/>
  <c r="S15" i="40" s="1"/>
  <c r="H15" i="40"/>
  <c r="AB15" i="40" s="1"/>
  <c r="AC11" i="40"/>
  <c r="AB30" i="36"/>
  <c r="F29" i="35"/>
  <c r="S29" i="35" s="1"/>
  <c r="H29" i="35"/>
  <c r="AB29" i="35" s="1"/>
  <c r="H33" i="37"/>
  <c r="F33" i="37"/>
  <c r="AA33" i="37" s="1"/>
  <c r="U34" i="37"/>
  <c r="S34" i="37"/>
  <c r="J43" i="34"/>
  <c r="AB42" i="34"/>
  <c r="J40" i="34"/>
  <c r="H38" i="34"/>
  <c r="AB38" i="34" s="1"/>
  <c r="J36" i="34"/>
  <c r="AC36" i="34" s="1"/>
  <c r="W36" i="34"/>
  <c r="H37" i="34"/>
  <c r="U37" i="34" s="1"/>
  <c r="H25" i="34"/>
  <c r="AB25" i="34" s="1"/>
  <c r="J25" i="34"/>
  <c r="AC25" i="34"/>
  <c r="F23" i="34"/>
  <c r="AA23" i="34"/>
  <c r="J19" i="34"/>
  <c r="AC19" i="34" s="1"/>
  <c r="F17" i="34"/>
  <c r="AA17" i="34" s="1"/>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F14" i="21"/>
  <c r="S14" i="21" s="1"/>
  <c r="H28" i="21"/>
  <c r="AB28" i="21" s="1"/>
  <c r="F28" i="21"/>
  <c r="AA28" i="21" s="1"/>
  <c r="H30" i="21"/>
  <c r="AB30" i="21" s="1"/>
  <c r="U30" i="21"/>
  <c r="J44" i="21"/>
  <c r="AC44" i="21" s="1"/>
  <c r="H44" i="21"/>
  <c r="U44" i="21" s="1"/>
  <c r="F44" i="21"/>
  <c r="AA44" i="21" s="1"/>
  <c r="H46" i="21"/>
  <c r="U46" i="21" s="1"/>
  <c r="J46" i="21"/>
  <c r="F46" i="21"/>
  <c r="AA46" i="21"/>
  <c r="H28" i="33"/>
  <c r="U28" i="33" s="1"/>
  <c r="F28" i="33"/>
  <c r="AA28" i="33"/>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J13" i="33"/>
  <c r="H13" i="33"/>
  <c r="U13" i="33" s="1"/>
  <c r="F13" i="33"/>
  <c r="S13" i="33" s="1"/>
  <c r="J29" i="33"/>
  <c r="H29" i="33"/>
  <c r="U29" i="33" s="1"/>
  <c r="J31" i="33"/>
  <c r="W31" i="33"/>
  <c r="H31" i="33"/>
  <c r="F31" i="33"/>
  <c r="H45" i="33"/>
  <c r="U45" i="33"/>
  <c r="J14" i="34"/>
  <c r="W14" i="34" s="1"/>
  <c r="H14" i="34"/>
  <c r="H30" i="34"/>
  <c r="F30" i="34"/>
  <c r="S30" i="34" s="1"/>
  <c r="J30" i="34"/>
  <c r="H32" i="34"/>
  <c r="H46" i="34"/>
  <c r="AB46" i="34" s="1"/>
  <c r="F46" i="34"/>
  <c r="J46" i="34"/>
  <c r="H11" i="35"/>
  <c r="AB11" i="35" s="1"/>
  <c r="J11" i="35"/>
  <c r="F11" i="35"/>
  <c r="S11" i="35" s="1"/>
  <c r="J26" i="36"/>
  <c r="W26" i="36"/>
  <c r="H28" i="36"/>
  <c r="U28" i="36" s="1"/>
  <c r="J32" i="36"/>
  <c r="W32" i="36" s="1"/>
  <c r="J11" i="36"/>
  <c r="AC11" i="36" s="1"/>
  <c r="H11" i="36"/>
  <c r="U11" i="36" s="1"/>
  <c r="F11" i="36"/>
  <c r="AA11" i="36" s="1"/>
  <c r="H13" i="36"/>
  <c r="AB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s="1"/>
  <c r="F30" i="33"/>
  <c r="J30" i="33"/>
  <c r="H44" i="33"/>
  <c r="J44" i="33"/>
  <c r="J46" i="33"/>
  <c r="AC46" i="33"/>
  <c r="F46" i="33"/>
  <c r="AA46" i="33" s="1"/>
  <c r="H46" i="33"/>
  <c r="AB46" i="33"/>
  <c r="H13" i="34"/>
  <c r="U13" i="34" s="1"/>
  <c r="F13" i="34"/>
  <c r="AA13" i="34" s="1"/>
  <c r="J29" i="34"/>
  <c r="F29" i="34"/>
  <c r="S29" i="34" s="1"/>
  <c r="H29" i="34"/>
  <c r="AB29" i="34" s="1"/>
  <c r="J31" i="34"/>
  <c r="AC31" i="34" s="1"/>
  <c r="F31" i="34"/>
  <c r="S31" i="34" s="1"/>
  <c r="H45" i="34"/>
  <c r="U45" i="34" s="1"/>
  <c r="J45" i="34"/>
  <c r="W45" i="34"/>
  <c r="F45" i="34"/>
  <c r="S45" i="34" s="1"/>
  <c r="F47" i="34"/>
  <c r="S47" i="34" s="1"/>
  <c r="J47" i="34"/>
  <c r="AC47" i="34" s="1"/>
  <c r="F13" i="35"/>
  <c r="J13" i="35"/>
  <c r="AC13" i="35"/>
  <c r="H13" i="35"/>
  <c r="U13" i="35" s="1"/>
  <c r="F25" i="35"/>
  <c r="S25" i="35" s="1"/>
  <c r="J35" i="35"/>
  <c r="AC35" i="35" s="1"/>
  <c r="F35" i="35"/>
  <c r="AA35" i="35" s="1"/>
  <c r="H35" i="35"/>
  <c r="J25" i="36"/>
  <c r="W25" i="36"/>
  <c r="H13" i="37"/>
  <c r="AB13" i="37" s="1"/>
  <c r="J13" i="37"/>
  <c r="W13" i="37" s="1"/>
  <c r="F28" i="37"/>
  <c r="AA28" i="37" s="1"/>
  <c r="J28" i="37"/>
  <c r="AC28" i="37" s="1"/>
  <c r="H28" i="37"/>
  <c r="H38" i="37"/>
  <c r="AB38" i="37" s="1"/>
  <c r="J38" i="37"/>
  <c r="AC38" i="37" s="1"/>
  <c r="F38" i="37"/>
  <c r="S38" i="37" s="1"/>
  <c r="F43" i="39"/>
  <c r="AA43" i="39" s="1"/>
  <c r="H43" i="39"/>
  <c r="J14" i="39"/>
  <c r="AC14" i="39" s="1"/>
  <c r="F14" i="39"/>
  <c r="F12" i="40"/>
  <c r="S12" i="40"/>
  <c r="H30" i="40"/>
  <c r="AB30" i="40" s="1"/>
  <c r="F33" i="40"/>
  <c r="AA33" i="40" s="1"/>
  <c r="H33" i="40"/>
  <c r="U33" i="40"/>
  <c r="J35" i="40"/>
  <c r="AC35" i="40" s="1"/>
  <c r="J37" i="40"/>
  <c r="AC37" i="40"/>
  <c r="H13" i="40"/>
  <c r="U13" i="40" s="1"/>
  <c r="J13" i="40"/>
  <c r="W13" i="40" s="1"/>
  <c r="F13" i="40"/>
  <c r="AA13" i="40" s="1"/>
  <c r="F14" i="37"/>
  <c r="AA14" i="37" s="1"/>
  <c r="F13" i="39"/>
  <c r="J13" i="39"/>
  <c r="W13" i="39" s="1"/>
  <c r="H14" i="40"/>
  <c r="AB14" i="40"/>
  <c r="J14" i="40"/>
  <c r="W14" i="40" s="1"/>
  <c r="F14" i="40"/>
  <c r="AA14" i="40" s="1"/>
  <c r="J14" i="37"/>
  <c r="J27" i="37"/>
  <c r="AC27" i="37" s="1"/>
  <c r="U46" i="33"/>
  <c r="AA14" i="33"/>
  <c r="J36" i="37"/>
  <c r="AC36" i="37" s="1"/>
  <c r="J10" i="36"/>
  <c r="AC10" i="36" s="1"/>
  <c r="S11" i="36"/>
  <c r="AB45" i="33"/>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76" i="3"/>
  <c r="BL572" i="3"/>
  <c r="BL568" i="3"/>
  <c r="BL564" i="3"/>
  <c r="BL560" i="3"/>
  <c r="AZ560" i="3" s="1"/>
  <c r="BL554" i="3"/>
  <c r="BL546" i="3"/>
  <c r="BL538" i="3"/>
  <c r="BL534" i="3"/>
  <c r="AZ534" i="3" s="1"/>
  <c r="BL530" i="3"/>
  <c r="BL526" i="3"/>
  <c r="BL522" i="3"/>
  <c r="BL516" i="3"/>
  <c r="BL512" i="3"/>
  <c r="BL506" i="3"/>
  <c r="BL502" i="3"/>
  <c r="BL498" i="3"/>
  <c r="BL494" i="3"/>
  <c r="BL578" i="3"/>
  <c r="BL574" i="3"/>
  <c r="BL570" i="3"/>
  <c r="BL562" i="3"/>
  <c r="BL556" i="3"/>
  <c r="BL552" i="3"/>
  <c r="BL540" i="3"/>
  <c r="AZ540" i="3" s="1"/>
  <c r="BL536" i="3"/>
  <c r="G533" i="3"/>
  <c r="G529" i="3"/>
  <c r="BL528" i="3"/>
  <c r="G525" i="3"/>
  <c r="BL524" i="3"/>
  <c r="BL518" i="3"/>
  <c r="BL514" i="3"/>
  <c r="BL510" i="3"/>
  <c r="BL504" i="3"/>
  <c r="BL500" i="3"/>
  <c r="BL496" i="3"/>
  <c r="G493" i="3"/>
  <c r="BA582" i="3"/>
  <c r="AZ582" i="3" s="1"/>
  <c r="BA580" i="3"/>
  <c r="AZ580" i="3" s="1"/>
  <c r="BA578" i="3"/>
  <c r="BA574" i="3"/>
  <c r="BA572" i="3"/>
  <c r="BA570" i="3"/>
  <c r="AZ570" i="3" s="1"/>
  <c r="BA566" i="3"/>
  <c r="AZ566" i="3" s="1"/>
  <c r="BA564" i="3"/>
  <c r="AZ564" i="3" s="1"/>
  <c r="BA562" i="3"/>
  <c r="BA560" i="3"/>
  <c r="BA558" i="3"/>
  <c r="AZ558" i="3" s="1"/>
  <c r="BA556" i="3"/>
  <c r="AZ556" i="3" s="1"/>
  <c r="BA554" i="3"/>
  <c r="AZ554" i="3"/>
  <c r="BA552" i="3"/>
  <c r="AZ552" i="3" s="1"/>
  <c r="BA548" i="3"/>
  <c r="BA546" i="3"/>
  <c r="AZ546" i="3" s="1"/>
  <c r="BA544" i="3"/>
  <c r="AZ544" i="3" s="1"/>
  <c r="BA542" i="3"/>
  <c r="AZ542" i="3" s="1"/>
  <c r="BA540" i="3"/>
  <c r="AZ538" i="3"/>
  <c r="BA536" i="3"/>
  <c r="AZ536" i="3" s="1"/>
  <c r="BA532" i="3"/>
  <c r="AZ532" i="3" s="1"/>
  <c r="BA530" i="3"/>
  <c r="BA528" i="3"/>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BA496" i="3"/>
  <c r="BA494" i="3"/>
  <c r="BA583" i="3"/>
  <c r="BA581" i="3"/>
  <c r="BA579" i="3"/>
  <c r="BA575" i="3"/>
  <c r="AZ575" i="3" s="1"/>
  <c r="BA573" i="3"/>
  <c r="BA571" i="3"/>
  <c r="BA567" i="3"/>
  <c r="BA565" i="3"/>
  <c r="AZ565" i="3" s="1"/>
  <c r="BA563" i="3"/>
  <c r="BA561" i="3"/>
  <c r="BA559" i="3"/>
  <c r="BA555" i="3"/>
  <c r="BA553" i="3"/>
  <c r="BA547" i="3"/>
  <c r="BA545" i="3"/>
  <c r="BA543" i="3"/>
  <c r="BA539" i="3"/>
  <c r="BA537" i="3"/>
  <c r="AZ537" i="3" s="1"/>
  <c r="BA535" i="3"/>
  <c r="BA533" i="3"/>
  <c r="BA531" i="3"/>
  <c r="BA529" i="3"/>
  <c r="BA527" i="3"/>
  <c r="BA525" i="3"/>
  <c r="BA523" i="3"/>
  <c r="BA519" i="3"/>
  <c r="BA517" i="3"/>
  <c r="BA515" i="3"/>
  <c r="BA513" i="3"/>
  <c r="AZ513" i="3" s="1"/>
  <c r="BA511" i="3"/>
  <c r="BA507" i="3"/>
  <c r="BA505" i="3"/>
  <c r="BA503" i="3"/>
  <c r="AZ503" i="3" s="1"/>
  <c r="BA501" i="3"/>
  <c r="BA499" i="3"/>
  <c r="BA497" i="3"/>
  <c r="BA495" i="3"/>
  <c r="BA493" i="3"/>
  <c r="G581" i="3"/>
  <c r="G579" i="3"/>
  <c r="G577" i="3"/>
  <c r="G575" i="3"/>
  <c r="G573" i="3"/>
  <c r="G571" i="3"/>
  <c r="G569" i="3"/>
  <c r="G567" i="3"/>
  <c r="G565" i="3"/>
  <c r="G563" i="3"/>
  <c r="G561" i="3"/>
  <c r="BL558" i="3"/>
  <c r="BA557" i="3"/>
  <c r="AZ557" i="3" s="1"/>
  <c r="AC557" i="3"/>
  <c r="G557" i="3" s="1"/>
  <c r="BQ557" i="3"/>
  <c r="BL557" i="3" s="1"/>
  <c r="BQ583" i="3"/>
  <c r="BQ581" i="3"/>
  <c r="BL581" i="3"/>
  <c r="BQ579" i="3"/>
  <c r="BQ577" i="3"/>
  <c r="BL577" i="3" s="1"/>
  <c r="AZ577" i="3" s="1"/>
  <c r="BQ575" i="3"/>
  <c r="BL575" i="3" s="1"/>
  <c r="BQ573" i="3"/>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s="1"/>
  <c r="AZ505" i="3" s="1"/>
  <c r="BQ503" i="3"/>
  <c r="BL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s="1"/>
  <c r="F37" i="37"/>
  <c r="AA37" i="37" s="1"/>
  <c r="F31" i="40"/>
  <c r="AA31" i="40" s="1"/>
  <c r="H31" i="40"/>
  <c r="U31" i="40" s="1"/>
  <c r="F32" i="40"/>
  <c r="S32" i="40" s="1"/>
  <c r="H32" i="40"/>
  <c r="AB32" i="40" s="1"/>
  <c r="J36" i="40"/>
  <c r="W36" i="40"/>
  <c r="H19" i="37"/>
  <c r="AB19" i="37" s="1"/>
  <c r="H42" i="33"/>
  <c r="AB42" i="33" s="1"/>
  <c r="J43" i="33"/>
  <c r="AC43" i="33"/>
  <c r="S28" i="31"/>
  <c r="S27" i="31"/>
  <c r="S26" i="31"/>
  <c r="U14" i="40"/>
  <c r="U26" i="37"/>
  <c r="W47" i="34"/>
  <c r="AA13" i="33"/>
  <c r="AC31"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J11" i="39"/>
  <c r="W11" i="39"/>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500" i="3"/>
  <c r="BA16" i="3"/>
  <c r="AZ16" i="3"/>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22" i="3"/>
  <c r="G342" i="3"/>
  <c r="BL345" i="3"/>
  <c r="AZ345" i="3" s="1"/>
  <c r="G346" i="3"/>
  <c r="BL349" i="3"/>
  <c r="BL352" i="3"/>
  <c r="G353" i="3"/>
  <c r="BA357" i="3"/>
  <c r="BL358" i="3"/>
  <c r="G359" i="3"/>
  <c r="BA361" i="3"/>
  <c r="BL362" i="3"/>
  <c r="AZ362" i="3" s="1"/>
  <c r="G363" i="3"/>
  <c r="BA365" i="3"/>
  <c r="BL366" i="3"/>
  <c r="G367" i="3"/>
  <c r="BA369" i="3"/>
  <c r="AZ369" i="3"/>
  <c r="BL370" i="3"/>
  <c r="AZ370" i="3" s="1"/>
  <c r="G371" i="3"/>
  <c r="BA373" i="3"/>
  <c r="AZ373" i="3"/>
  <c r="BL374" i="3"/>
  <c r="G375" i="3"/>
  <c r="BA377" i="3"/>
  <c r="AZ237" i="3"/>
  <c r="AZ265" i="3"/>
  <c r="BA379" i="3"/>
  <c r="AZ379" i="3" s="1"/>
  <c r="BL380" i="3"/>
  <c r="G381" i="3"/>
  <c r="BA383" i="3"/>
  <c r="AZ383" i="3" s="1"/>
  <c r="BL384" i="3"/>
  <c r="G385" i="3"/>
  <c r="BA387" i="3"/>
  <c r="BL388" i="3"/>
  <c r="G389" i="3"/>
  <c r="BA391" i="3"/>
  <c r="BL392" i="3"/>
  <c r="G393"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6" i="3"/>
  <c r="BA15" i="3"/>
  <c r="BB5" i="3"/>
  <c r="BR5" i="3"/>
  <c r="AZ499" i="3"/>
  <c r="G509" i="3"/>
  <c r="BL493" i="3"/>
  <c r="AZ493" i="3"/>
  <c r="U36" i="40"/>
  <c r="F83" i="43"/>
  <c r="H85" i="43" s="1"/>
  <c r="F50" i="43"/>
  <c r="H54" i="43" s="1"/>
  <c r="G54" i="43" s="1"/>
  <c r="K54" i="43" s="1"/>
  <c r="J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133"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G29" i="6"/>
  <c r="W27" i="34"/>
  <c r="AC27" i="34"/>
  <c r="AB33" i="36"/>
  <c r="U33" i="36"/>
  <c r="AC12" i="39"/>
  <c r="W12" i="39"/>
  <c r="AC39" i="40"/>
  <c r="W39" i="40"/>
  <c r="AZ586" i="3"/>
  <c r="W12" i="33"/>
  <c r="AC12" i="33"/>
  <c r="AZ473" i="3"/>
  <c r="BL14" i="3"/>
  <c r="U30" i="33"/>
  <c r="AC13" i="34"/>
  <c r="AA47" i="34"/>
  <c r="W28" i="37"/>
  <c r="S19" i="39"/>
  <c r="F12" i="33"/>
  <c r="H12" i="39"/>
  <c r="U12" i="39" s="1"/>
  <c r="AB12" i="39"/>
  <c r="F39" i="40"/>
  <c r="BA14" i="3"/>
  <c r="AZ367" i="3"/>
  <c r="AZ224" i="3"/>
  <c r="AZ286" i="3"/>
  <c r="B12" i="1"/>
  <c r="E12" i="1" s="1"/>
  <c r="B10" i="1"/>
  <c r="E10" i="1" s="1"/>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U23" i="36"/>
  <c r="AB20" i="36"/>
  <c r="U16" i="36"/>
  <c r="S14" i="36"/>
  <c r="AA25" i="35"/>
  <c r="S23" i="35"/>
  <c r="W24" i="35"/>
  <c r="AB13" i="35"/>
  <c r="U29" i="35"/>
  <c r="U28" i="35"/>
  <c r="AB27" i="35"/>
  <c r="U32" i="35"/>
  <c r="AA33" i="35"/>
  <c r="AC30" i="35"/>
  <c r="S32" i="35"/>
  <c r="S28" i="35"/>
  <c r="AB16" i="35"/>
  <c r="U22"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BA13" i="3"/>
  <c r="BL17" i="3"/>
  <c r="AZ17" i="3" s="1"/>
  <c r="BL13" i="3"/>
  <c r="J56" i="9"/>
  <c r="J57" i="9" s="1"/>
  <c r="J59" i="9" s="1"/>
  <c r="J61" i="9" s="1"/>
  <c r="A24" i="51"/>
  <c r="B18" i="72" s="1"/>
  <c r="U29" i="34"/>
  <c r="E5" i="6"/>
  <c r="E32" i="6"/>
  <c r="E19" i="69"/>
  <c r="E19" i="68"/>
  <c r="E19" i="11"/>
  <c r="E1" i="73"/>
  <c r="G22" i="69"/>
  <c r="G22" i="68"/>
  <c r="G26" i="12"/>
  <c r="G22" i="11"/>
  <c r="C6" i="43"/>
  <c r="C7" i="39"/>
  <c r="C67" i="39" s="1"/>
  <c r="C7" i="35"/>
  <c r="C7" i="33"/>
  <c r="C7" i="21"/>
  <c r="C7" i="40"/>
  <c r="C63" i="40" s="1"/>
  <c r="M47" i="9"/>
  <c r="G23" i="43"/>
  <c r="C23" i="43" s="1"/>
  <c r="C52" i="37"/>
  <c r="D52" i="37" s="1"/>
  <c r="A4" i="51"/>
  <c r="B6" i="72" s="1"/>
  <c r="C48" i="35"/>
  <c r="D48" i="35"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AB28" i="36"/>
  <c r="W22" i="36"/>
  <c r="W23" i="36"/>
  <c r="AB20" i="35"/>
  <c r="S24" i="35"/>
  <c r="U24"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s="1"/>
  <c r="AC19" i="21"/>
  <c r="W39"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AA39" i="40"/>
  <c r="S39" i="40"/>
  <c r="S12" i="33"/>
  <c r="AA12" i="33"/>
  <c r="J32" i="39"/>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F23" i="33"/>
  <c r="G85" i="33"/>
  <c r="AA19" i="33"/>
  <c r="H19" i="33"/>
  <c r="G81" i="33"/>
  <c r="H17" i="33"/>
  <c r="U17" i="33" s="1"/>
  <c r="F17" i="33"/>
  <c r="S17" i="33" s="1"/>
  <c r="AC17" i="33"/>
  <c r="S37" i="21"/>
  <c r="AA23" i="21"/>
  <c r="AB15" i="21"/>
  <c r="J23" i="21"/>
  <c r="AC23" i="21" s="1"/>
  <c r="F85" i="21"/>
  <c r="G85" i="21" s="1"/>
  <c r="H23" i="21"/>
  <c r="AB23" i="21" s="1"/>
  <c r="S13" i="21"/>
  <c r="D6" i="52"/>
  <c r="AP7" i="1"/>
  <c r="U9" i="21"/>
  <c r="AA32" i="21"/>
  <c r="W9" i="21"/>
  <c r="AC9" i="21"/>
  <c r="AB32" i="21"/>
  <c r="U32" i="39"/>
  <c r="AC32" i="39"/>
  <c r="W32" i="39"/>
  <c r="J63" i="37"/>
  <c r="K63" i="37" s="1"/>
  <c r="L63" i="37" s="1"/>
  <c r="M63" i="37" s="1"/>
  <c r="J11" i="37"/>
  <c r="AC11" i="37" s="1"/>
  <c r="H70" i="34"/>
  <c r="I70" i="34" s="1"/>
  <c r="J70" i="34" s="1"/>
  <c r="K70" i="34"/>
  <c r="L70" i="34" s="1"/>
  <c r="M70" i="34" s="1"/>
  <c r="J11" i="34"/>
  <c r="W11" i="34" s="1"/>
  <c r="AB36" i="33"/>
  <c r="W25" i="33"/>
  <c r="AB19" i="33"/>
  <c r="U19" i="33"/>
  <c r="AA17" i="33"/>
  <c r="U23" i="21"/>
  <c r="W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8"/>
  <c r="B10" i="76"/>
  <c r="AO13" i="1"/>
  <c r="B8" i="76"/>
  <c r="F6" i="73"/>
  <c r="E2" i="69"/>
  <c r="E7" i="76"/>
  <c r="E11" i="76"/>
  <c r="F20" i="31"/>
  <c r="F4" i="73"/>
  <c r="E8" i="76"/>
  <c r="B7" i="76"/>
  <c r="F5" i="73"/>
  <c r="F7" i="73"/>
  <c r="D6" i="73"/>
  <c r="E10" i="76"/>
  <c r="B12" i="76"/>
  <c r="F3" i="73"/>
  <c r="E12" i="76"/>
  <c r="E9" i="76"/>
  <c r="E13" i="76"/>
  <c r="B13" i="76"/>
  <c r="B11" i="76"/>
  <c r="B9" i="76"/>
  <c r="M54" i="43" l="1"/>
  <c r="N54" i="43" s="1"/>
  <c r="H69" i="43"/>
  <c r="M20" i="67"/>
  <c r="F34" i="67"/>
  <c r="F62" i="67" s="1"/>
  <c r="F34" i="15"/>
  <c r="F62" i="15" s="1"/>
  <c r="F32" i="15"/>
  <c r="F60" i="15" s="1"/>
  <c r="F52" i="9"/>
  <c r="F54" i="9"/>
  <c r="F28" i="15"/>
  <c r="F28" i="67"/>
  <c r="F32" i="67"/>
  <c r="F60" i="67" s="1"/>
  <c r="M18" i="15"/>
  <c r="M18" i="67"/>
  <c r="F30" i="11"/>
  <c r="C48" i="11" s="1"/>
  <c r="D68" i="9"/>
  <c r="F30" i="69"/>
  <c r="F48" i="69" s="1"/>
  <c r="F31" i="12"/>
  <c r="C40" i="68"/>
  <c r="C21" i="68"/>
  <c r="D22" i="15"/>
  <c r="D23" i="15"/>
  <c r="K6" i="1"/>
  <c r="AP6" i="1" s="1"/>
  <c r="K1" i="12"/>
  <c r="G1" i="15"/>
  <c r="B6" i="1"/>
  <c r="E6" i="1" s="1"/>
  <c r="G1" i="67"/>
  <c r="G1" i="68"/>
  <c r="A4" i="52"/>
  <c r="B41" i="72" s="1"/>
  <c r="A118" i="9"/>
  <c r="B19" i="53"/>
  <c r="B37" i="72" s="1"/>
  <c r="H112" i="9"/>
  <c r="D21" i="53" s="1"/>
  <c r="B39" i="72" s="1"/>
  <c r="H111" i="9"/>
  <c r="D126" i="9" s="1"/>
  <c r="D12" i="52" s="1"/>
  <c r="AZ387" i="3"/>
  <c r="AZ502" i="3"/>
  <c r="W31" i="34"/>
  <c r="BL587" i="3"/>
  <c r="BA587" i="3"/>
  <c r="AA38" i="33"/>
  <c r="S38" i="33"/>
  <c r="J45" i="33"/>
  <c r="F45" i="33"/>
  <c r="S14" i="34"/>
  <c r="AA14" i="34"/>
  <c r="F32" i="34"/>
  <c r="J32" i="34"/>
  <c r="F12" i="35"/>
  <c r="J12" i="35"/>
  <c r="AC23" i="35"/>
  <c r="W23" i="35"/>
  <c r="W27" i="33"/>
  <c r="W23" i="37"/>
  <c r="U23" i="33"/>
  <c r="W17" i="21"/>
  <c r="AZ14" i="3"/>
  <c r="AZ391" i="3"/>
  <c r="AZ364" i="3"/>
  <c r="AZ329" i="3"/>
  <c r="AZ306" i="3"/>
  <c r="AZ511" i="3"/>
  <c r="AZ547" i="3"/>
  <c r="AZ527" i="3"/>
  <c r="AZ518" i="3"/>
  <c r="AZ572" i="3"/>
  <c r="B97" i="43"/>
  <c r="B75" i="43"/>
  <c r="H9" i="33"/>
  <c r="F9" i="33"/>
  <c r="AA9" i="33" s="1"/>
  <c r="AC28" i="36"/>
  <c r="W28" i="36"/>
  <c r="J24" i="36"/>
  <c r="H24" i="36"/>
  <c r="F24" i="36"/>
  <c r="AB30" i="37"/>
  <c r="U30" i="37"/>
  <c r="C21" i="71"/>
  <c r="D21" i="71" s="1"/>
  <c r="AB45" i="21"/>
  <c r="S20" i="35"/>
  <c r="AA27" i="40"/>
  <c r="AB27" i="40"/>
  <c r="AA34" i="33"/>
  <c r="AZ357" i="3"/>
  <c r="AZ322" i="3"/>
  <c r="AZ313" i="3"/>
  <c r="AZ394" i="3"/>
  <c r="AZ539" i="3"/>
  <c r="AZ529" i="3"/>
  <c r="AZ498" i="3"/>
  <c r="AZ528" i="3"/>
  <c r="AZ574" i="3"/>
  <c r="S14" i="37"/>
  <c r="AC44" i="33"/>
  <c r="W44" i="33"/>
  <c r="W11" i="35"/>
  <c r="AC11" i="35"/>
  <c r="U46" i="34"/>
  <c r="AA44" i="34"/>
  <c r="AB35" i="33"/>
  <c r="U35" i="33"/>
  <c r="H36" i="35"/>
  <c r="F36" i="35"/>
  <c r="J12" i="36"/>
  <c r="F12" i="36"/>
  <c r="H12" i="36"/>
  <c r="F25" i="36"/>
  <c r="H25" i="36"/>
  <c r="H34" i="36"/>
  <c r="J34" i="36"/>
  <c r="W34" i="36" s="1"/>
  <c r="AA11" i="39"/>
  <c r="H14" i="21"/>
  <c r="J14" i="21"/>
  <c r="W28" i="21"/>
  <c r="AC28" i="21"/>
  <c r="F30" i="21"/>
  <c r="J30" i="21"/>
  <c r="J26" i="33"/>
  <c r="F26" i="33"/>
  <c r="H26" i="33"/>
  <c r="AC9" i="34"/>
  <c r="W9" i="34"/>
  <c r="S44" i="33"/>
  <c r="AA44" i="33"/>
  <c r="H23" i="35"/>
  <c r="H25" i="35"/>
  <c r="J25" i="35"/>
  <c r="AC22" i="35"/>
  <c r="W22" i="35"/>
  <c r="J9" i="36"/>
  <c r="J13" i="36"/>
  <c r="F13" i="36"/>
  <c r="F32" i="36"/>
  <c r="H32" i="36"/>
  <c r="AB36" i="39"/>
  <c r="U36" i="39"/>
  <c r="AZ576" i="3"/>
  <c r="AZ519" i="3"/>
  <c r="AZ531" i="3"/>
  <c r="BL573" i="3"/>
  <c r="AZ573" i="3" s="1"/>
  <c r="BL583" i="3"/>
  <c r="AZ583" i="3" s="1"/>
  <c r="W12" i="40"/>
  <c r="W32" i="40"/>
  <c r="S40" i="33"/>
  <c r="F39" i="37"/>
  <c r="S39" i="37" s="1"/>
  <c r="J36" i="39"/>
  <c r="AC36" i="39" s="1"/>
  <c r="J44" i="39"/>
  <c r="AA41" i="21"/>
  <c r="G587" i="3"/>
  <c r="W41" i="33"/>
  <c r="AZ569" i="3"/>
  <c r="AZ571" i="3"/>
  <c r="AZ579" i="3"/>
  <c r="AZ516" i="3"/>
  <c r="F27" i="37"/>
  <c r="AB39" i="40"/>
  <c r="H39" i="37"/>
  <c r="J45" i="39"/>
  <c r="W45" i="39" s="1"/>
  <c r="BL585" i="3"/>
  <c r="AZ585" i="3" s="1"/>
  <c r="H38" i="40"/>
  <c r="G566" i="3"/>
  <c r="G558" i="3"/>
  <c r="AZ400" i="3"/>
  <c r="J38" i="40"/>
  <c r="BA551" i="3"/>
  <c r="AZ551" i="3" s="1"/>
  <c r="BA550" i="3"/>
  <c r="BL548" i="3"/>
  <c r="AZ548" i="3" s="1"/>
  <c r="AZ443" i="3"/>
  <c r="AZ487" i="3"/>
  <c r="G551" i="3"/>
  <c r="BL550" i="3"/>
  <c r="G542" i="3"/>
  <c r="BL398" i="3"/>
  <c r="BL403" i="3"/>
  <c r="BA408" i="3"/>
  <c r="BA409" i="3"/>
  <c r="AZ409" i="3" s="1"/>
  <c r="BA411" i="3"/>
  <c r="BL414" i="3"/>
  <c r="BL415" i="3"/>
  <c r="BA417" i="3"/>
  <c r="BL421" i="3"/>
  <c r="BL422" i="3"/>
  <c r="BL425" i="3"/>
  <c r="BL426" i="3"/>
  <c r="BA428" i="3"/>
  <c r="BA429" i="3"/>
  <c r="BA430" i="3"/>
  <c r="AZ430" i="3" s="1"/>
  <c r="BA432" i="3"/>
  <c r="BA434" i="3"/>
  <c r="BA436" i="3"/>
  <c r="BA438" i="3"/>
  <c r="BA446" i="3"/>
  <c r="BA450" i="3"/>
  <c r="BA453" i="3"/>
  <c r="BA455" i="3"/>
  <c r="AZ455" i="3" s="1"/>
  <c r="BL457" i="3"/>
  <c r="BL460" i="3"/>
  <c r="BL461" i="3"/>
  <c r="BL463" i="3"/>
  <c r="BA471" i="3"/>
  <c r="BL317" i="3"/>
  <c r="BA349" i="3"/>
  <c r="AZ349" i="3" s="1"/>
  <c r="BA353" i="3"/>
  <c r="AZ353" i="3" s="1"/>
  <c r="BL353" i="3"/>
  <c r="BA358" i="3"/>
  <c r="AZ358" i="3" s="1"/>
  <c r="BL365" i="3"/>
  <c r="AZ365" i="3" s="1"/>
  <c r="BA368" i="3"/>
  <c r="AZ368" i="3" s="1"/>
  <c r="BL368" i="3"/>
  <c r="BA374" i="3"/>
  <c r="AZ374" i="3" s="1"/>
  <c r="BA208" i="3"/>
  <c r="AZ208" i="3" s="1"/>
  <c r="BA212" i="3"/>
  <c r="BL213" i="3"/>
  <c r="BA255" i="3"/>
  <c r="P65" i="71"/>
  <c r="P66" i="71"/>
  <c r="D31" i="71"/>
  <c r="C32" i="71"/>
  <c r="V24" i="71"/>
  <c r="E23" i="71"/>
  <c r="E22" i="71" s="1"/>
  <c r="E21" i="71" s="1"/>
  <c r="E20" i="71" s="1"/>
  <c r="BL15" i="3"/>
  <c r="AZ15" i="3" s="1"/>
  <c r="BA398" i="3"/>
  <c r="AZ398" i="3" s="1"/>
  <c r="BA399" i="3"/>
  <c r="AZ399" i="3" s="1"/>
  <c r="BL401" i="3"/>
  <c r="AZ401" i="3" s="1"/>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AZ441" i="3" s="1"/>
  <c r="BL442" i="3"/>
  <c r="BL444" i="3"/>
  <c r="G446" i="3"/>
  <c r="G447" i="3"/>
  <c r="BL448" i="3"/>
  <c r="G450" i="3"/>
  <c r="G451" i="3"/>
  <c r="BA454" i="3"/>
  <c r="BA457" i="3"/>
  <c r="AZ457" i="3" s="1"/>
  <c r="BA459" i="3"/>
  <c r="AZ459" i="3" s="1"/>
  <c r="BA460" i="3"/>
  <c r="AZ460" i="3" s="1"/>
  <c r="BA461" i="3"/>
  <c r="AZ461" i="3" s="1"/>
  <c r="BL464" i="3"/>
  <c r="BL466" i="3"/>
  <c r="G468" i="3"/>
  <c r="G469"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AZ403" i="3"/>
  <c r="AZ404" i="3"/>
  <c r="AZ405" i="3"/>
  <c r="AZ419" i="3"/>
  <c r="AZ422" i="3"/>
  <c r="AZ444" i="3"/>
  <c r="AZ448" i="3"/>
  <c r="AZ464" i="3"/>
  <c r="AZ466" i="3"/>
  <c r="AZ476" i="3"/>
  <c r="G398" i="3"/>
  <c r="G399" i="3"/>
  <c r="BL400" i="3"/>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2" i="3"/>
  <c r="AZ392" i="3" s="1"/>
  <c r="BA397" i="3"/>
  <c r="BL397" i="3"/>
  <c r="BL216" i="3"/>
  <c r="BA245" i="3"/>
  <c r="AZ245" i="3" s="1"/>
  <c r="BA257" i="3"/>
  <c r="AZ257" i="3" s="1"/>
  <c r="BA288" i="3"/>
  <c r="BA386" i="3"/>
  <c r="AZ386" i="3" s="1"/>
  <c r="G397" i="3"/>
  <c r="G210" i="3"/>
  <c r="BA216" i="3"/>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G271" i="3"/>
  <c r="BA274" i="3"/>
  <c r="AZ274" i="3" s="1"/>
  <c r="BL274" i="3"/>
  <c r="G279" i="3"/>
  <c r="BA281" i="3"/>
  <c r="BL283" i="3"/>
  <c r="BL284" i="3"/>
  <c r="G288" i="3"/>
  <c r="BL292" i="3"/>
  <c r="BA294" i="3"/>
  <c r="BL298" i="3"/>
  <c r="G116" i="3"/>
  <c r="BA157" i="3"/>
  <c r="AZ157" i="3" s="1"/>
  <c r="BL166" i="3"/>
  <c r="G172" i="3"/>
  <c r="BL181" i="3"/>
  <c r="BL186" i="3"/>
  <c r="AZ186" i="3" s="1"/>
  <c r="BA201" i="3"/>
  <c r="AZ201" i="3" s="1"/>
  <c r="BL23" i="3"/>
  <c r="BL214" i="3"/>
  <c r="AZ214" i="3" s="1"/>
  <c r="BL225" i="3"/>
  <c r="BL226" i="3"/>
  <c r="BA239" i="3"/>
  <c r="BL239" i="3"/>
  <c r="BA241" i="3"/>
  <c r="AZ241" i="3" s="1"/>
  <c r="BL241" i="3"/>
  <c r="BA244" i="3"/>
  <c r="BL244" i="3"/>
  <c r="BA246" i="3"/>
  <c r="BA252" i="3"/>
  <c r="AZ252" i="3" s="1"/>
  <c r="BA254" i="3"/>
  <c r="AZ254" i="3" s="1"/>
  <c r="BA256" i="3"/>
  <c r="BL256" i="3"/>
  <c r="BA258" i="3"/>
  <c r="BL264" i="3"/>
  <c r="BL266" i="3"/>
  <c r="BA268" i="3"/>
  <c r="BA273" i="3"/>
  <c r="AZ273" i="3" s="1"/>
  <c r="BA177" i="3"/>
  <c r="AZ177" i="3" s="1"/>
  <c r="G190" i="3"/>
  <c r="BL198" i="3"/>
  <c r="G18" i="3"/>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G276" i="3"/>
  <c r="BA277" i="3"/>
  <c r="BL277" i="3"/>
  <c r="BA280" i="3"/>
  <c r="AZ280" i="3" s="1"/>
  <c r="BA283" i="3"/>
  <c r="BA284" i="3"/>
  <c r="AZ284" i="3" s="1"/>
  <c r="BL290" i="3"/>
  <c r="BL291" i="3"/>
  <c r="AZ291" i="3" s="1"/>
  <c r="BL293" i="3"/>
  <c r="BL294" i="3"/>
  <c r="BA297" i="3"/>
  <c r="BL297" i="3"/>
  <c r="BA301" i="3"/>
  <c r="BL122" i="3"/>
  <c r="G127" i="3"/>
  <c r="G136" i="3"/>
  <c r="BL169" i="3"/>
  <c r="G26" i="3"/>
  <c r="BL35" i="3"/>
  <c r="BL295" i="3"/>
  <c r="BA298" i="3"/>
  <c r="AZ298" i="3" s="1"/>
  <c r="BL301" i="3"/>
  <c r="BL302" i="3"/>
  <c r="BA114" i="3"/>
  <c r="BL123" i="3"/>
  <c r="AZ123" i="3" s="1"/>
  <c r="BA128" i="3"/>
  <c r="AZ128" i="3" s="1"/>
  <c r="BL134" i="3"/>
  <c r="BL137" i="3"/>
  <c r="BA146" i="3"/>
  <c r="AZ146" i="3" s="1"/>
  <c r="BA150"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BA41" i="3"/>
  <c r="BA42" i="3"/>
  <c r="BL45" i="3"/>
  <c r="BA48" i="3"/>
  <c r="BA49" i="3"/>
  <c r="BL64" i="3"/>
  <c r="G65" i="3"/>
  <c r="BL65" i="3"/>
  <c r="AZ65" i="3" s="1"/>
  <c r="BL66" i="3"/>
  <c r="BL67" i="3"/>
  <c r="AZ67" i="3" s="1"/>
  <c r="G69" i="3"/>
  <c r="BL74" i="3"/>
  <c r="BA77" i="3"/>
  <c r="BA98" i="3"/>
  <c r="T40" i="71"/>
  <c r="D40" i="71"/>
  <c r="C44" i="71"/>
  <c r="D43" i="71"/>
  <c r="C52" i="71"/>
  <c r="D51" i="71"/>
  <c r="BL270" i="3"/>
  <c r="AZ270" i="3" s="1"/>
  <c r="BA272" i="3"/>
  <c r="AZ272" i="3" s="1"/>
  <c r="BL275" i="3"/>
  <c r="AZ275" i="3" s="1"/>
  <c r="G277" i="3"/>
  <c r="G280" i="3"/>
  <c r="G282" i="3"/>
  <c r="BL285" i="3"/>
  <c r="BL287" i="3"/>
  <c r="BA290" i="3"/>
  <c r="G297" i="3"/>
  <c r="BL299" i="3"/>
  <c r="G300" i="3"/>
  <c r="BL113" i="3"/>
  <c r="BL115" i="3"/>
  <c r="AZ115" i="3" s="1"/>
  <c r="BA118" i="3"/>
  <c r="BL118" i="3"/>
  <c r="BA122" i="3"/>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AZ27" i="3" s="1"/>
  <c r="BA28" i="3"/>
  <c r="AZ28" i="3" s="1"/>
  <c r="BA31" i="3"/>
  <c r="BA32" i="3"/>
  <c r="BA38" i="3"/>
  <c r="BL40" i="3"/>
  <c r="BL41" i="3"/>
  <c r="G51" i="3"/>
  <c r="BA52" i="3"/>
  <c r="AZ52" i="3" s="1"/>
  <c r="BA53" i="3"/>
  <c r="BA54" i="3"/>
  <c r="BL57" i="3"/>
  <c r="G62" i="3"/>
  <c r="BL62" i="3"/>
  <c r="AZ62" i="3" s="1"/>
  <c r="BL63" i="3"/>
  <c r="BL68" i="3"/>
  <c r="BA69" i="3"/>
  <c r="AZ69" i="3" s="1"/>
  <c r="BA75" i="3"/>
  <c r="BL79" i="3"/>
  <c r="G80" i="3"/>
  <c r="BL93" i="3"/>
  <c r="B27" i="71"/>
  <c r="B26" i="71" s="1"/>
  <c r="S28" i="71"/>
  <c r="C47" i="71"/>
  <c r="D47" i="71" s="1"/>
  <c r="D46" i="71"/>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BA43" i="3"/>
  <c r="BL47" i="3"/>
  <c r="AZ47" i="3" s="1"/>
  <c r="G49" i="3"/>
  <c r="BL54" i="3"/>
  <c r="BL55" i="3"/>
  <c r="AZ55" i="3" s="1"/>
  <c r="G57" i="3"/>
  <c r="BA59" i="3"/>
  <c r="AZ59" i="3" s="1"/>
  <c r="G61" i="3"/>
  <c r="BL61" i="3"/>
  <c r="AZ61" i="3" s="1"/>
  <c r="G64" i="3"/>
  <c r="BA64" i="3"/>
  <c r="G73" i="3"/>
  <c r="BL73" i="3"/>
  <c r="BA74" i="3"/>
  <c r="AZ74" i="3" s="1"/>
  <c r="G78" i="3"/>
  <c r="C55" i="71"/>
  <c r="D54" i="71"/>
  <c r="N67" i="71"/>
  <c r="B66" i="71"/>
  <c r="F66" i="71"/>
  <c r="Q67"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E75" i="71"/>
  <c r="E74" i="71" s="1"/>
  <c r="AB25" i="71"/>
  <c r="X26" i="71"/>
  <c r="Y25" i="71"/>
  <c r="Z25" i="71" s="1"/>
  <c r="X38" i="71"/>
  <c r="C35" i="71"/>
  <c r="Y29" i="71"/>
  <c r="Z29" i="71" s="1"/>
  <c r="AB32" i="71"/>
  <c r="X33" i="71"/>
  <c r="AB37" i="71"/>
  <c r="AZ103" i="3"/>
  <c r="X28" i="71"/>
  <c r="X32" i="71"/>
  <c r="F40" i="71"/>
  <c r="V40" i="71" s="1"/>
  <c r="AB38" i="71"/>
  <c r="AA39" i="71"/>
  <c r="F75" i="71"/>
  <c r="F74" i="71" s="1"/>
  <c r="BA37" i="3"/>
  <c r="G39" i="3"/>
  <c r="BL39" i="3"/>
  <c r="G43" i="3"/>
  <c r="G44" i="3"/>
  <c r="BA45" i="3"/>
  <c r="AZ45" i="3" s="1"/>
  <c r="BA46" i="3"/>
  <c r="BL49" i="3"/>
  <c r="BL50" i="3"/>
  <c r="AZ50" i="3" s="1"/>
  <c r="BL51" i="3"/>
  <c r="AZ51" i="3" s="1"/>
  <c r="G53" i="3"/>
  <c r="BL53" i="3"/>
  <c r="BA56" i="3"/>
  <c r="BA57" i="3"/>
  <c r="AZ57" i="3" s="1"/>
  <c r="BL58" i="3"/>
  <c r="AZ58" i="3" s="1"/>
  <c r="G60" i="3"/>
  <c r="BA60" i="3"/>
  <c r="BA63" i="3"/>
  <c r="AZ63" i="3" s="1"/>
  <c r="BA66" i="3"/>
  <c r="AZ66" i="3" s="1"/>
  <c r="BA71" i="3"/>
  <c r="G76" i="3"/>
  <c r="BL77" i="3"/>
  <c r="BA79" i="3"/>
  <c r="AZ79" i="3" s="1"/>
  <c r="G82" i="3"/>
  <c r="G83" i="3"/>
  <c r="BA84" i="3"/>
  <c r="AZ84" i="3" s="1"/>
  <c r="BL88" i="3"/>
  <c r="AZ88" i="3" s="1"/>
  <c r="G90" i="3"/>
  <c r="BL90" i="3"/>
  <c r="BL92" i="3"/>
  <c r="G101" i="3"/>
  <c r="BA101" i="3"/>
  <c r="AZ101" i="3" s="1"/>
  <c r="G108" i="3"/>
  <c r="G109" i="3"/>
  <c r="BL112" i="3"/>
  <c r="AB21" i="33"/>
  <c r="U25" i="40"/>
  <c r="S21" i="34"/>
  <c r="B68" i="43"/>
  <c r="B88" i="43"/>
  <c r="D39" i="71"/>
  <c r="C74" i="71"/>
  <c r="D74" i="71" s="1"/>
  <c r="C27" i="71"/>
  <c r="D30" i="71"/>
  <c r="BL70" i="3"/>
  <c r="AZ70" i="3" s="1"/>
  <c r="BL71" i="3"/>
  <c r="BL72" i="3"/>
  <c r="AZ72" i="3" s="1"/>
  <c r="G74" i="3"/>
  <c r="G75" i="3"/>
  <c r="BL75" i="3"/>
  <c r="G79" i="3"/>
  <c r="BL81" i="3"/>
  <c r="BA82" i="3"/>
  <c r="AZ82" i="3" s="1"/>
  <c r="BL83" i="3"/>
  <c r="G86" i="3"/>
  <c r="G87"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C36" i="69"/>
  <c r="D9" i="68"/>
  <c r="L48" i="15"/>
  <c r="M24" i="67"/>
  <c r="F36" i="67"/>
  <c r="D5" i="73"/>
  <c r="M24" i="15"/>
  <c r="M8" i="67"/>
  <c r="M28" i="67"/>
  <c r="M22" i="15"/>
  <c r="F37" i="15"/>
  <c r="M22" i="67"/>
  <c r="D3" i="73"/>
  <c r="M26" i="15"/>
  <c r="M9" i="15"/>
  <c r="F13" i="67"/>
  <c r="F13" i="15"/>
  <c r="F26" i="15"/>
  <c r="F16" i="67"/>
  <c r="J15" i="67"/>
  <c r="F42" i="15"/>
  <c r="F36" i="15"/>
  <c r="M29" i="67"/>
  <c r="C76" i="67"/>
  <c r="F40" i="15"/>
  <c r="F16" i="15"/>
  <c r="F6" i="67"/>
  <c r="D7" i="73"/>
  <c r="M29" i="15"/>
  <c r="F38" i="67"/>
  <c r="J15" i="15"/>
  <c r="F43" i="15"/>
  <c r="F40" i="67"/>
  <c r="M6" i="67"/>
  <c r="M8" i="15"/>
  <c r="F6" i="15"/>
  <c r="F8" i="67"/>
  <c r="D4" i="73"/>
  <c r="M6" i="15"/>
  <c r="F42" i="67"/>
  <c r="M28" i="15"/>
  <c r="M23" i="15"/>
  <c r="M23" i="67"/>
  <c r="F7" i="15"/>
  <c r="L47" i="67"/>
  <c r="F9" i="67"/>
  <c r="F43" i="67"/>
  <c r="F26" i="67"/>
  <c r="L48" i="67"/>
  <c r="C76" i="15"/>
  <c r="M26" i="67"/>
  <c r="F9" i="15"/>
  <c r="M9" i="67"/>
  <c r="F7" i="67"/>
  <c r="F8" i="15"/>
  <c r="F38" i="15"/>
  <c r="F37" i="67"/>
  <c r="L47" i="15"/>
  <c r="K51" i="43" l="1"/>
  <c r="M51" i="43"/>
  <c r="N51" i="43" s="1"/>
  <c r="K55" i="43"/>
  <c r="M55" i="43"/>
  <c r="N55" i="43" s="1"/>
  <c r="M58" i="43"/>
  <c r="N58" i="43" s="1"/>
  <c r="K58" i="43"/>
  <c r="J58" i="43" s="1"/>
  <c r="M50" i="43"/>
  <c r="N50" i="43" s="1"/>
  <c r="K50" i="43"/>
  <c r="J50" i="43" s="1"/>
  <c r="M53" i="43"/>
  <c r="N53" i="43" s="1"/>
  <c r="K53" i="43"/>
  <c r="K57" i="43"/>
  <c r="J57" i="43" s="1"/>
  <c r="D57" i="43" s="1"/>
  <c r="M57" i="43"/>
  <c r="N57" i="43" s="1"/>
  <c r="M52" i="43"/>
  <c r="N52" i="43" s="1"/>
  <c r="K52" i="43"/>
  <c r="M56" i="43"/>
  <c r="N56" i="43" s="1"/>
  <c r="K56" i="43"/>
  <c r="E26" i="43"/>
  <c r="C30" i="11"/>
  <c r="G26" i="43"/>
  <c r="N94" i="46"/>
  <c r="J26" i="43"/>
  <c r="N370" i="46"/>
  <c r="Q71" i="67"/>
  <c r="F65" i="67"/>
  <c r="F64" i="67"/>
  <c r="M7" i="67"/>
  <c r="J6" i="67" s="1"/>
  <c r="J18" i="67" s="1"/>
  <c r="F50" i="67"/>
  <c r="I54" i="67"/>
  <c r="J53" i="67"/>
  <c r="F1" i="67" s="1"/>
  <c r="J57" i="67"/>
  <c r="J55" i="67" s="1"/>
  <c r="J58" i="67" s="1"/>
  <c r="Q50" i="67" s="1"/>
  <c r="L56" i="67"/>
  <c r="F71" i="67"/>
  <c r="C6" i="67"/>
  <c r="C32" i="67" s="1"/>
  <c r="F51" i="67"/>
  <c r="F68" i="67"/>
  <c r="F66" i="67"/>
  <c r="C27" i="67"/>
  <c r="M59" i="67"/>
  <c r="N59" i="67"/>
  <c r="L59" i="67"/>
  <c r="Q61" i="67" s="1"/>
  <c r="L58" i="67"/>
  <c r="Q73" i="67" s="1"/>
  <c r="C6" i="15"/>
  <c r="C32" i="15" s="1"/>
  <c r="F71" i="15"/>
  <c r="N59" i="15"/>
  <c r="L58" i="15"/>
  <c r="Q60" i="15" s="1"/>
  <c r="M59" i="15"/>
  <c r="L59" i="15"/>
  <c r="Q61" i="15" s="1"/>
  <c r="F65" i="15"/>
  <c r="F64" i="15"/>
  <c r="C27" i="15"/>
  <c r="F66" i="15"/>
  <c r="I54" i="15"/>
  <c r="J53" i="15"/>
  <c r="L56" i="15" s="1"/>
  <c r="J57" i="15"/>
  <c r="J55" i="15" s="1"/>
  <c r="J58" i="15" s="1"/>
  <c r="Q50" i="15" s="1"/>
  <c r="F51" i="15"/>
  <c r="M7" i="15"/>
  <c r="J6" i="15" s="1"/>
  <c r="J18" i="15" s="1"/>
  <c r="F50" i="15"/>
  <c r="F68" i="15"/>
  <c r="Q71" i="15"/>
  <c r="E59" i="40"/>
  <c r="H16" i="1"/>
  <c r="K16" i="1"/>
  <c r="G16" i="1"/>
  <c r="F10" i="39" s="1"/>
  <c r="AA10" i="39" s="1"/>
  <c r="Q16" i="1"/>
  <c r="F27" i="69" s="1"/>
  <c r="F45" i="69" s="1"/>
  <c r="F26" i="43"/>
  <c r="D26" i="43" s="1"/>
  <c r="C25" i="43" s="1"/>
  <c r="P6" i="1"/>
  <c r="C13" i="12" s="1"/>
  <c r="D127" i="9"/>
  <c r="D13" i="52" s="1"/>
  <c r="D19" i="53"/>
  <c r="C56" i="71"/>
  <c r="D55" i="71"/>
  <c r="AZ277" i="3"/>
  <c r="AZ244" i="3"/>
  <c r="AZ239" i="3"/>
  <c r="AZ249" i="3"/>
  <c r="AZ216" i="3"/>
  <c r="AZ428" i="3"/>
  <c r="AZ411" i="3"/>
  <c r="AB39" i="37"/>
  <c r="U39" i="37"/>
  <c r="AB32" i="36"/>
  <c r="U32" i="36"/>
  <c r="AC9" i="36"/>
  <c r="W9" i="36"/>
  <c r="AB25" i="35"/>
  <c r="U25" i="35"/>
  <c r="AC26" i="33"/>
  <c r="W26" i="33"/>
  <c r="AB25" i="36"/>
  <c r="U25" i="36"/>
  <c r="W12" i="36"/>
  <c r="AC12" i="36"/>
  <c r="W32" i="34"/>
  <c r="AC32" i="34"/>
  <c r="AA45" i="33"/>
  <c r="S45" i="33"/>
  <c r="AZ587" i="3"/>
  <c r="C36" i="71"/>
  <c r="D35" i="71"/>
  <c r="N65" i="71"/>
  <c r="N66" i="71"/>
  <c r="AZ64" i="3"/>
  <c r="AZ19" i="3"/>
  <c r="AZ302" i="3"/>
  <c r="AZ31" i="3"/>
  <c r="AZ20" i="3"/>
  <c r="AZ122" i="3"/>
  <c r="D44" i="71"/>
  <c r="T44" i="71"/>
  <c r="AZ77" i="3"/>
  <c r="AZ49" i="3"/>
  <c r="AZ41" i="3"/>
  <c r="AZ25" i="3"/>
  <c r="AZ301" i="3"/>
  <c r="AZ283" i="3"/>
  <c r="AZ238" i="3"/>
  <c r="AZ397" i="3"/>
  <c r="AZ483" i="3"/>
  <c r="AZ418" i="3"/>
  <c r="AZ471" i="3"/>
  <c r="AZ432" i="3"/>
  <c r="AZ417" i="3"/>
  <c r="AC38" i="40"/>
  <c r="W38" i="40"/>
  <c r="AB38" i="40"/>
  <c r="U38" i="40"/>
  <c r="S32" i="36"/>
  <c r="AA32" i="36"/>
  <c r="U23" i="35"/>
  <c r="AB23" i="35"/>
  <c r="AC30" i="21"/>
  <c r="W30" i="21"/>
  <c r="AC14" i="21"/>
  <c r="W14" i="21"/>
  <c r="S25" i="36"/>
  <c r="AA25" i="36"/>
  <c r="S36" i="35"/>
  <c r="AA36" i="35"/>
  <c r="AA24" i="36"/>
  <c r="S24" i="36"/>
  <c r="S32" i="34"/>
  <c r="AA32" i="34"/>
  <c r="W45" i="33"/>
  <c r="AC45" i="33"/>
  <c r="J7" i="36"/>
  <c r="J7" i="37"/>
  <c r="G5" i="3"/>
  <c r="B3" i="3" s="1"/>
  <c r="E37" i="3" s="1"/>
  <c r="AZ71" i="3"/>
  <c r="AZ75" i="3"/>
  <c r="AZ53" i="3"/>
  <c r="AZ39" i="3"/>
  <c r="AZ294" i="3"/>
  <c r="AZ454" i="3"/>
  <c r="AZ435" i="3"/>
  <c r="AZ408" i="3"/>
  <c r="AA27" i="37"/>
  <c r="S27" i="37"/>
  <c r="S13" i="36"/>
  <c r="AA13" i="36"/>
  <c r="U26" i="33"/>
  <c r="AB26" i="33"/>
  <c r="S30" i="21"/>
  <c r="AA30" i="21"/>
  <c r="U14" i="21"/>
  <c r="AB14" i="21"/>
  <c r="AB12" i="36"/>
  <c r="U12" i="36"/>
  <c r="AB36" i="35"/>
  <c r="U36" i="35"/>
  <c r="AB24" i="36"/>
  <c r="U24" i="36"/>
  <c r="W12" i="35"/>
  <c r="AC12" i="35"/>
  <c r="C26" i="71"/>
  <c r="D26" i="71" s="1"/>
  <c r="D27" i="71"/>
  <c r="AZ118" i="3"/>
  <c r="T52" i="71"/>
  <c r="D52" i="71"/>
  <c r="AZ38" i="3"/>
  <c r="AZ150" i="3"/>
  <c r="AZ297" i="3"/>
  <c r="AZ256" i="3"/>
  <c r="AZ229" i="3"/>
  <c r="AZ218" i="3"/>
  <c r="T32" i="71"/>
  <c r="D32" i="71"/>
  <c r="AZ453" i="3"/>
  <c r="AZ429" i="3"/>
  <c r="AZ550" i="3"/>
  <c r="W44" i="39"/>
  <c r="AC44" i="39"/>
  <c r="W25" i="35"/>
  <c r="AC25" i="35"/>
  <c r="S26" i="33"/>
  <c r="AA26" i="33"/>
  <c r="AB34" i="36"/>
  <c r="U34" i="36"/>
  <c r="AA12" i="36"/>
  <c r="S12" i="36"/>
  <c r="AC24" i="36"/>
  <c r="W24" i="36"/>
  <c r="AB9" i="33"/>
  <c r="U9" i="33"/>
  <c r="K1" i="73"/>
  <c r="AF6" i="3"/>
  <c r="E540" i="3"/>
  <c r="E520" i="3"/>
  <c r="E297" i="3"/>
  <c r="E179" i="3"/>
  <c r="E127" i="3"/>
  <c r="E438" i="3"/>
  <c r="W6" i="3"/>
  <c r="E196" i="3"/>
  <c r="E145" i="3"/>
  <c r="E126" i="3"/>
  <c r="E291" i="3"/>
  <c r="E574" i="3"/>
  <c r="E359" i="3"/>
  <c r="E321" i="3"/>
  <c r="E169" i="3"/>
  <c r="E159" i="3"/>
  <c r="E303" i="3"/>
  <c r="E262" i="3"/>
  <c r="E120" i="3"/>
  <c r="E429" i="3"/>
  <c r="E55" i="3"/>
  <c r="E236" i="3"/>
  <c r="E252" i="3"/>
  <c r="E404" i="3"/>
  <c r="E88" i="3"/>
  <c r="E366" i="3"/>
  <c r="E282" i="3"/>
  <c r="E559" i="3"/>
  <c r="E551" i="3"/>
  <c r="E260" i="3"/>
  <c r="E550" i="3"/>
  <c r="E336" i="3"/>
  <c r="E253" i="3"/>
  <c r="E573" i="3"/>
  <c r="E458" i="3"/>
  <c r="E279" i="3"/>
  <c r="E351" i="3"/>
  <c r="E515" i="3"/>
  <c r="E414" i="3"/>
  <c r="E210" i="3"/>
  <c r="E331" i="3"/>
  <c r="E555" i="3"/>
  <c r="E410" i="3"/>
  <c r="E380" i="3"/>
  <c r="E216" i="3"/>
  <c r="E134" i="3"/>
  <c r="E301" i="3"/>
  <c r="E545" i="3"/>
  <c r="AK6" i="3"/>
  <c r="E587" i="3"/>
  <c r="E468" i="3"/>
  <c r="E227" i="3"/>
  <c r="E368" i="3"/>
  <c r="E345" i="3"/>
  <c r="E557" i="3"/>
  <c r="E273" i="3"/>
  <c r="E377" i="3"/>
  <c r="AJ6" i="3"/>
  <c r="E509" i="3"/>
  <c r="E570" i="3"/>
  <c r="M6" i="3"/>
  <c r="E278" i="3"/>
  <c r="E563" i="3"/>
  <c r="E263" i="3"/>
  <c r="E423" i="3"/>
  <c r="E148" i="3"/>
  <c r="E119"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E131" i="3"/>
  <c r="E369" i="3"/>
  <c r="AA9" i="36"/>
  <c r="S9" i="36"/>
  <c r="AA34" i="35"/>
  <c r="S34" i="35"/>
  <c r="E15" i="71"/>
  <c r="E14" i="71" s="1"/>
  <c r="E13" i="71" s="1"/>
  <c r="E12" i="71" s="1"/>
  <c r="V16" i="71"/>
  <c r="E139" i="3"/>
  <c r="S40" i="40"/>
  <c r="AA40" i="40"/>
  <c r="AC34" i="35"/>
  <c r="W34" i="35"/>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27" i="11"/>
  <c r="C29" i="11" s="1"/>
  <c r="D27" i="11"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F41" i="67"/>
  <c r="C16" i="67"/>
  <c r="G1" i="73"/>
  <c r="C16" i="15"/>
  <c r="J56" i="43" l="1"/>
  <c r="D56" i="43"/>
  <c r="J55" i="43"/>
  <c r="D55" i="43"/>
  <c r="J52" i="43"/>
  <c r="D52" i="43"/>
  <c r="J53" i="43"/>
  <c r="D53" i="43"/>
  <c r="J51" i="43"/>
  <c r="D51" i="43"/>
  <c r="C49" i="67"/>
  <c r="Q74" i="15"/>
  <c r="C49" i="15"/>
  <c r="J5" i="15"/>
  <c r="J24" i="15" s="1"/>
  <c r="Q74" i="67"/>
  <c r="Q73" i="15"/>
  <c r="Q52" i="15"/>
  <c r="Q60" i="67"/>
  <c r="Q52" i="67"/>
  <c r="F1" i="15"/>
  <c r="F28" i="12"/>
  <c r="C29" i="12" s="1"/>
  <c r="D28" i="12" s="1"/>
  <c r="J5" i="67"/>
  <c r="J24" i="67" s="1"/>
  <c r="E307" i="3"/>
  <c r="E163" i="3"/>
  <c r="E436" i="3"/>
  <c r="E500" i="3"/>
  <c r="E372" i="3"/>
  <c r="E174" i="3"/>
  <c r="E94" i="3"/>
  <c r="E219" i="3"/>
  <c r="E242" i="3"/>
  <c r="X6" i="3"/>
  <c r="E161" i="3"/>
  <c r="E215" i="3"/>
  <c r="E201" i="3"/>
  <c r="E526" i="3"/>
  <c r="E70" i="3"/>
  <c r="AO6" i="3"/>
  <c r="E214" i="3"/>
  <c r="E560" i="3"/>
  <c r="E347" i="3"/>
  <c r="E361" i="3"/>
  <c r="AR6" i="3"/>
  <c r="E343" i="3"/>
  <c r="E447" i="3"/>
  <c r="E269" i="3"/>
  <c r="E433" i="3"/>
  <c r="E99" i="3"/>
  <c r="E382" i="3"/>
  <c r="E130" i="3"/>
  <c r="E396" i="3"/>
  <c r="E334" i="3"/>
  <c r="E443" i="3"/>
  <c r="E394" i="3"/>
  <c r="E481" i="3"/>
  <c r="E156" i="3"/>
  <c r="E17" i="3"/>
  <c r="E523" i="3"/>
  <c r="E153" i="3"/>
  <c r="E547" i="3"/>
  <c r="E208" i="3"/>
  <c r="E224" i="3"/>
  <c r="E154" i="3"/>
  <c r="E542" i="3"/>
  <c r="E284" i="3"/>
  <c r="E386" i="3"/>
  <c r="E35" i="3"/>
  <c r="E160" i="3"/>
  <c r="E378" i="3"/>
  <c r="E248" i="3"/>
  <c r="AY6" i="3"/>
  <c r="E275" i="3"/>
  <c r="E246" i="3"/>
  <c r="E535" i="3"/>
  <c r="E335" i="3"/>
  <c r="E247" i="3"/>
  <c r="E217" i="3"/>
  <c r="E28" i="3"/>
  <c r="Z6" i="3"/>
  <c r="E171" i="3"/>
  <c r="K6" i="3"/>
  <c r="E124" i="3"/>
  <c r="E183" i="3"/>
  <c r="E533" i="3"/>
  <c r="E175" i="3"/>
  <c r="E476" i="3"/>
  <c r="E549" i="3"/>
  <c r="E571" i="3"/>
  <c r="E511" i="3"/>
  <c r="E245" i="3"/>
  <c r="E294" i="3"/>
  <c r="E569" i="3"/>
  <c r="E316" i="3"/>
  <c r="E448" i="3"/>
  <c r="E274" i="3"/>
  <c r="E437" i="3"/>
  <c r="E280" i="3"/>
  <c r="E213" i="3"/>
  <c r="S6" i="3"/>
  <c r="E319" i="3"/>
  <c r="E367" i="3"/>
  <c r="E168" i="3"/>
  <c r="E352" i="3"/>
  <c r="E87" i="3"/>
  <c r="E341" i="3"/>
  <c r="E354" i="3"/>
  <c r="E566" i="3"/>
  <c r="E190" i="3"/>
  <c r="E467" i="3"/>
  <c r="J10" i="39"/>
  <c r="W10" i="39" s="1"/>
  <c r="E118" i="3"/>
  <c r="E487" i="3"/>
  <c r="E296" i="3"/>
  <c r="E200" i="3"/>
  <c r="E385" i="3"/>
  <c r="E191" i="3"/>
  <c r="E445" i="3"/>
  <c r="E69" i="3"/>
  <c r="E387" i="3"/>
  <c r="E514" i="3"/>
  <c r="E431" i="3"/>
  <c r="E322" i="3"/>
  <c r="E109" i="3"/>
  <c r="E211" i="3"/>
  <c r="E489" i="3"/>
  <c r="E400" i="3"/>
  <c r="E327" i="3"/>
  <c r="E74" i="3"/>
  <c r="E106" i="3"/>
  <c r="E465" i="3"/>
  <c r="E133" i="3"/>
  <c r="E568" i="3"/>
  <c r="E495" i="3"/>
  <c r="E91" i="3"/>
  <c r="E261" i="3"/>
  <c r="E439" i="3"/>
  <c r="E270" i="3"/>
  <c r="E508" i="3"/>
  <c r="E441" i="3"/>
  <c r="E186" i="3"/>
  <c r="E505" i="3"/>
  <c r="E585" i="3"/>
  <c r="E567" i="3"/>
  <c r="E111" i="3"/>
  <c r="E562" i="3"/>
  <c r="E519" i="3"/>
  <c r="E85" i="3"/>
  <c r="E293" i="3"/>
  <c r="E61" i="3"/>
  <c r="E415" i="3"/>
  <c r="E320" i="3"/>
  <c r="E358" i="3"/>
  <c r="E239" i="3"/>
  <c r="E125" i="3"/>
  <c r="E295" i="3"/>
  <c r="E581" i="3"/>
  <c r="AG6" i="3"/>
  <c r="I6" i="3"/>
  <c r="E203" i="3"/>
  <c r="AE6" i="3"/>
  <c r="Q6" i="3"/>
  <c r="E434" i="3"/>
  <c r="E353" i="3"/>
  <c r="E254" i="3"/>
  <c r="E304" i="3"/>
  <c r="E338" i="3"/>
  <c r="E390" i="3"/>
  <c r="E328" i="3"/>
  <c r="E53" i="3"/>
  <c r="E92" i="3"/>
  <c r="E411" i="3"/>
  <c r="E93" i="3"/>
  <c r="E54" i="3"/>
  <c r="E529" i="3"/>
  <c r="E136" i="3"/>
  <c r="E504" i="3"/>
  <c r="E459" i="3"/>
  <c r="E462" i="3"/>
  <c r="E584" i="3"/>
  <c r="E149" i="3"/>
  <c r="E138" i="3"/>
  <c r="E244" i="3"/>
  <c r="E289" i="3"/>
  <c r="E376" i="3"/>
  <c r="E556" i="3"/>
  <c r="E283" i="3"/>
  <c r="E539" i="3"/>
  <c r="E502" i="3"/>
  <c r="E258" i="3"/>
  <c r="E371" i="3"/>
  <c r="E391" i="3"/>
  <c r="E308" i="3"/>
  <c r="E470" i="3"/>
  <c r="E329" i="3"/>
  <c r="E419" i="3"/>
  <c r="E79" i="3"/>
  <c r="E265" i="3"/>
  <c r="E24" i="3"/>
  <c r="E312" i="3"/>
  <c r="E110" i="3"/>
  <c r="E48" i="3"/>
  <c r="E464" i="3"/>
  <c r="E266" i="3"/>
  <c r="E374" i="3"/>
  <c r="E66" i="3"/>
  <c r="E195" i="3"/>
  <c r="E187" i="3"/>
  <c r="E82" i="3"/>
  <c r="E157" i="3"/>
  <c r="E474" i="3"/>
  <c r="E471" i="3"/>
  <c r="E357" i="3"/>
  <c r="E207" i="3"/>
  <c r="E548" i="3"/>
  <c r="E71" i="3"/>
  <c r="E317"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E430" i="3"/>
  <c r="E349" i="3"/>
  <c r="E184" i="3"/>
  <c r="E482" i="3"/>
  <c r="E197" i="3"/>
  <c r="E356" i="3"/>
  <c r="E116" i="3"/>
  <c r="E25" i="3"/>
  <c r="E325" i="3"/>
  <c r="E165" i="3"/>
  <c r="E250" i="3"/>
  <c r="E416" i="3"/>
  <c r="E142" i="3"/>
  <c r="E240" i="3"/>
  <c r="E483" i="3"/>
  <c r="E132" i="3"/>
  <c r="E100" i="3"/>
  <c r="AI6" i="3"/>
  <c r="E135" i="3"/>
  <c r="E172" i="3"/>
  <c r="E189" i="3"/>
  <c r="AB6" i="3"/>
  <c r="E311" i="3"/>
  <c r="E579" i="3"/>
  <c r="E268" i="3"/>
  <c r="E572" i="3"/>
  <c r="E182" i="3"/>
  <c r="E531" i="3"/>
  <c r="E485" i="3"/>
  <c r="E204" i="3"/>
  <c r="E315" i="3"/>
  <c r="E454" i="3"/>
  <c r="E406" i="3"/>
  <c r="E228" i="3"/>
  <c r="E77" i="3"/>
  <c r="E586" i="3"/>
  <c r="E503" i="3"/>
  <c r="E185" i="3"/>
  <c r="E538" i="3"/>
  <c r="E337" i="3"/>
  <c r="E305" i="3"/>
  <c r="E44" i="3"/>
  <c r="E27" i="3"/>
  <c r="E477" i="3"/>
  <c r="E107" i="3"/>
  <c r="E318" i="3"/>
  <c r="E72" i="3"/>
  <c r="E457" i="3"/>
  <c r="E45" i="3"/>
  <c r="E453" i="3"/>
  <c r="E518" i="3"/>
  <c r="E117" i="3"/>
  <c r="E114" i="3"/>
  <c r="E407" i="3"/>
  <c r="E229" i="3"/>
  <c r="N6" i="3"/>
  <c r="E480" i="3"/>
  <c r="E121" i="3"/>
  <c r="E558" i="3"/>
  <c r="E576" i="3"/>
  <c r="E580" i="3"/>
  <c r="E73" i="3"/>
  <c r="E344" i="3"/>
  <c r="E177" i="3"/>
  <c r="E238" i="3"/>
  <c r="AN6" i="3"/>
  <c r="E302" i="3"/>
  <c r="E237" i="3"/>
  <c r="E418" i="3"/>
  <c r="E285" i="3"/>
  <c r="E426" i="3"/>
  <c r="AM6" i="3"/>
  <c r="E403" i="3"/>
  <c r="U6" i="3"/>
  <c r="E14" i="3"/>
  <c r="E537" i="3"/>
  <c r="E313" i="3"/>
  <c r="E461" i="3"/>
  <c r="E413" i="3"/>
  <c r="AD6" i="3"/>
  <c r="E39" i="3"/>
  <c r="E375" i="3"/>
  <c r="E323" i="3"/>
  <c r="E446" i="3"/>
  <c r="E222" i="3"/>
  <c r="E36" i="3"/>
  <c r="E564" i="3"/>
  <c r="E512" i="3"/>
  <c r="E68" i="3"/>
  <c r="AP6" i="3"/>
  <c r="H10" i="39"/>
  <c r="U10" i="39" s="1"/>
  <c r="S10" i="39"/>
  <c r="E29" i="3"/>
  <c r="E272" i="3"/>
  <c r="E546" i="3"/>
  <c r="E432" i="3"/>
  <c r="E379" i="3"/>
  <c r="E397" i="3"/>
  <c r="E257" i="3"/>
  <c r="E475" i="3"/>
  <c r="E288" i="3"/>
  <c r="E532" i="3"/>
  <c r="E306" i="3"/>
  <c r="E122" i="3"/>
  <c r="E98" i="3"/>
  <c r="E167" i="3"/>
  <c r="E488" i="3"/>
  <c r="Y6" i="3"/>
  <c r="E259" i="3"/>
  <c r="E373" i="3"/>
  <c r="E47" i="3"/>
  <c r="E582" i="3"/>
  <c r="E19" i="3"/>
  <c r="E209" i="3"/>
  <c r="E57" i="3"/>
  <c r="E421" i="3"/>
  <c r="E51" i="3"/>
  <c r="E348" i="3"/>
  <c r="E20" i="3"/>
  <c r="E194" i="3"/>
  <c r="E226" i="3"/>
  <c r="E507" i="3"/>
  <c r="E80" i="3"/>
  <c r="E41" i="3"/>
  <c r="T6" i="3"/>
  <c r="E86" i="3"/>
  <c r="E494" i="3"/>
  <c r="E84" i="3"/>
  <c r="E59" i="3"/>
  <c r="E491" i="3"/>
  <c r="E199" i="3"/>
  <c r="H10" i="40"/>
  <c r="AB10" i="40" s="1"/>
  <c r="J10" i="40"/>
  <c r="AC10" i="40" s="1"/>
  <c r="F10" i="40"/>
  <c r="S10" i="40" s="1"/>
  <c r="E3" i="6"/>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53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510"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B38" i="72"/>
  <c r="D20" i="53"/>
  <c r="B40" i="72" s="1"/>
  <c r="E212" i="3"/>
  <c r="E286" i="3"/>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67"/>
  <c r="M27" i="15"/>
  <c r="AE6" i="1"/>
  <c r="E50" i="43" l="1"/>
  <c r="B48" i="43" s="1"/>
  <c r="C28" i="43" s="1"/>
  <c r="C48" i="67"/>
  <c r="C48" i="15"/>
  <c r="C66" i="15" s="1"/>
  <c r="AC10" i="39"/>
  <c r="AA10" i="40"/>
  <c r="H6" i="3"/>
  <c r="U10" i="40"/>
  <c r="W10" i="40"/>
  <c r="AC6" i="3"/>
  <c r="D116" i="43"/>
  <c r="F24" i="67"/>
  <c r="C24" i="67" s="1"/>
  <c r="F22" i="11"/>
  <c r="C23" i="11" s="1"/>
  <c r="F22" i="69"/>
  <c r="F41" i="69" s="1"/>
  <c r="F24" i="15"/>
  <c r="C24" i="15" s="1"/>
  <c r="F22" i="68"/>
  <c r="C26" i="68" s="1"/>
  <c r="D22" i="68" s="1"/>
  <c r="F25" i="12"/>
  <c r="C26" i="12" s="1"/>
  <c r="D25" i="12" s="1"/>
  <c r="O36" i="43"/>
  <c r="Q36" i="43"/>
  <c r="N36" i="43"/>
  <c r="M36" i="43"/>
  <c r="P36" i="43"/>
  <c r="C17" i="71"/>
  <c r="D18"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F41" i="15"/>
  <c r="C14" i="67"/>
  <c r="C17" i="67"/>
  <c r="C17" i="15"/>
  <c r="F69" i="15" l="1"/>
  <c r="C60" i="15"/>
  <c r="T11" i="43"/>
  <c r="V11" i="43" s="1"/>
  <c r="T14" i="43"/>
  <c r="V14" i="43" s="1"/>
  <c r="T4" i="43"/>
  <c r="V4" i="43" s="1"/>
  <c r="T5" i="43"/>
  <c r="V5" i="43" s="1"/>
  <c r="C41" i="43"/>
  <c r="T9" i="43"/>
  <c r="V9" i="43" s="1"/>
  <c r="T12" i="43"/>
  <c r="V12" i="43" s="1"/>
  <c r="T3" i="43"/>
  <c r="V3" i="43" s="1"/>
  <c r="C33" i="43"/>
  <c r="E33" i="43" s="1"/>
  <c r="C39" i="43"/>
  <c r="T15" i="43"/>
  <c r="V15" i="43" s="1"/>
  <c r="T7" i="43"/>
  <c r="V7" i="43" s="1"/>
  <c r="T10" i="43"/>
  <c r="V10" i="43" s="1"/>
  <c r="T2" i="43"/>
  <c r="V2" i="43" s="1"/>
  <c r="C40" i="43"/>
  <c r="C42" i="43"/>
  <c r="T13" i="43"/>
  <c r="V13" i="43" s="1"/>
  <c r="T16" i="43"/>
  <c r="V16" i="43" s="1"/>
  <c r="T8" i="43"/>
  <c r="V8" i="43" s="1"/>
  <c r="T6" i="43"/>
  <c r="V6" i="43" s="1"/>
  <c r="C37" i="43"/>
  <c r="C38" i="43"/>
  <c r="D30" i="6"/>
  <c r="H24" i="6"/>
  <c r="E6" i="3"/>
  <c r="H21" i="6"/>
  <c r="R21" i="6" s="1"/>
  <c r="R8" i="1" s="1"/>
  <c r="H22" i="6"/>
  <c r="H25" i="6"/>
  <c r="C24" i="11"/>
  <c r="C44" i="11"/>
  <c r="D41" i="11" s="1"/>
  <c r="C26" i="11"/>
  <c r="D22" i="11" s="1"/>
  <c r="C25" i="11"/>
  <c r="C44" i="69"/>
  <c r="D41" i="69" s="1"/>
  <c r="C26" i="69"/>
  <c r="D22" i="69" s="1"/>
  <c r="C44" i="68"/>
  <c r="D41" i="68" s="1"/>
  <c r="F41" i="68"/>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2" i="43" l="1"/>
  <c r="G42" i="43"/>
  <c r="I42" i="43" s="1"/>
  <c r="E40" i="43"/>
  <c r="G40" i="43"/>
  <c r="I40" i="43" s="1"/>
  <c r="G38" i="43"/>
  <c r="I38" i="43" s="1"/>
  <c r="E38" i="43"/>
  <c r="C34" i="43"/>
  <c r="E34" i="43" s="1"/>
  <c r="C31" i="43" s="1"/>
  <c r="G39" i="43"/>
  <c r="I39" i="43" s="1"/>
  <c r="E39" i="43"/>
  <c r="C22" i="11"/>
  <c r="C31" i="11" s="1"/>
  <c r="E37" i="43"/>
  <c r="C30" i="43" s="1"/>
  <c r="G37" i="43"/>
  <c r="I37" i="43" s="1"/>
  <c r="G41" i="43"/>
  <c r="I41" i="43" s="1"/>
  <c r="E41" i="43"/>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B6" i="76"/>
  <c r="B2" i="76" l="1"/>
  <c r="B3" i="76" s="1"/>
  <c r="C6" i="68"/>
  <c r="C7" i="68" s="1"/>
  <c r="C5" i="68" s="1"/>
  <c r="B3" i="43"/>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C23" i="68" l="1"/>
  <c r="C20" i="68"/>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8" i="68" l="1"/>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5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2" i="68" l="1"/>
  <c r="C57" i="68"/>
  <c r="C56"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6"/>
  <c r="D2" i="35"/>
  <c r="D2" i="34"/>
  <c r="D2" i="37"/>
  <c r="L51" i="15"/>
  <c r="C21" i="9" l="1"/>
  <c r="C102" i="9"/>
  <c r="B3" i="68"/>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D34" i="9"/>
  <c r="AO11" i="1"/>
  <c r="D35" i="9"/>
  <c r="AO9" i="1"/>
  <c r="C20" i="9"/>
  <c r="AO8" i="1"/>
  <c r="AO12" i="1"/>
  <c r="C103" i="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4" i="52" s="1"/>
  <c r="B51" i="72" s="1"/>
  <c r="H118" i="9"/>
  <c r="C104" i="9" s="1"/>
  <c r="D4" i="52" l="1"/>
  <c r="B47" i="72" s="1"/>
  <c r="H4" i="52"/>
  <c r="H119" i="9"/>
  <c r="H5" i="52" s="1"/>
  <c r="F119" i="9"/>
  <c r="F5" i="52" s="1"/>
  <c r="B53" i="72" s="1"/>
  <c r="G118" i="9"/>
  <c r="G4" i="52" s="1"/>
  <c r="B52" i="72" s="1"/>
  <c r="H101" i="9"/>
  <c r="I118" i="9"/>
  <c r="C105" i="9" l="1"/>
  <c r="E118" i="9"/>
  <c r="E4" i="52" s="1"/>
  <c r="B48" i="72" s="1"/>
  <c r="I4" i="52"/>
  <c r="H102" i="9"/>
  <c r="D45" i="9"/>
  <c r="D5" i="53"/>
  <c r="M48" i="9"/>
  <c r="H107" i="9"/>
  <c r="D122" i="9" l="1"/>
  <c r="D13" i="53"/>
  <c r="M49" i="9"/>
  <c r="H108" i="9"/>
  <c r="C5" i="74"/>
  <c r="D7" i="53"/>
  <c r="B21" i="72" s="1"/>
  <c r="D6" i="53"/>
  <c r="B22" i="72" s="1"/>
  <c r="B20" i="72"/>
  <c r="D52" i="9"/>
  <c r="C78" i="9"/>
  <c r="C73" i="9" s="1"/>
  <c r="C93" i="9"/>
  <c r="C86" i="9" s="1"/>
  <c r="D53" i="9"/>
  <c r="D55" i="9"/>
  <c r="M53" i="9" s="1"/>
  <c r="C72" i="9"/>
  <c r="C79" i="9" s="1"/>
  <c r="C85" i="9"/>
  <c r="C64" i="9"/>
  <c r="C63" i="9" s="1"/>
  <c r="C67" i="9" s="1"/>
  <c r="C95" i="9" l="1"/>
  <c r="D59" i="9"/>
  <c r="M55" i="9" s="1"/>
  <c r="C68" i="9"/>
  <c r="D54" i="9" s="1"/>
  <c r="D15" i="53"/>
  <c r="B31" i="72" s="1"/>
  <c r="C6" i="74"/>
  <c r="L64" i="9"/>
  <c r="M64" i="9" s="1"/>
  <c r="L66" i="9"/>
  <c r="M66" i="9" s="1"/>
  <c r="L63" i="9"/>
  <c r="M63" i="9" s="1"/>
  <c r="L65" i="9"/>
  <c r="M65" i="9" s="1"/>
  <c r="L68" i="9"/>
  <c r="M68" i="9" s="1"/>
  <c r="L67" i="9"/>
  <c r="M67" i="9" s="1"/>
  <c r="C96" i="9"/>
  <c r="E96" i="9" s="1"/>
  <c r="E97" i="9" s="1"/>
  <c r="C80" i="9"/>
  <c r="E80" i="9" s="1"/>
  <c r="E81" i="9" s="1"/>
  <c r="D14" i="53"/>
  <c r="B32" i="72" s="1"/>
  <c r="B30" i="72"/>
  <c r="D8" i="52"/>
  <c r="D123" i="9"/>
  <c r="D9" i="52" s="1"/>
  <c r="C97" i="9" l="1"/>
  <c r="D58" i="9" s="1"/>
  <c r="D56" i="9" s="1"/>
  <c r="M54" i="9" s="1"/>
  <c r="N57" i="9" s="1"/>
  <c r="N59" i="9" s="1"/>
  <c r="N60" i="9" s="1"/>
  <c r="M69" i="9"/>
  <c r="N69" i="9" s="1"/>
  <c r="C81" i="9"/>
  <c r="P57" i="9" l="1"/>
  <c r="N61"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<sst xmlns="http://schemas.openxmlformats.org/spreadsheetml/2006/main" count="7840" uniqueCount="3436">
  <si>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</si>
  <si>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</si>
  <si>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</si>
  <si>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</si>
  <si>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</si>
  <si>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</si>
  <si>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</si>
  <si>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</si>
  <si>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</si>
  <si>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</si>
  <si>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</si>
  <si>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</si>
  <si>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</si>
  <si>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</si>
  <si>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</si>
  <si>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</si>
  <si>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</si>
  <si>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</si>
  <si>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</si>
  <si>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</si>
  <si>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</si>
  <si>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</si>
  <si>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</si>
  <si>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</si>
  <si>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</si>
  <si>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</si>
  <si>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</si>
  <si>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</si>
  <si>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</si>
  <si>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</si>
  <si>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</si>
  <si>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</si>
  <si>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</si>
  <si>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</si>
  <si>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</si>
  <si>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</si>
  <si>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</si>
  <si>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</si>
  <si>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</si>
  <si>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</si>
  <si>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</si>
  <si>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</si>
  <si>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</si>
  <si>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</si>
  <si>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</si>
  <si>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</si>
  <si>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</si>
  <si>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</si>
  <si>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</si>
  <si>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</si>
  <si>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</si>
  <si>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</si>
  <si>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</si>
  <si>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</si>
  <si>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</si>
  <si>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</si>
  <si>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</si>
  <si>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</si>
  <si>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</si>
  <si>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</si>
  <si>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</si>
  <si>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</si>
  <si>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</si>
  <si>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</si>
  <si>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</si>
  <si>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</si>
  <si>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</si>
  <si>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</si>
  <si>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</si>
  <si>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</si>
  <si>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</si>
  <si>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</si>
  <si>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</si>
  <si>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</si>
  <si>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</si>
  <si>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</si>
  <si>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</si>
  <si>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</si>
  <si>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</si>
  <si>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</si>
  <si>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</si>
  <si>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</si>
  <si>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</si>
  <si>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</si>
  <si>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</si>
  <si>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</si>
  <si>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</si>
  <si>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</si>
  <si>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</si>
  <si>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</si>
  <si>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</si>
  <si>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</si>
  <si>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</si>
  <si>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</si>
  <si>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</si>
  <si>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</si>
  <si>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</si>
  <si>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</si>
  <si>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</si>
  <si>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</si>
  <si>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</si>
  <si>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</si>
  <si>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</si>
  <si>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</si>
  <si>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</si>
  <si>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</si>
  <si>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</si>
  <si>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</si>
  <si>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</si>
  <si>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</si>
  <si>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</si>
  <si>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</si>
  <si>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</si>
  <si>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</si>
  <si>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</si>
  <si>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</si>
  <si>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</si>
  <si>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</si>
  <si>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</si>
  <si>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</si>
  <si>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</si>
  <si>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</si>
  <si>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</si>
  <si>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</si>
  <si>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</si>
  <si>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</si>
  <si>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</si>
  <si>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</si>
  <si>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</si>
  <si>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</si>
  <si>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</si>
  <si>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</si>
  <si>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</si>
  <si>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</si>
  <si>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</si>
  <si>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</si>
  <si>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</si>
  <si>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</si>
  <si>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</si>
  <si>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</si>
  <si>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</si>
  <si>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</si>
  <si>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</si>
  <si>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</si>
  <si>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</si>
  <si>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</si>
  <si>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</si>
  <si>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</si>
  <si>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</si>
  <si>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</si>
  <si>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</si>
  <si>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</si>
  <si>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</si>
  <si>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</si>
  <si>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</si>
  <si>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</si>
  <si>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</si>
  <si>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</si>
  <si>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</si>
  <si>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</si>
  <si>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</si>
  <si>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</si>
  <si>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</si>
  <si>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</si>
  <si>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</si>
  <si>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</si>
  <si>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</si>
  <si>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</si>
  <si>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</si>
  <si>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</si>
  <si>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</si>
  <si>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</si>
  <si>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</si>
  <si>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</si>
  <si>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</si>
  <si>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</si>
  <si>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</si>
  <si>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</si>
  <si>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</si>
  <si>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</si>
  <si>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</si>
  <si>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</si>
  <si>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</si>
  <si>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</si>
  <si>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</si>
  <si>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</si>
  <si>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</si>
  <si>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</si>
  <si>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</si>
  <si>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</si>
  <si>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</si>
  <si>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</si>
  <si>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</si>
  <si>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</si>
  <si>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</si>
  <si>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</si>
  <si>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</si>
  <si>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</si>
  <si>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</si>
  <si>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</si>
  <si>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</si>
  <si>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</si>
  <si>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</si>
  <si>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</si>
  <si>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</si>
  <si>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</si>
  <si>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</si>
  <si>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</si>
  <si>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</si>
  <si>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</si>
  <si>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</si>
  <si>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</si>
  <si>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</si>
  <si>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</si>
  <si>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</si>
  <si>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</si>
  <si>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</si>
  <si>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</si>
  <si>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</si>
  <si>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</si>
  <si>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</si>
  <si>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</si>
  <si>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</si>
  <si>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</si>
  <si>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</si>
  <si>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</si>
  <si>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</si>
  <si>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</si>
  <si>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</si>
  <si>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</si>
  <si>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</si>
  <si>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</si>
  <si>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</si>
  <si>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</si>
  <si>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</si>
  <si>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</si>
  <si>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</si>
  <si>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</si>
  <si>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</si>
  <si>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</si>
  <si>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</si>
  <si>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</si>
  <si>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</si>
  <si>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</si>
  <si>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</si>
  <si>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</si>
  <si>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</si>
  <si>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</si>
  <si>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</si>
  <si>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</si>
  <si>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</si>
  <si>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</si>
  <si>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</si>
  <si>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</si>
  <si>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</si>
  <si>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</si>
  <si>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</si>
  <si>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</si>
  <si>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</si>
  <si>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</si>
  <si>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</si>
  <si>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</si>
  <si>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</si>
  <si>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</si>
  <si>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</si>
  <si>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</si>
  <si>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</si>
  <si>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</si>
  <si>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</si>
  <si>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</si>
  <si>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</si>
  <si>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</si>
  <si>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</si>
  <si>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</si>
  <si>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</si>
  <si>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</si>
  <si>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</si>
  <si>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</si>
  <si>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</si>
  <si>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</si>
  <si>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</si>
  <si>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</si>
  <si>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</si>
  <si>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</si>
  <si>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</si>
  <si>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</si>
  <si>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</si>
  <si>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</si>
  <si>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</si>
  <si>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</si>
  <si>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</si>
  <si>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</si>
  <si>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</si>
  <si>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</si>
  <si>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</si>
  <si>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</si>
  <si>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</si>
  <si>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</si>
  <si>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</si>
  <si>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</si>
  <si>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</si>
  <si>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</si>
  <si>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</si>
  <si>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</si>
  <si>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</si>
  <si>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</si>
  <si>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</si>
  <si>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</si>
  <si>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</si>
  <si>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</si>
  <si>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</si>
  <si>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</si>
  <si>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</si>
  <si>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</si>
  <si>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</si>
  <si>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</si>
  <si>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</si>
  <si>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</si>
  <si>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</si>
  <si>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</si>
  <si>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</si>
  <si>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</si>
  <si>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</si>
  <si>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</si>
  <si>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</si>
  <si>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</si>
  <si>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</si>
  <si>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</si>
  <si>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</si>
  <si>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</si>
  <si>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</si>
  <si>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</si>
  <si>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</si>
  <si>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</si>
  <si>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</si>
  <si>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</si>
  <si>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</si>
  <si>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</si>
  <si>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</si>
  <si>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</si>
  <si>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</si>
  <si>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</si>
  <si>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</si>
  <si>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</si>
  <si>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</si>
  <si>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</si>
  <si>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</si>
  <si>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</si>
  <si>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</si>
  <si>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</si>
  <si>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</si>
  <si>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</si>
  <si>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</si>
  <si>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</si>
  <si>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</si>
  <si>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</si>
  <si>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</si>
  <si>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</si>
  <si>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</si>
  <si>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</si>
  <si>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</si>
  <si>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</si>
  <si>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</si>
  <si>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</si>
  <si>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</si>
  <si>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</si>
  <si>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</si>
  <si>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</si>
  <si>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</si>
  <si>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</si>
  <si>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</si>
  <si>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</si>
  <si>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</si>
  <si>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</si>
  <si>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</si>
  <si>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</si>
  <si>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</si>
  <si>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</si>
  <si>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</si>
  <si>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</si>
  <si>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</si>
  <si>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</si>
  <si>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</si>
  <si>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</si>
  <si>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</si>
  <si>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</si>
  <si>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</si>
  <si>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</si>
  <si>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</si>
  <si>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</si>
  <si>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</si>
  <si>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</si>
  <si>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</si>
  <si>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</si>
  <si>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</si>
  <si>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</si>
  <si>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</si>
  <si>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</si>
  <si>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</si>
  <si>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</si>
  <si>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</si>
  <si>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</si>
  <si>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</si>
  <si>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</si>
  <si>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</si>
  <si>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</si>
  <si>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</si>
  <si>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</si>
  <si>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</si>
  <si>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</si>
  <si>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</si>
  <si>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</si>
  <si>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</si>
  <si>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</si>
  <si>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</si>
  <si>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</si>
  <si>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</si>
  <si>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</si>
  <si>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</si>
  <si>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</si>
  <si>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</si>
  <si>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</si>
  <si>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</si>
  <si>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</si>
  <si>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</si>
  <si>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</si>
  <si>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</si>
  <si>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</si>
  <si>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</si>
  <si>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</si>
  <si>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</si>
  <si>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</si>
  <si>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</si>
  <si>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</si>
  <si>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</si>
  <si>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</si>
  <si>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</si>
  <si>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</si>
  <si>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</si>
  <si>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</si>
  <si>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</si>
  <si>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</si>
  <si>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</si>
  <si>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</si>
  <si>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</si>
  <si>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</si>
  <si>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</si>
  <si>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</si>
  <si>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</si>
  <si>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</si>
  <si>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</si>
  <si>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</si>
  <si>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</si>
  <si>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</si>
  <si>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</si>
  <si>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</si>
  <si>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</si>
  <si>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</si>
  <si>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</si>
  <si>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</si>
  <si>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</si>
  <si>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</si>
  <si>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</si>
  <si>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</si>
  <si>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</si>
  <si>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</si>
  <si>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</si>
  <si>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</si>
  <si>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</si>
  <si>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</si>
  <si>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</si>
  <si>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</si>
  <si>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</si>
  <si>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</si>
  <si>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</si>
  <si>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</si>
  <si>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</si>
  <si>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</si>
  <si>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</si>
  <si>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</si>
  <si>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</si>
  <si>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</si>
  <si>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</si>
  <si>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</si>
  <si>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</si>
  <si>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</si>
  <si>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</si>
  <si>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</si>
  <si>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</si>
  <si>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</si>
  <si>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</si>
  <si>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</si>
  <si>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</si>
  <si>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</si>
  <si>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</si>
  <si>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</si>
  <si>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</si>
  <si>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</si>
  <si>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</si>
  <si>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</si>
  <si>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</si>
  <si>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</si>
  <si>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</si>
  <si>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</si>
  <si>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</si>
  <si>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</si>
  <si>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</si>
  <si>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</si>
  <si>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</si>
  <si>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</si>
  <si>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</si>
  <si>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</si>
  <si>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</si>
  <si>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</si>
  <si>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</si>
  <si>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</si>
  <si>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</si>
  <si>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</si>
  <si>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</si>
  <si>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</si>
  <si>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</si>
  <si>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</si>
  <si>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</si>
  <si>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</si>
  <si>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</si>
  <si>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</si>
  <si>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</si>
  <si>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</si>
  <si>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</si>
  <si>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</si>
  <si>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</si>
  <si>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</si>
  <si>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</si>
  <si>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</si>
  <si>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</si>
  <si>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</si>
  <si>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</si>
  <si>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</si>
  <si>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</si>
  <si>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</si>
  <si>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</si>
  <si>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</si>
  <si>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</si>
  <si>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</si>
  <si>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</si>
  <si>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</si>
  <si>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</si>
  <si>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</si>
  <si>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</si>
  <si>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</si>
  <si>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</si>
  <si>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</si>
  <si>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</si>
  <si>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</si>
  <si>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</si>
  <si>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</si>
  <si>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</si>
  <si>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</si>
  <si>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</si>
  <si>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</si>
  <si>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</si>
  <si>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</si>
  <si>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</si>
  <si>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</si>
  <si>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</si>
  <si>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</si>
  <si>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</si>
  <si>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</si>
  <si>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</si>
  <si>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</si>
  <si>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</si>
  <si>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</si>
  <si>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</si>
  <si>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</si>
  <si>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</si>
  <si>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</si>
  <si>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</si>
  <si>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</si>
  <si>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</si>
  <si>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</si>
  <si>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</si>
  <si>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</si>
  <si>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</si>
  <si>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</si>
  <si>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</si>
  <si>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</si>
  <si>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</si>
  <si>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</si>
  <si>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</si>
  <si>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</si>
  <si>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</si>
  <si>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</si>
  <si>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</si>
  <si>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</si>
  <si>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</si>
  <si>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</si>
  <si>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</si>
  <si>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</si>
  <si>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</si>
  <si>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</si>
  <si>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</si>
  <si>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</si>
  <si>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</si>
  <si>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</si>
  <si>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</si>
  <si>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</si>
  <si>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</si>
  <si>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</si>
  <si>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</si>
  <si>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</si>
  <si>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</si>
  <si>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</si>
  <si>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</si>
  <si>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</si>
  <si>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</si>
  <si>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</si>
  <si>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</si>
  <si>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</si>
  <si>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</si>
  <si>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</si>
  <si>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</si>
  <si>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</si>
  <si>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</si>
  <si>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</si>
  <si>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</si>
  <si>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</si>
  <si>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</si>
  <si>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</si>
  <si>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</si>
  <si>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</si>
  <si>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</si>
  <si>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</si>
  <si>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</si>
  <si>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</si>
  <si>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</si>
  <si>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</si>
  <si>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</si>
  <si>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</si>
  <si>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</si>
  <si>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</si>
  <si>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</si>
  <si>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</si>
  <si>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</si>
  <si>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</si>
  <si>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</si>
  <si>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</si>
  <si>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</si>
  <si>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</si>
  <si>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</si>
  <si>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</si>
  <si>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</si>
  <si>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</si>
  <si>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</si>
  <si>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</si>
  <si>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</si>
  <si>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</si>
  <si>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</si>
  <si>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</si>
  <si>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</si>
  <si>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</si>
  <si>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</si>
  <si>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</si>
  <si>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</si>
  <si>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</si>
  <si>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</si>
  <si>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</si>
  <si>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</si>
  <si>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</si>
  <si>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</si>
  <si>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</si>
  <si>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</si>
  <si>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</si>
  <si>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</si>
  <si>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</si>
  <si>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</si>
  <si>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</si>
  <si>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</si>
  <si>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</si>
  <si>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</si>
  <si>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</si>
  <si>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</si>
  <si>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</si>
  <si>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</si>
  <si>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</si>
  <si>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</si>
  <si>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</si>
  <si>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</si>
  <si>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</si>
  <si>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</si>
  <si>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</si>
  <si>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</si>
  <si>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</si>
  <si>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</si>
  <si>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</si>
  <si>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</si>
  <si>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</si>
  <si>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</si>
  <si>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</si>
  <si>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</si>
  <si>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</si>
  <si>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</si>
  <si>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</si>
  <si>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</si>
  <si>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</si>
  <si>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</si>
  <si>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</si>
  <si>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</si>
  <si>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</si>
  <si>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</si>
  <si>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</si>
  <si>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</si>
  <si>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</si>
  <si>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</si>
  <si>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</si>
  <si>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</si>
  <si>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</si>
  <si>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</si>
  <si>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</si>
  <si>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</si>
  <si>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</si>
  <si>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</si>
  <si>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</si>
  <si>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</si>
  <si>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</si>
  <si>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</si>
  <si>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</si>
  <si>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</si>
  <si>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</si>
  <si>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</si>
  <si>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</si>
  <si>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</si>
  <si>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</si>
  <si>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</si>
  <si>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</si>
  <si>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</si>
  <si>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</si>
  <si>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</si>
  <si>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</si>
  <si>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</si>
  <si>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</si>
  <si>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</si>
  <si>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</si>
  <si>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</si>
  <si>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</si>
  <si>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</si>
  <si>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</si>
  <si>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</si>
  <si>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</si>
  <si>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</si>
  <si>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</si>
  <si>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</si>
  <si>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</si>
  <si>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</si>
  <si>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</si>
  <si>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</si>
  <si>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</si>
  <si>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</si>
  <si>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</si>
  <si>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</si>
  <si>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</si>
  <si>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</si>
  <si>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</si>
  <si>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</si>
  <si>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</si>
  <si>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</si>
  <si>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</si>
  <si>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</si>
  <si>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</si>
  <si>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</si>
  <si>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</si>
  <si>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</si>
  <si>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</si>
  <si>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</si>
  <si>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</si>
  <si>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</si>
  <si>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</si>
  <si>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</si>
  <si>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</si>
  <si>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</si>
  <si>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</si>
  <si>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</si>
  <si>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</si>
  <si>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</si>
  <si>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</si>
  <si>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</si>
  <si>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</si>
  <si>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</si>
  <si>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</si>
  <si>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</si>
  <si>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</si>
  <si>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</si>
  <si>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</si>
  <si>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</si>
  <si>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</si>
  <si>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</si>
  <si>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</si>
  <si>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</si>
  <si>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</si>
  <si>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</si>
  <si>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</si>
  <si>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</si>
  <si>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</si>
  <si>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</si>
  <si>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</si>
  <si>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</si>
  <si>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</si>
  <si>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</si>
  <si>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</si>
  <si>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</si>
  <si>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</si>
  <si>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</si>
  <si>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</si>
  <si>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</si>
  <si>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</si>
  <si>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</si>
  <si>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</si>
  <si>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</si>
  <si>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</si>
  <si>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</si>
  <si>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</si>
  <si>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</si>
  <si>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</si>
  <si>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</si>
  <si>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</si>
  <si>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</si>
  <si>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</si>
  <si>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</si>
  <si>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</si>
  <si>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</si>
  <si>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</si>
  <si>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</si>
  <si>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</si>
  <si>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</si>
  <si>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</si>
  <si>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</si>
  <si>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</si>
  <si>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</si>
  <si>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</si>
  <si>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</si>
  <si>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</si>
  <si>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</si>
  <si>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</si>
  <si>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</si>
  <si>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</si>
  <si>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</si>
  <si>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</si>
  <si>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</si>
  <si>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</si>
  <si>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</si>
  <si>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</si>
  <si>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</si>
  <si>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</si>
  <si>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</si>
  <si>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</si>
  <si>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</si>
  <si>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</si>
  <si>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</si>
  <si>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</si>
  <si>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</si>
  <si>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</si>
  <si>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</si>
  <si>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</si>
  <si>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</si>
  <si>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</si>
  <si>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</si>
  <si>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</si>
  <si>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</si>
  <si>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</si>
  <si>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</si>
  <si>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</si>
  <si>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</si>
  <si>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</si>
  <si>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</si>
  <si>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</si>
  <si>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</si>
  <si>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</si>
  <si>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</si>
  <si>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</si>
  <si>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</si>
  <si>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</si>
  <si>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</si>
  <si>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</si>
  <si>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</si>
  <si>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</si>
  <si>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</si>
  <si>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</si>
  <si>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</si>
  <si>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</si>
  <si>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</si>
  <si>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</si>
  <si>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</si>
  <si>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</si>
  <si>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</si>
  <si>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</si>
  <si>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</si>
  <si>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</si>
  <si>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</si>
  <si>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</si>
  <si>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</si>
  <si>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</si>
  <si>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</si>
  <si>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</si>
  <si>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</si>
  <si>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</si>
  <si>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</si>
  <si>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</si>
  <si>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</si>
  <si>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</si>
  <si>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</si>
  <si>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</si>
  <si>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</si>
  <si>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</si>
  <si>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</si>
  <si>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</si>
  <si>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</si>
  <si>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</si>
  <si>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</si>
  <si>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</si>
  <si>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</si>
  <si>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</si>
  <si>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</si>
  <si>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</si>
  <si>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</si>
  <si>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</si>
  <si>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</si>
  <si>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</si>
  <si>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</si>
  <si>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</si>
  <si>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</si>
  <si>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</si>
  <si>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</si>
  <si>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</si>
  <si>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</si>
  <si>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</si>
  <si>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</si>
  <si>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</si>
  <si>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</si>
  <si>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</si>
  <si>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</si>
  <si>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</si>
  <si>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</si>
  <si>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</si>
  <si>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</si>
  <si>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</si>
  <si>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</si>
  <si>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</si>
  <si>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</si>
  <si>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</si>
  <si>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</si>
  <si>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</si>
  <si>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</si>
  <si>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</si>
  <si>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</si>
  <si>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</si>
  <si>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</si>
  <si>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</si>
  <si>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</si>
  <si>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</si>
  <si>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</si>
  <si>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</si>
  <si>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</si>
  <si>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</si>
  <si>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</si>
  <si>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</si>
  <si>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</si>
  <si>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</si>
  <si>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</si>
  <si>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</si>
  <si>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</si>
  <si>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</si>
  <si>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</si>
  <si>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</si>
  <si>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</si>
  <si>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</si>
  <si>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</si>
  <si>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</si>
  <si>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</si>
  <si>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</si>
  <si>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</si>
  <si>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</si>
  <si>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</si>
  <si>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</si>
  <si>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</si>
  <si>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</si>
  <si>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</si>
  <si>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</si>
  <si>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</si>
  <si>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</si>
  <si>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</si>
  <si>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</si>
  <si>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</si>
  <si>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</si>
  <si>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</si>
  <si>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</si>
  <si>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</si>
  <si>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</si>
  <si>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</si>
  <si>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</si>
  <si>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</si>
  <si>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</si>
  <si>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</si>
  <si>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</si>
  <si>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</si>
  <si>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</si>
  <si>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</si>
  <si>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</si>
  <si>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</si>
  <si>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</si>
  <si>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</si>
  <si>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</si>
  <si>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</si>
  <si>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</si>
  <si>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</si>
  <si>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</si>
  <si>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</si>
  <si>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</si>
  <si>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</si>
  <si>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</si>
  <si>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</si>
  <si>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</si>
  <si>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</si>
  <si>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</si>
  <si>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</si>
  <si>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</si>
  <si>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</si>
  <si>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</si>
  <si>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</si>
  <si>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</si>
  <si>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</si>
  <si>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</si>
  <si>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</si>
  <si>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</si>
  <si>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</si>
  <si>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</si>
  <si>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</si>
  <si>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</si>
  <si>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</si>
  <si>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</si>
  <si>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</si>
  <si>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</si>
  <si>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</si>
  <si>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</si>
  <si>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</si>
  <si>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</si>
  <si>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</si>
  <si>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</si>
  <si>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</si>
  <si>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</si>
  <si>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</si>
  <si>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</si>
  <si>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</si>
  <si>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</si>
  <si>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</si>
  <si>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</si>
  <si>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</si>
  <si>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</si>
  <si>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</si>
  <si>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</si>
  <si>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</si>
  <si>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</si>
  <si>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</si>
  <si>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</si>
  <si>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</si>
  <si>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</si>
  <si>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</si>
  <si>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</si>
  <si>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</si>
  <si>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</si>
  <si>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</si>
  <si>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</si>
  <si>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</si>
  <si>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</si>
  <si>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</si>
  <si>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</si>
  <si>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</si>
  <si>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</si>
  <si>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</si>
  <si>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</si>
  <si>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</si>
  <si>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</si>
  <si>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</si>
  <si>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</si>
  <si>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</si>
  <si>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</si>
  <si>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</si>
  <si>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</si>
  <si>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</si>
  <si>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</si>
  <si>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</si>
  <si>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</si>
  <si>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</si>
  <si>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</si>
  <si>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</si>
  <si>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</si>
  <si>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</si>
  <si>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</si>
  <si>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</si>
  <si>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</si>
  <si>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</si>
  <si>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</si>
  <si>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</si>
  <si>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</si>
  <si>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</si>
  <si>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</si>
  <si>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</si>
  <si>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</si>
  <si>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</si>
  <si>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</si>
  <si>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</si>
  <si>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</si>
  <si>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</si>
  <si>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</si>
  <si>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</si>
  <si>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</si>
  <si>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</si>
  <si>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</si>
  <si>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</si>
  <si>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</si>
  <si>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</si>
  <si>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</si>
  <si>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</si>
  <si>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</si>
  <si>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</si>
  <si>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</si>
  <si>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</si>
  <si>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</si>
  <si>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</si>
  <si>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</si>
  <si>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</si>
  <si>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</si>
  <si>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</si>
  <si>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</si>
  <si>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</si>
  <si>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</si>
  <si>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</si>
  <si>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</si>
  <si>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</si>
  <si>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</si>
  <si>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</si>
  <si>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</si>
  <si>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</si>
  <si>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</si>
  <si>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</si>
  <si>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</si>
  <si>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</si>
  <si>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</si>
  <si>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</si>
  <si>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</si>
  <si>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</si>
  <si>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</si>
  <si>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</si>
  <si>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</si>
  <si>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</si>
  <si>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</si>
  <si>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</si>
  <si>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</si>
  <si>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</si>
  <si>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</si>
  <si>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</si>
  <si>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</si>
  <si>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</si>
  <si>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</si>
  <si>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</si>
  <si>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</si>
  <si>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</si>
  <si>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</si>
  <si>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</si>
  <si>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</si>
  <si>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</si>
  <si>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</si>
  <si>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</si>
  <si>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</si>
  <si>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</si>
  <si>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</si>
  <si>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</si>
  <si>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</si>
  <si>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</si>
  <si>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</si>
  <si>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</si>
  <si>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</si>
  <si>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</si>
  <si>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</si>
  <si>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</si>
  <si>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</si>
  <si>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</si>
  <si>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</si>
  <si>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</si>
  <si>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</si>
  <si>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</si>
  <si>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</si>
  <si>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</si>
  <si>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</si>
  <si>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</si>
  <si>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</si>
  <si>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</si>
  <si>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</si>
  <si>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</si>
  <si>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</si>
  <si>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</si>
  <si>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</si>
  <si>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</si>
  <si>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</si>
  <si>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</si>
  <si>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</si>
  <si>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</si>
  <si>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</si>
  <si>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</si>
  <si>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</si>
  <si>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</si>
  <si>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</si>
  <si>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</si>
  <si>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</si>
  <si>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</si>
  <si>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</si>
  <si>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</si>
  <si>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</si>
  <si>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</si>
  <si>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</si>
  <si>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</si>
  <si>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</si>
  <si>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</si>
  <si>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</si>
  <si>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</si>
  <si>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</si>
  <si>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</si>
  <si>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</si>
  <si>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</si>
  <si>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</si>
  <si>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</si>
  <si>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</si>
  <si>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</si>
  <si>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</si>
  <si>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</si>
  <si>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</si>
  <si>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</si>
  <si>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</si>
  <si>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</si>
  <si>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</si>
  <si>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</si>
  <si>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</si>
  <si>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</si>
  <si>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</si>
  <si>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</si>
  <si>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</si>
  <si>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</si>
  <si>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</si>
  <si>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</si>
  <si>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</si>
  <si>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</si>
  <si>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</si>
  <si>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</si>
  <si>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</si>
  <si>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</si>
  <si>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</si>
  <si>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</si>
  <si>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</si>
  <si>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</si>
  <si>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</si>
  <si>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</si>
  <si>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</si>
  <si>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</si>
  <si>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</si>
  <si>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</si>
  <si>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</si>
  <si>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</si>
  <si>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</si>
  <si>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</si>
  <si>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</si>
  <si>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</si>
  <si>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</si>
  <si>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</si>
  <si>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</si>
  <si>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</si>
  <si>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</si>
  <si>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</si>
  <si>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</si>
  <si>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</si>
  <si>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</si>
  <si>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</si>
  <si>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</si>
  <si>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</si>
  <si>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</si>
  <si>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</si>
  <si>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</si>
  <si>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</si>
  <si>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</si>
  <si>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</si>
  <si>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</si>
  <si>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</si>
  <si>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</si>
  <si>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</si>
  <si>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</si>
  <si>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</si>
  <si>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</si>
  <si>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</si>
  <si>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</si>
  <si>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</si>
  <si>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</si>
  <si>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</si>
  <si>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</si>
  <si>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</si>
  <si>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</si>
  <si>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</si>
  <si>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</si>
  <si>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</si>
  <si>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</si>
  <si>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</si>
  <si>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</si>
  <si>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</si>
  <si>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</si>
  <si>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</si>
  <si>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</si>
  <si>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</si>
  <si>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</si>
  <si>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</si>
  <si>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</si>
  <si>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</si>
  <si>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</si>
  <si>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</si>
  <si>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</si>
  <si>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</si>
  <si>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</si>
  <si>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</si>
  <si>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</si>
  <si>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</si>
  <si>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</si>
  <si>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</si>
  <si>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</si>
  <si>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</si>
  <si>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</si>
  <si>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</si>
  <si>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</si>
  <si>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</si>
  <si>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</si>
  <si>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</si>
  <si>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</si>
  <si>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</si>
  <si>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</si>
  <si>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</si>
  <si>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</si>
  <si>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</si>
  <si>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</si>
  <si>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</si>
  <si>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</si>
  <si>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</si>
  <si>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</si>
  <si>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</si>
  <si>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</si>
  <si>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</si>
  <si>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</si>
  <si>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</si>
  <si>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</si>
  <si>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</si>
  <si>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</si>
  <si>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</si>
  <si>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</si>
  <si>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</si>
  <si>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</si>
  <si>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</si>
  <si>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</si>
  <si>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</si>
  <si>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</si>
  <si>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</si>
  <si>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</si>
  <si>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</si>
  <si>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</si>
  <si>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</si>
  <si>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</si>
  <si>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</si>
  <si>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</si>
  <si>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</si>
  <si>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</si>
  <si>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</si>
  <si>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</si>
  <si>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</si>
  <si>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</si>
  <si>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</si>
  <si>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</si>
  <si>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</si>
  <si>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</si>
  <si>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</si>
  <si>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</si>
  <si>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</si>
  <si>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</si>
  <si>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</si>
  <si>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</si>
  <si>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</si>
  <si>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</si>
  <si>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</si>
  <si>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</si>
  <si>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</si>
  <si>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</si>
  <si>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</si>
  <si>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</si>
  <si>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</si>
  <si>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</si>
  <si>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</si>
  <si>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</si>
  <si>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</si>
  <si>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</si>
  <si>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</si>
  <si>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</si>
  <si>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</si>
  <si>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</si>
  <si>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</si>
  <si>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</si>
  <si>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</si>
  <si>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</si>
  <si>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</si>
  <si>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</si>
  <si>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</si>
  <si>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</si>
  <si>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</si>
  <si>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</si>
  <si>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</si>
  <si>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</si>
  <si>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</si>
  <si>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</si>
  <si>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</si>
  <si>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</si>
  <si>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</si>
  <si>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</si>
  <si>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</si>
  <si>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</si>
  <si>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</si>
  <si>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</si>
  <si>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</si>
  <si>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</si>
  <si>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</si>
  <si>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</si>
  <si>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</si>
  <si>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</si>
  <si>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</si>
  <si>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</si>
  <si>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</si>
  <si>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</si>
  <si>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</si>
  <si>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</si>
  <si>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</si>
  <si>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</si>
  <si>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</si>
  <si>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</si>
  <si>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</si>
  <si>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</si>
  <si>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</si>
  <si>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</si>
  <si>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</si>
  <si>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</si>
  <si>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</si>
  <si>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</si>
  <si>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</si>
  <si>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</si>
  <si>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</si>
  <si>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</si>
  <si>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</si>
  <si>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</si>
  <si>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</si>
  <si>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</si>
  <si>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</si>
  <si>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</si>
  <si>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</si>
  <si>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</si>
  <si>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</si>
  <si>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</si>
  <si>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</si>
  <si>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</si>
  <si>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</si>
  <si>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</si>
  <si>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</si>
  <si>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</si>
  <si>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</si>
  <si>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</si>
  <si>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</si>
  <si>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</si>
  <si>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</si>
  <si>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</si>
  <si>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</si>
  <si>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</si>
  <si>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</si>
  <si>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</si>
  <si>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</si>
  <si>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</si>
  <si>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</si>
  <si>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</si>
  <si>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</si>
  <si>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</si>
  <si>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</si>
  <si>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</si>
  <si>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</si>
  <si>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</si>
  <si>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</si>
  <si>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</si>
  <si>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</si>
  <si>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</si>
  <si>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</si>
  <si>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</si>
  <si>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</si>
  <si>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</si>
  <si>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</si>
  <si>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</si>
  <si>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</si>
  <si>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</si>
  <si>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</si>
  <si>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</si>
  <si>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</si>
  <si>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</si>
  <si>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</si>
  <si>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</si>
  <si>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</si>
  <si>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</si>
  <si>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</si>
  <si>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</si>
  <si>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</si>
  <si>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</si>
  <si>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</si>
  <si>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</si>
  <si>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</si>
  <si>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</si>
  <si>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</si>
  <si>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</si>
  <si>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</si>
  <si>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</si>
  <si>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</si>
  <si>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</si>
  <si>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</si>
  <si>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</si>
  <si>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</si>
  <si>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</si>
  <si>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</si>
  <si>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</si>
  <si>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</si>
  <si>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</si>
  <si>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</si>
  <si>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</si>
  <si>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</si>
  <si>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</si>
  <si>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</si>
  <si>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</si>
  <si>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</si>
  <si>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</si>
  <si>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</si>
  <si>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</si>
  <si>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</si>
  <si>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</si>
  <si>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</si>
  <si>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</si>
  <si>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</si>
  <si>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</si>
  <si>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</si>
  <si>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</si>
  <si>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</si>
  <si>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</si>
  <si>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</si>
  <si>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</si>
  <si>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</si>
  <si>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</si>
  <si>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</si>
  <si>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</si>
  <si>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</si>
  <si>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</si>
  <si>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</si>
  <si>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</si>
  <si>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</si>
  <si>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</si>
  <si>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</si>
  <si>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</si>
  <si>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</si>
  <si>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</si>
  <si>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</si>
  <si>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</si>
  <si>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</si>
  <si>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</si>
  <si>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</si>
  <si>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</si>
  <si>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</si>
  <si>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</si>
  <si>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</si>
  <si>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</si>
  <si>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</si>
  <si>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</si>
  <si>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</si>
  <si>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</si>
  <si>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</si>
  <si>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</si>
  <si>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</si>
  <si>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</si>
  <si>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</si>
  <si>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</si>
  <si>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</si>
  <si>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</si>
  <si>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</si>
  <si>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</si>
  <si>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</si>
  <si>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</si>
  <si>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</si>
  <si>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</si>
  <si>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</si>
  <si>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</si>
  <si>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</si>
  <si>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</si>
  <si>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</si>
  <si>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</si>
  <si>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</si>
  <si>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</si>
  <si>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</si>
  <si>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</si>
  <si>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</si>
  <si>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</si>
  <si>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</si>
  <si>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</si>
  <si>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</si>
  <si>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</si>
  <si>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</si>
  <si>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</si>
  <si>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</si>
  <si>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</si>
  <si>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</si>
  <si>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</si>
  <si>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</si>
  <si>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</si>
  <si>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</si>
  <si>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</si>
  <si>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</si>
  <si>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</si>
  <si>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</si>
  <si>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</si>
  <si>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</si>
  <si>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</si>
  <si>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</si>
  <si>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</si>
  <si>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</si>
  <si>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</si>
  <si>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</si>
  <si>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</si>
  <si>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</si>
  <si>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</si>
  <si>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</si>
  <si>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</si>
  <si>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</si>
  <si>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</si>
  <si>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</si>
  <si>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</si>
  <si>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</si>
  <si>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</si>
  <si>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</si>
  <si>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</si>
  <si>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</si>
  <si>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</si>
  <si>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</si>
  <si>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</si>
  <si>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</si>
  <si>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</si>
  <si>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</si>
  <si>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</si>
  <si>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</si>
  <si>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</si>
  <si>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</si>
  <si>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</si>
  <si>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</si>
  <si>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</si>
  <si>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</si>
  <si>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</si>
  <si>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</si>
  <si>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</si>
  <si>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</si>
  <si>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</si>
  <si>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</si>
  <si>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</si>
  <si>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</si>
  <si>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</si>
  <si>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</si>
  <si>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</si>
  <si>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</si>
  <si>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</si>
  <si>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</si>
  <si>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</si>
  <si>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</si>
  <si>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</si>
  <si>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</si>
  <si>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</si>
  <si>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</si>
  <si>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</si>
  <si>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</si>
  <si>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</si>
  <si>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</si>
  <si>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</si>
  <si>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</si>
  <si>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</si>
  <si>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</si>
  <si>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</si>
  <si>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</si>
  <si>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</si>
  <si>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</si>
  <si>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</si>
  <si>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</si>
  <si>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</si>
  <si>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</si>
  <si>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</si>
  <si>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</si>
  <si>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</si>
  <si>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</si>
  <si>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</si>
  <si>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</si>
  <si>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</si>
  <si>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</si>
  <si>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</si>
  <si>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</si>
  <si>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</si>
  <si>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</si>
  <si>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</si>
  <si>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</si>
  <si>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</si>
  <si>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</si>
  <si>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</si>
  <si>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</si>
  <si>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</si>
  <si>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</si>
  <si>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</si>
  <si>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</si>
  <si>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</si>
  <si>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</si>
  <si>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</si>
  <si>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</si>
  <si>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</si>
  <si>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</si>
  <si>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</si>
  <si>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</si>
  <si>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</si>
  <si>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</si>
  <si>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</si>
  <si>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</si>
  <si>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</si>
  <si>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</si>
  <si>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</si>
  <si>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</si>
  <si>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</si>
  <si>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</si>
  <si>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</si>
  <si>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</si>
  <si>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</si>
  <si>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</si>
  <si>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</si>
  <si>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</si>
  <si>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</si>
  <si>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</si>
  <si>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</si>
  <si>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</si>
  <si>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</si>
  <si>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</si>
  <si>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</si>
  <si>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</si>
  <si>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</si>
  <si>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</si>
  <si>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</si>
  <si>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</si>
  <si>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</si>
  <si>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</si>
  <si>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</si>
  <si>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</si>
  <si>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</si>
  <si>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</si>
  <si>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</si>
  <si>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</si>
  <si>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</si>
  <si>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</si>
  <si>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</si>
  <si>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</si>
  <si>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</si>
  <si>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</si>
  <si>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</si>
  <si>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</si>
  <si>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</si>
  <si>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</si>
  <si>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</si>
  <si>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</si>
  <si>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</si>
  <si>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</si>
  <si>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</si>
  <si>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</si>
  <si>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</si>
  <si>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</si>
  <si>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</si>
  <si>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</si>
  <si>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</si>
  <si>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</si>
  <si>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</si>
  <si>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</si>
  <si>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</si>
  <si>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</si>
  <si>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</si>
  <si>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</si>
  <si>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</si>
  <si>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</si>
  <si>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</si>
  <si>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</si>
  <si>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</si>
  <si>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</si>
  <si>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</si>
  <si>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</si>
  <si>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</si>
  <si>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</si>
  <si>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</si>
  <si>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</si>
  <si>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</si>
  <si>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</si>
  <si>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</si>
  <si>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</si>
  <si>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</si>
  <si>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</si>
  <si>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</si>
  <si>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</si>
  <si>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</si>
  <si>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</si>
  <si>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</si>
  <si>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</si>
  <si>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</si>
  <si>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</si>
  <si>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</si>
  <si>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</si>
  <si>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</si>
  <si>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</si>
  <si>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</si>
  <si>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</si>
  <si>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</si>
  <si>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</si>
  <si>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</si>
  <si>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</si>
  <si>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</si>
  <si>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</si>
  <si>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</si>
  <si>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</si>
  <si>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</si>
  <si>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</si>
  <si>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</si>
  <si>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</si>
  <si>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</si>
  <si>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</si>
  <si>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</si>
  <si>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</si>
  <si>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</si>
  <si>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</si>
  <si>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</si>
  <si>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</si>
  <si>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</si>
  <si>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</si>
  <si>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</si>
  <si>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</si>
  <si>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</si>
  <si>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</si>
  <si>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</si>
  <si>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</si>
  <si>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</si>
  <si>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</si>
  <si>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</si>
  <si>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</si>
  <si>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</si>
  <si>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</si>
  <si>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</si>
  <si>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</si>
  <si>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</si>
  <si>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</si>
  <si>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</si>
  <si>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</si>
  <si>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</si>
  <si>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</si>
  <si>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</si>
  <si>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</si>
  <si>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</si>
  <si>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</si>
  <si>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</si>
  <si>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</si>
  <si>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</si>
  <si>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</si>
  <si>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</si>
  <si>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</si>
  <si>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</si>
  <si>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</si>
  <si>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</si>
  <si>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</si>
  <si>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</si>
  <si>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</si>
  <si>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</si>
  <si>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</si>
  <si>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</si>
  <si>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</si>
  <si>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</si>
  <si>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</si>
  <si>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</si>
  <si>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</si>
  <si>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</si>
  <si>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</si>
  <si>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</si>
  <si>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</si>
  <si>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</si>
  <si>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</si>
  <si>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</si>
  <si>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</si>
  <si>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</si>
  <si>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</si>
  <si>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</si>
  <si>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</si>
  <si>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</si>
  <si>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</si>
  <si>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</si>
  <si>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</si>
  <si>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</si>
  <si>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</si>
  <si>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</si>
  <si>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</si>
  <si>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</si>
  <si>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</si>
  <si>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</si>
  <si>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</si>
  <si>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</si>
  <si>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</si>
  <si>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</si>
  <si>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</si>
  <si>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</si>
  <si>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</si>
  <si>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</si>
  <si>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</si>
  <si>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</si>
  <si>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</si>
  <si>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</si>
  <si>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</si>
  <si>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</si>
  <si>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</si>
  <si>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</si>
  <si>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</si>
  <si>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</si>
  <si>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</si>
  <si>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</si>
  <si>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</si>
  <si>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</si>
  <si>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</si>
  <si>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</si>
  <si>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</si>
  <si>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</si>
  <si>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</si>
  <si>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</si>
  <si>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</si>
  <si>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</si>
  <si>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</si>
  <si>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</si>
  <si>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</si>
  <si>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</si>
  <si>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</si>
  <si>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</si>
  <si>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</si>
  <si>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</si>
  <si>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</si>
  <si>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</si>
  <si>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</si>
  <si>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</si>
  <si>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</si>
  <si>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</si>
  <si>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</si>
  <si>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</si>
  <si>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</si>
  <si>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</si>
  <si>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</si>
  <si>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</si>
  <si>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</si>
  <si>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</si>
  <si>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</si>
  <si>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</si>
  <si>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</si>
  <si>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</si>
  <si>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</si>
  <si>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</si>
  <si>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</si>
  <si>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</si>
  <si>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</si>
  <si>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</si>
  <si>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</si>
  <si>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</si>
  <si>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</si>
  <si>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</si>
  <si>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</si>
  <si>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</si>
  <si>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</si>
  <si>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</si>
  <si>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</si>
  <si>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</si>
  <si>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</si>
  <si>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</si>
  <si>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</si>
  <si>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</si>
  <si>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</si>
  <si>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</si>
  <si>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</si>
  <si>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</si>
  <si>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</si>
  <si>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</si>
  <si>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</si>
  <si>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</si>
  <si>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</si>
  <si>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</si>
  <si>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</si>
  <si>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</si>
  <si>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</si>
  <si>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</si>
  <si>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</si>
  <si>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</si>
  <si>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</si>
  <si>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</si>
  <si>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</si>
  <si>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</si>
  <si>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</si>
  <si>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</si>
  <si>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</si>
  <si>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</si>
  <si>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</si>
  <si>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</si>
  <si>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</si>
  <si>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</si>
  <si>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</si>
  <si>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</si>
  <si>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</si>
  <si>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</si>
  <si>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</si>
  <si>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</si>
  <si>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</si>
  <si>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</si>
  <si>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</si>
  <si>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</si>
  <si>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</si>
  <si>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</si>
  <si>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</si>
  <si>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</si>
  <si>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</si>
  <si>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</si>
  <si>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</si>
  <si>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</si>
  <si>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</si>
  <si>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</si>
  <si>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</si>
  <si>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</si>
  <si>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</si>
  <si>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</si>
  <si>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</si>
  <si>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</si>
  <si>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</si>
  <si>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</si>
  <si>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</si>
  <si>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</si>
  <si>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</si>
  <si>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</si>
  <si>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</si>
  <si>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</si>
  <si>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</si>
  <si>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</si>
  <si>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</si>
  <si>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</si>
  <si>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</si>
  <si>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</si>
  <si>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</si>
  <si>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</si>
  <si>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</si>
  <si>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</si>
  <si>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</si>
  <si>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</si>
  <si>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</si>
  <si>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</si>
  <si>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</si>
  <si>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</si>
  <si>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</si>
  <si>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</si>
  <si>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</si>
  <si>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</si>
  <si>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</si>
  <si>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</si>
  <si>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</si>
  <si>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</si>
  <si>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</si>
  <si>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</si>
  <si>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</si>
  <si>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</si>
  <si>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</si>
  <si>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</si>
  <si>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</si>
  <si>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</si>
  <si>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</si>
  <si>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</si>
  <si>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</si>
  <si>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</si>
  <si>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</si>
  <si>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</si>
  <si>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</si>
  <si>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</si>
  <si>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</si>
  <si>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</si>
  <si>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</si>
  <si>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</si>
  <si>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</si>
  <si>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</si>
  <si>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</si>
  <si>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</si>
  <si>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</si>
  <si>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</si>
  <si>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</si>
  <si>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</si>
  <si>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</si>
  <si>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</si>
  <si>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</si>
  <si>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</si>
  <si>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</si>
  <si>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</si>
  <si>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</si>
  <si>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</si>
  <si>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</si>
  <si>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</si>
  <si>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</si>
  <si>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</si>
  <si>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</si>
  <si>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</si>
  <si>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</si>
  <si>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</si>
  <si>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</si>
  <si>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</si>
  <si>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</si>
  <si>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</si>
  <si>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</si>
  <si>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</si>
  <si>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</si>
  <si>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</si>
  <si>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</si>
  <si>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</si>
  <si>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</si>
  <si>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</si>
  <si>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</si>
  <si>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</si>
  <si>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</si>
  <si>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</si>
  <si>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</si>
  <si>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</si>
  <si>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</si>
  <si>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</si>
  <si>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</si>
  <si>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</si>
  <si>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</si>
  <si>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</si>
  <si>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</si>
  <si>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</si>
  <si>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</si>
  <si>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</si>
  <si>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</si>
  <si>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</si>
  <si>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</si>
  <si>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</si>
  <si>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</si>
  <si>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</si>
  <si>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</si>
  <si>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</si>
  <si>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</si>
  <si>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</si>
  <si>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</si>
  <si>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</si>
  <si>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</si>
  <si>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</si>
  <si>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</si>
  <si>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</si>
  <si>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</si>
  <si>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</si>
  <si>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</si>
  <si>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</si>
  <si>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</si>
  <si>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</si>
  <si>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</si>
  <si>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</si>
  <si>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</si>
  <si>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</si>
  <si>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</si>
  <si>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</si>
  <si>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</si>
  <si>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</si>
  <si>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</si>
  <si>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</si>
  <si>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</si>
  <si>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</si>
  <si>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</si>
  <si>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</si>
  <si>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</si>
  <si>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</si>
  <si>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</si>
  <si>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</si>
  <si>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</si>
  <si>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</si>
  <si>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</si>
  <si>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</si>
  <si>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</si>
  <si>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</si>
  <si>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</si>
  <si>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</si>
  <si>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</si>
  <si>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</si>
  <si>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</si>
  <si>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</si>
  <si>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</si>
  <si>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</si>
  <si>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</si>
  <si>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</si>
  <si>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</si>
  <si>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</si>
  <si>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</si>
  <si>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</si>
  <si>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</si>
  <si>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</si>
  <si>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</si>
  <si>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</si>
  <si>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</si>
  <si>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</si>
  <si>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</si>
  <si>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</si>
  <si>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</si>
  <si>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</si>
  <si>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</si>
  <si>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</si>
  <si>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</si>
  <si>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</si>
  <si>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</si>
  <si>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</si>
  <si>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</si>
  <si>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</si>
  <si>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</si>
  <si>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</si>
  <si>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</si>
  <si>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</si>
  <si>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</si>
  <si>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</si>
  <si>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</si>
  <si>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</si>
  <si>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</si>
  <si>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</si>
  <si>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</si>
  <si>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</si>
  <si>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</si>
  <si>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</si>
  <si>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</si>
  <si>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</si>
  <si>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</si>
  <si>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</si>
  <si>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</si>
  <si>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</si>
  <si>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</si>
  <si>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</si>
  <si>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</si>
  <si>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</si>
  <si>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</si>
  <si>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</si>
  <si>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</si>
  <si>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</si>
  <si>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</si>
  <si>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</si>
  <si>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</si>
  <si>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</si>
  <si>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</si>
  <si>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</si>
  <si>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</si>
  <si>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</si>
  <si>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</si>
  <si>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</si>
  <si>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</si>
  <si>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</si>
  <si>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</si>
  <si>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</si>
  <si>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</si>
  <si>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</si>
  <si>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</si>
  <si>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</si>
  <si>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</si>
  <si>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</si>
  <si>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</si>
  <si>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</si>
  <si>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</si>
  <si>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</si>
  <si>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</si>
  <si>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</si>
  <si>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</si>
  <si>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</si>
  <si>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</si>
  <si>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</si>
  <si>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</si>
  <si>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</si>
  <si>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</si>
  <si>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</si>
  <si>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</si>
  <si>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</si>
  <si>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</si>
  <si>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</si>
  <si>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</si>
  <si>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</si>
  <si>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</si>
  <si>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</si>
  <si>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</si>
  <si>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</si>
  <si>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</si>
  <si>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</si>
  <si>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</si>
  <si>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</si>
  <si>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</si>
  <si>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</si>
  <si>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</si>
  <si>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</si>
  <si>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</si>
  <si>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</si>
  <si>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</si>
  <si>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</si>
  <si>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</si>
  <si>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</si>
  <si>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</si>
  <si>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</si>
  <si>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</si>
  <si>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</si>
  <si>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</si>
  <si>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</si>
  <si>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</si>
  <si>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</si>
  <si>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</si>
  <si>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</si>
  <si>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</si>
  <si>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</si>
  <si>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</si>
  <si>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</si>
  <si>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</si>
  <si>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</si>
  <si>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</si>
  <si>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</si>
  <si>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</si>
  <si>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</si>
  <si>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</si>
  <si>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</si>
  <si>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</si>
  <si>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</si>
  <si>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</si>
  <si>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</si>
  <si>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</si>
  <si>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</si>
  <si>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</si>
  <si>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</si>
  <si>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</si>
  <si>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</si>
  <si>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</si>
  <si>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</si>
  <si>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</si>
  <si>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</si>
  <si>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</si>
  <si>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</si>
  <si>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</si>
  <si>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</si>
  <si>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</si>
  <si>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</si>
  <si>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</si>
  <si>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</si>
  <si>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</si>
  <si>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</si>
  <si>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</si>
  <si>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</si>
  <si>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</si>
  <si>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</si>
  <si>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</si>
  <si>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</si>
  <si>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</si>
  <si>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</si>
  <si>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</si>
  <si>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</si>
  <si>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</si>
  <si>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</si>
  <si>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</si>
  <si>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</si>
  <si>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</si>
  <si>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</si>
  <si>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</si>
  <si>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</si>
  <si>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</si>
  <si>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</si>
  <si>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</si>
  <si>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</si>
  <si>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</si>
  <si>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</si>
  <si>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</si>
  <si>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</si>
  <si>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</si>
  <si>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</si>
  <si>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</si>
  <si>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</si>
  <si>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</si>
  <si>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</si>
  <si>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</si>
  <si>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</si>
  <si>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</si>
  <si>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</si>
  <si>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</si>
  <si>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</si>
  <si>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</si>
  <si>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</si>
  <si>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</si>
  <si>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</si>
  <si>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</si>
  <si>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</si>
  <si>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</si>
  <si>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</si>
  <si>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</si>
  <si>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</si>
  <si>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</si>
  <si>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</si>
  <si>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</si>
  <si>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</si>
  <si>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</si>
  <si>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</si>
  <si>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</si>
  <si>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</si>
  <si>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</si>
  <si>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</si>
  <si>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</si>
  <si>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</si>
  <si>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</si>
  <si>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</si>
  <si>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</si>
  <si>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</si>
  <si>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</si>
  <si>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</si>
  <si>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</si>
  <si>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</si>
  <si>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</si>
  <si>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</si>
  <si>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</si>
  <si>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</si>
  <si>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</si>
  <si>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</si>
  <si>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</si>
  <si>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</si>
  <si>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</si>
  <si>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</si>
  <si>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</si>
  <si>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</si>
  <si>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</si>
  <si>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</si>
  <si>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</si>
  <si>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</si>
  <si>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</si>
  <si>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</si>
  <si>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</si>
  <si>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</si>
  <si>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</si>
  <si>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</si>
  <si>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</si>
  <si>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</si>
  <si>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</si>
  <si>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</si>
  <si>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</si>
  <si>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</si>
  <si>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</si>
  <si>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</si>
  <si>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</si>
  <si>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</si>
  <si>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</si>
  <si>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</si>
  <si>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</si>
  <si>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</si>
  <si>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</si>
  <si>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</si>
  <si>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</si>
  <si>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</si>
  <si>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</si>
  <si>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</si>
  <si>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</si>
  <si>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</si>
  <si>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</si>
  <si>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</si>
  <si>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</si>
  <si>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</si>
  <si>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</si>
  <si>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</si>
  <si>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</si>
  <si>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</si>
  <si>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</si>
  <si>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</si>
  <si>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</si>
  <si>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</si>
  <si>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</si>
  <si>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</si>
  <si>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</si>
  <si>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</si>
  <si>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</si>
  <si>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</si>
  <si>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</si>
  <si>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</si>
  <si>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</si>
  <si>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</si>
  <si>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</si>
  <si>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</si>
  <si>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</si>
  <si>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</si>
  <si>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</si>
  <si>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</si>
  <si>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</si>
  <si>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</si>
  <si>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</si>
  <si>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</si>
  <si>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</si>
  <si>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</si>
  <si>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</si>
  <si>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</si>
  <si>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</si>
  <si>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</si>
  <si>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</si>
  <si>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</si>
  <si>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</si>
  <si>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</si>
  <si>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</si>
  <si>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</si>
  <si>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</si>
  <si>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</si>
  <si>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</si>
  <si>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</si>
  <si>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</si>
  <si>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</si>
  <si>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</si>
  <si>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</si>
  <si>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</si>
  <si>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</si>
  <si>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</si>
  <si>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</si>
  <si>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</si>
  <si>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</si>
  <si>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</si>
  <si>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</si>
  <si>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</si>
  <si>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</si>
  <si>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</si>
  <si>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</si>
  <si>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</si>
  <si>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</si>
  <si>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</si>
  <si>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</si>
  <si>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</si>
  <si>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</si>
  <si>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</si>
  <si>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</si>
  <si>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</si>
  <si>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</si>
  <si>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</si>
  <si>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</si>
  <si>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</si>
  <si>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</si>
  <si>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</si>
  <si>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</si>
  <si>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</si>
  <si>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</si>
  <si>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</si>
  <si>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</si>
  <si>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</si>
  <si>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</si>
  <si>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</si>
  <si>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</si>
  <si>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</si>
  <si>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</si>
  <si>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</si>
  <si>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</si>
  <si>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</si>
  <si>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</si>
  <si>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</si>
  <si>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</si>
  <si>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</si>
  <si>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</si>
  <si>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</si>
  <si>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</si>
  <si>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</si>
  <si>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</si>
  <si>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</si>
  <si>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</si>
  <si>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</si>
  <si>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</si>
  <si>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</si>
  <si>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</si>
  <si>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</si>
  <si>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</si>
  <si>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</si>
  <si>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</si>
  <si>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</si>
  <si>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</si>
  <si>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</si>
  <si>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</si>
  <si>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</si>
  <si>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</si>
  <si>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</si>
  <si>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</si>
  <si>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</si>
  <si>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</si>
  <si>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</si>
  <si>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</si>
  <si>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</si>
  <si>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</si>
  <si>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</si>
  <si>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</si>
  <si>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</si>
  <si>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</si>
  <si>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</si>
  <si>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</si>
  <si>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</si>
  <si>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</si>
  <si>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</si>
  <si>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</si>
  <si>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</si>
  <si>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</si>
  <si>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</si>
  <si>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</si>
  <si>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</si>
  <si>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</si>
  <si>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</si>
  <si>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</si>
  <si>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</si>
  <si>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</si>
  <si>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</si>
  <si>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</si>
  <si>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</si>
  <si>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</si>
  <si>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</si>
  <si>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</si>
  <si>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</si>
  <si>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</si>
  <si>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</si>
  <si>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</si>
  <si>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</si>
  <si>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</si>
  <si>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</si>
  <si>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</si>
  <si>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</si>
  <si>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</si>
  <si>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</si>
  <si>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</si>
  <si>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</si>
  <si>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</si>
  <si>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</si>
  <si>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</si>
  <si>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</si>
  <si>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</si>
  <si>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</si>
  <si>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</si>
  <si>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</si>
  <si>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</si>
  <si>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</si>
  <si>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</si>
  <si>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</si>
  <si>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</si>
  <si>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</si>
  <si>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</si>
  <si>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</si>
  <si>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</si>
  <si>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</si>
  <si>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</si>
  <si>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</si>
  <si>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</si>
  <si>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</si>
  <si>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</si>
  <si>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</si>
  <si>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</si>
  <si>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</si>
  <si>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</si>
  <si>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</si>
  <si>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</si>
  <si>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</si>
  <si>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</si>
  <si>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</si>
  <si>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</si>
  <si>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</si>
  <si>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</si>
  <si>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</si>
  <si>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</si>
  <si>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</si>
  <si>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</si>
  <si>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</si>
  <si>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</si>
  <si>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</si>
  <si>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</si>
  <si>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</si>
  <si>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</si>
  <si>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</si>
  <si>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</si>
  <si>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</si>
  <si>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</si>
  <si>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</si>
  <si>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</si>
  <si>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</si>
  <si>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</si>
  <si>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</si>
  <si>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</si>
  <si>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</si>
  <si>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</si>
  <si>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</si>
  <si>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</si>
  <si>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</si>
  <si>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</si>
  <si>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</si>
  <si>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</si>
  <si>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</si>
  <si>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</si>
  <si>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</si>
  <si>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</si>
  <si>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</si>
  <si>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</si>
  <si>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</si>
  <si>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</si>
  <si>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</si>
  <si>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</si>
  <si>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</si>
  <si>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</si>
  <si>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</si>
  <si>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</si>
  <si>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</si>
  <si>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</si>
  <si>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</si>
  <si>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</si>
  <si>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</si>
  <si>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</si>
  <si>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</si>
  <si>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</si>
  <si>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</si>
  <si>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</si>
  <si>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</si>
  <si>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</si>
  <si>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</si>
  <si>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</si>
  <si>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</si>
  <si>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</si>
  <si>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</si>
  <si>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</si>
  <si>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</si>
  <si>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</si>
  <si>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</si>
  <si>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</si>
  <si>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</si>
  <si>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</si>
  <si>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</si>
  <si>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</si>
  <si>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</si>
  <si>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</si>
  <si>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</si>
  <si>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</si>
  <si>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</si>
  <si>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</si>
  <si>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</si>
  <si>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</si>
  <si>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</si>
  <si>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</si>
  <si>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</si>
  <si>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</si>
  <si>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</si>
  <si>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</si>
  <si>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</si>
  <si>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</si>
  <si>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</si>
  <si>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</si>
  <si>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</si>
  <si>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</si>
  <si>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</si>
  <si>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</si>
  <si>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</si>
  <si>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</si>
  <si>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</si>
  <si>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</si>
  <si>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</si>
  <si>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</si>
  <si>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</si>
  <si>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</si>
  <si>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</si>
  <si>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</si>
  <si>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</si>
  <si>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</si>
  <si>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</si>
  <si>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</si>
  <si>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</si>
  <si>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</si>
  <si>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</si>
  <si>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</si>
  <si>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</si>
  <si>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</si>
  <si>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</si>
  <si>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</si>
  <si>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</si>
  <si>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</si>
  <si>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</si>
  <si>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</si>
  <si>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</si>
  <si>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</si>
  <si>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</si>
  <si>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</si>
  <si>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</si>
  <si>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</si>
  <si>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</si>
  <si>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</si>
  <si>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</si>
  <si>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</si>
  <si>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</si>
  <si>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</si>
  <si>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</si>
  <si>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</si>
  <si>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</si>
  <si>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</si>
  <si>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</si>
  <si>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</si>
  <si>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</si>
  <si>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</si>
  <si>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</si>
  <si>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</si>
  <si>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</si>
  <si>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</si>
  <si>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</si>
  <si>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</si>
  <si>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</si>
  <si>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</si>
  <si>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</si>
  <si>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</si>
  <si>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</si>
  <si>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</si>
  <si>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</si>
  <si>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</si>
  <si>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</si>
  <si>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</si>
  <si>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</si>
  <si>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</si>
  <si>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</si>
  <si>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</si>
  <si>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</si>
  <si>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</si>
  <si>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</si>
  <si>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</si>
  <si>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</si>
  <si>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</si>
  <si>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</si>
  <si>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</si>
  <si>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</si>
  <si>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</si>
  <si>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</si>
  <si>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</si>
  <si>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</si>
  <si>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</si>
  <si>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</si>
  <si>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</si>
  <si>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</si>
  <si>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</si>
  <si>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</si>
  <si>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</si>
  <si>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</si>
  <si>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</si>
  <si>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</si>
  <si>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</si>
  <si>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</si>
  <si>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</si>
  <si>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</si>
  <si>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</si>
  <si>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</si>
  <si>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</si>
  <si>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</si>
  <si>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</si>
  <si>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</si>
  <si>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</si>
  <si>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</si>
  <si>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</si>
  <si>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</si>
  <si>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</si>
  <si>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</si>
  <si>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</si>
  <si>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</si>
  <si>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</si>
  <si>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</si>
  <si>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</si>
  <si>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</si>
  <si>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</si>
  <si>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</si>
  <si>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</si>
  <si>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</si>
  <si>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</si>
  <si>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</si>
  <si>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</si>
  <si>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</si>
  <si>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</si>
  <si>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</si>
  <si>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</si>
  <si>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</si>
  <si>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</si>
  <si>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</si>
  <si>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</si>
  <si>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</si>
  <si>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</si>
  <si>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</si>
  <si>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</si>
  <si>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</si>
  <si>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</si>
  <si>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</si>
  <si>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</si>
  <si>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</si>
  <si>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</si>
  <si>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</si>
  <si>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</si>
  <si>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</si>
  <si>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</si>
  <si>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</si>
  <si>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</si>
  <si>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</si>
  <si>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</si>
  <si>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</si>
  <si>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</si>
  <si>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</si>
  <si>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</si>
  <si>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</si>
  <si>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</si>
  <si>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</si>
  <si>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</si>
  <si>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</si>
  <si>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</si>
  <si>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</si>
  <si>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</si>
  <si>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</si>
  <si>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</si>
  <si>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</si>
  <si>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</si>
  <si>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</si>
  <si>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</si>
  <si>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</si>
  <si>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</si>
  <si>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</si>
  <si>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</si>
  <si>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</si>
  <si>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</si>
  <si>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</si>
  <si>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</si>
  <si>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</si>
  <si>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</si>
  <si>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</si>
  <si>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</si>
  <si>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</si>
  <si>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</si>
  <si>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</si>
  <si>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</si>
  <si>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</si>
  <si>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</si>
  <si>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</si>
  <si>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</si>
  <si>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</si>
  <si>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</si>
  <si>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</si>
  <si>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</si>
  <si>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</si>
  <si>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</si>
  <si>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</si>
  <si>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</si>
  <si>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</si>
  <si>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</si>
  <si>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</si>
  <si>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</si>
  <si>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</si>
  <si>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</si>
  <si>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</si>
  <si>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</si>
  <si>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</si>
  <si>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</si>
  <si>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</si>
  <si>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</si>
  <si>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</si>
  <si>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</si>
  <si>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</si>
  <si>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</si>
  <si>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</si>
  <si>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</si>
  <si>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</si>
  <si>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</si>
  <si>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</si>
  <si>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</si>
  <si>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</si>
  <si>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</si>
  <si>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</si>
  <si>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</si>
  <si>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</si>
  <si>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</si>
  <si>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</si>
  <si>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</si>
  <si>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</si>
  <si>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</si>
  <si>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</si>
  <si>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</si>
  <si>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</si>
  <si>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</si>
  <si>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</si>
  <si>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</si>
  <si>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</si>
  <si>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</si>
  <si>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</si>
  <si>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</si>
  <si>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</si>
  <si>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</si>
  <si>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</si>
  <si>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</si>
  <si>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</si>
  <si>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</si>
  <si>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</si>
  <si>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</si>
  <si>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</si>
  <si>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</si>
  <si>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</si>
  <si>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</si>
  <si>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</si>
  <si>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</si>
  <si>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</si>
  <si>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</si>
  <si>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</si>
  <si>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</si>
  <si>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</si>
  <si>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</si>
  <si>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</si>
  <si>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</si>
  <si>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</si>
  <si>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</si>
  <si>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</si>
  <si>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</si>
  <si>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</si>
  <si>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</si>
  <si>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</si>
  <si>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</si>
  <si>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</si>
  <si>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</si>
  <si>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</si>
  <si>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</si>
  <si>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</si>
  <si>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</si>
  <si>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</si>
  <si>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</si>
  <si>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</si>
  <si>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</si>
  <si>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</si>
  <si>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</si>
  <si>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</si>
  <si>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</si>
  <si>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</si>
  <si>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</si>
  <si>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</si>
  <si>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</si>
  <si>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</si>
  <si>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</si>
  <si>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</si>
  <si>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</si>
  <si>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</si>
  <si>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</si>
  <si>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</si>
  <si>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</si>
  <si>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</si>
  <si>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</si>
  <si>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</si>
  <si>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</si>
  <si>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</si>
  <si>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</si>
  <si>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</si>
  <si>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</si>
  <si>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</si>
  <si>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</si>
  <si>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</si>
  <si>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</si>
  <si>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</si>
  <si>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</si>
  <si>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</si>
  <si>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</si>
  <si>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</si>
  <si>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</si>
  <si>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</si>
  <si>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</si>
  <si>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</si>
  <si>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</si>
  <si>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</si>
  <si>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</si>
  <si>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</si>
  <si>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</si>
  <si>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</si>
  <si>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</si>
  <si>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</si>
  <si>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</si>
  <si>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</si>
  <si>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</si>
  <si>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</si>
  <si>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</si>
  <si>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</si>
  <si>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</si>
  <si>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</si>
  <si>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</si>
  <si>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</si>
  <si>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</si>
  <si>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</si>
  <si>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</si>
  <si>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</si>
  <si>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</si>
  <si>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</si>
  <si>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</si>
  <si>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</si>
  <si>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</si>
  <si>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</si>
  <si>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</si>
  <si>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</si>
  <si>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</si>
  <si>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</si>
  <si>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</si>
  <si>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</si>
  <si>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</si>
  <si>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</si>
  <si>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</si>
  <si>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</si>
  <si>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</si>
  <si>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</si>
  <si>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</si>
  <si>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</si>
  <si>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</si>
  <si>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</si>
  <si>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</si>
  <si>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</si>
  <si>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</si>
  <si>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</si>
  <si>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</si>
  <si>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</si>
  <si>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</si>
  <si>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</si>
  <si>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</si>
  <si>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</si>
  <si>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</si>
  <si>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</si>
  <si>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</si>
  <si>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</si>
  <si>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</si>
  <si>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</si>
  <si>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</si>
  <si>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</si>
  <si>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</si>
  <si>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</si>
  <si>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</si>
  <si>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</si>
  <si>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</si>
  <si>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</si>
  <si>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</si>
  <si>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</si>
  <si>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</si>
  <si>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</si>
  <si>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</si>
  <si>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</si>
  <si>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</si>
  <si>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</si>
  <si>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</si>
  <si>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</si>
  <si>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</si>
  <si>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</si>
  <si>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</si>
  <si>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</si>
  <si>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</si>
  <si>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</si>
  <si>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</si>
  <si>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</si>
  <si>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</si>
  <si>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</si>
  <si>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</si>
  <si>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</si>
  <si>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</si>
  <si>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</si>
  <si>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</si>
  <si>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</si>
  <si>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</si>
  <si>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</si>
  <si>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</si>
  <si>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</si>
  <si>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</si>
  <si>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</si>
  <si>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</si>
  <si>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</si>
  <si>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</si>
  <si>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</si>
  <si>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</si>
  <si>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</si>
  <si>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</si>
  <si>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</si>
  <si>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</si>
  <si>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</si>
  <si>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</si>
  <si>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</si>
  <si>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</si>
  <si>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</si>
  <si>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</si>
  <si>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</si>
  <si>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</si>
  <si>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</si>
  <si>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</si>
  <si>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</si>
  <si>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</si>
  <si>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</si>
  <si>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</si>
  <si>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</si>
  <si>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</si>
  <si>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</si>
  <si>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</si>
  <si>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</si>
  <si>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</si>
  <si>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</si>
  <si>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</si>
  <si>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</si>
  <si>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</si>
  <si>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</si>
  <si>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</si>
  <si>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</si>
  <si>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</si>
  <si>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</si>
  <si>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</si>
  <si>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</si>
  <si>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</si>
  <si>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</si>
  <si>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</si>
  <si>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</si>
  <si>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</si>
  <si>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</si>
  <si>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</si>
  <si>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</si>
  <si>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</si>
  <si>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</si>
  <si>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</si>
  <si>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</si>
  <si>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</si>
  <si>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</si>
  <si>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</si>
  <si>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</si>
  <si>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</si>
  <si>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</si>
  <si>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</si>
  <si>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</si>
  <si>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</si>
  <si>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</si>
  <si>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</si>
  <si>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</si>
  <si>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</si>
  <si>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</si>
  <si>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</si>
  <si>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</si>
  <si>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</si>
  <si>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</si>
  <si>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</si>
  <si>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</si>
  <si>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</si>
  <si>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</si>
  <si>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</si>
  <si>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</si>
  <si>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</si>
  <si>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</si>
  <si>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</si>
  <si>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</si>
  <si>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</si>
  <si>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</si>
  <si>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</si>
  <si>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</si>
  <si>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</si>
  <si>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</si>
  <si>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</si>
  <si>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</si>
  <si>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</si>
  <si>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</si>
  <si>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</si>
  <si>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</si>
  <si>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</si>
  <si>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</si>
  <si>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</si>
  <si>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</si>
  <si>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</si>
  <si>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</si>
  <si>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</si>
  <si>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</si>
  <si>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</si>
  <si>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</si>
  <si>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</si>
  <si>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</si>
  <si>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</si>
  <si>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</si>
  <si>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</si>
  <si>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</si>
  <si>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</si>
  <si>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</si>
  <si>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</si>
  <si>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</si>
  <si>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</si>
  <si>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</si>
  <si>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</si>
  <si>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</si>
  <si>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</si>
  <si>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</si>
  <si>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</si>
  <si>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</si>
  <si>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</si>
  <si>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</si>
  <si>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</si>
  <si>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</si>
  <si>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</si>
  <si>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</si>
  <si>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</si>
  <si>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</si>
  <si>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</si>
  <si>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</si>
  <si>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</si>
  <si>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</si>
  <si>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</si>
  <si>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</si>
  <si>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</si>
  <si>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</si>
  <si>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</si>
  <si>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</si>
  <si>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</si>
  <si>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</si>
  <si>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</si>
  <si>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</si>
  <si>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</si>
  <si>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</si>
  <si>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</si>
  <si>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</si>
  <si>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</si>
  <si>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</si>
  <si>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</si>
  <si>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</si>
  <si>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</si>
  <si>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</si>
  <si>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</si>
  <si>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</si>
  <si>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</si>
  <si>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</si>
  <si>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</si>
  <si>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</si>
  <si>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</si>
  <si>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</si>
  <si>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</si>
  <si>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</si>
  <si>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</si>
  <si>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</si>
  <si>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</si>
  <si>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</si>
  <si>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</si>
  <si>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</si>
  <si>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</si>
  <si>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</si>
  <si>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</si>
  <si>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</si>
  <si>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</si>
  <si>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</si>
  <si>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</si>
  <si>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</si>
  <si>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</si>
  <si>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</si>
  <si>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</si>
  <si>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</si>
  <si>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</si>
  <si>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</si>
  <si>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</si>
  <si>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</si>
  <si>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</si>
  <si>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</si>
  <si>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</si>
  <si>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</si>
  <si>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</si>
  <si>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</si>
  <si>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</si>
  <si>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</si>
  <si>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</si>
  <si>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</si>
  <si>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</si>
  <si>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</si>
  <si>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</si>
  <si>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</si>
  <si>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</si>
  <si>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</si>
  <si>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</si>
  <si>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</si>
  <si>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</si>
  <si>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</si>
  <si>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</si>
  <si>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</si>
  <si>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</si>
  <si>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</si>
  <si>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</si>
  <si>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</si>
  <si>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</si>
  <si>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</si>
  <si>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</si>
  <si>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</si>
  <si>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</si>
  <si>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</si>
  <si>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</si>
  <si>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</si>
  <si>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</si>
  <si>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</si>
  <si>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</si>
  <si>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</si>
  <si>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序号</t>
    <phoneticPr fontId="134" type="noConversion"/>
  </si>
  <si>
    <t>房号</t>
    <phoneticPr fontId="134" type="noConversion"/>
  </si>
  <si>
    <t>楼层</t>
    <phoneticPr fontId="134" type="noConversion"/>
  </si>
  <si>
    <t>面积</t>
    <phoneticPr fontId="134" type="noConversion"/>
  </si>
  <si>
    <t>地下2层面积</t>
    <phoneticPr fontId="134" type="noConversion"/>
  </si>
  <si>
    <t>地下1层面积</t>
    <phoneticPr fontId="134" type="noConversion"/>
  </si>
  <si>
    <t>1层面积</t>
    <phoneticPr fontId="134" type="noConversion"/>
  </si>
  <si>
    <t>2层面积</t>
    <phoneticPr fontId="134" type="noConversion"/>
  </si>
  <si>
    <t>3层面积</t>
  </si>
  <si>
    <t>4层面积</t>
  </si>
  <si>
    <t>5层面积</t>
  </si>
  <si>
    <t>6层面积</t>
  </si>
  <si>
    <t>抵押</t>
  </si>
  <si>
    <t>房地产抵押价值</t>
  </si>
  <si>
    <t>北京市</t>
  </si>
  <si>
    <t>企业</t>
  </si>
  <si>
    <t>通路</t>
  </si>
  <si>
    <t>通电</t>
  </si>
  <si>
    <t>通讯</t>
  </si>
  <si>
    <t>通上水</t>
  </si>
  <si>
    <t>通下水</t>
  </si>
  <si>
    <t>通热</t>
  </si>
  <si>
    <t>燃气</t>
  </si>
  <si>
    <t>商业</t>
    <phoneticPr fontId="3" type="noConversion"/>
  </si>
  <si>
    <t>是</t>
  </si>
  <si>
    <t>地上</t>
  </si>
  <si>
    <t>地下</t>
  </si>
  <si>
    <t>商业</t>
    <phoneticPr fontId="7" type="noConversion"/>
  </si>
  <si>
    <t>成新度</t>
  </si>
  <si>
    <t>收益法</t>
  </si>
  <si>
    <t>押一</t>
  </si>
  <si>
    <t>钢混</t>
  </si>
  <si>
    <t>非生产用房</t>
  </si>
  <si>
    <t>自定义容积率</t>
  </si>
  <si>
    <t>楼层修正</t>
  </si>
  <si>
    <t>不临65条商业街</t>
  </si>
  <si>
    <t>与级别开发程度一致</t>
  </si>
  <si>
    <t>一般</t>
  </si>
  <si>
    <t>较好</t>
  </si>
  <si>
    <t>未包含在土地购买价格中</t>
  </si>
  <si>
    <t>全部缴纳</t>
  </si>
  <si>
    <t>已包含在土地取得成本中</t>
  </si>
  <si>
    <t>成本法</t>
  </si>
  <si>
    <t>总价</t>
  </si>
  <si>
    <t>成本比率</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</si>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</sst>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446590</xdr:colOff>
      <xdr:row>38</xdr:row>
      <xdr:rowOff>151567</xdr:rowOff>
    </xdr:to>
    <xdr:pic>
      <xdr:nvPicPr>
        <xdr:cNvPr id="2" name="图片 1">
          <a:extLst>
            <a:ext uri="{FF2B5EF4-FFF2-40B4-BE49-F238E27FC236}">
              <a16:creationId xmlns:a16="http://schemas.microsoft.com/office/drawing/2014/main" id="{5729035C-C2C8-7B96-551D-95928171E804}"/>
            </a:ext>
          </a:extLst>
        </xdr:cNvPr>
        <xdr:cNvPicPr>
          <a:picLocks noChangeAspect="1"/>
        </xdr:cNvPicPr>
      </xdr:nvPicPr>
      <xdr:blipFill>
        <a:blip xmlns:r="http://schemas.openxmlformats.org/officeDocument/2006/relationships" r:embed="rId1"/>
        <a:stretch>
          <a:fillRect/>
        </a:stretch>
      </xdr:blipFill>
      <xdr:spPr>
        <a:xfrm>
          <a:off x="0" y="0"/>
          <a:ext cx="8676190" cy="6666667"/>
        </a:xfrm>
        <a:prstGeom prst="rect">
          <a:avLst/>
        </a:prstGeom>
      </xdr:spPr>
    </xdr:pic>
    <xdr:clientData/>
  </xdr:twoCellAnchor>
  <xdr:twoCellAnchor editAs="oneCell">
    <xdr:from>
      <xdr:col>14</xdr:col>
      <xdr:colOff>628650</xdr:colOff>
      <xdr:row>35</xdr:row>
      <xdr:rowOff>38100</xdr:rowOff>
    </xdr:from>
    <xdr:to>
      <xdr:col>24</xdr:col>
      <xdr:colOff>256331</xdr:colOff>
      <xdr:row>67</xdr:row>
      <xdr:rowOff>104081</xdr:rowOff>
    </xdr:to>
    <xdr:pic>
      <xdr:nvPicPr>
        <xdr:cNvPr id="4" name="图片 3">
          <a:extLst>
            <a:ext uri="{FF2B5EF4-FFF2-40B4-BE49-F238E27FC236}">
              <a16:creationId xmlns:a16="http://schemas.microsoft.com/office/drawing/2014/main" id="{5823F075-E602-EF11-EC44-3FB8B1D4EF3D}"/>
            </a:ext>
          </a:extLst>
        </xdr:cNvPr>
        <xdr:cNvPicPr>
          <a:picLocks noChangeAspect="1"/>
        </xdr:cNvPicPr>
      </xdr:nvPicPr>
      <xdr:blipFill>
        <a:blip xmlns:r="http://schemas.openxmlformats.org/officeDocument/2006/relationships" r:embed="rId2"/>
        <a:stretch>
          <a:fillRect/>
        </a:stretch>
      </xdr:blipFill>
      <xdr:spPr>
        <a:xfrm>
          <a:off x="10229850" y="6038850"/>
          <a:ext cx="6752381" cy="5552381"/>
        </a:xfrm>
        <a:prstGeom prst="rect">
          <a:avLst/>
        </a:prstGeom>
      </xdr:spPr>
    </xdr:pic>
    <xdr:clientData/>
  </xdr:twoCellAnchor>
  <xdr:twoCellAnchor editAs="oneCell">
    <xdr:from>
      <xdr:col>22</xdr:col>
      <xdr:colOff>152400</xdr:colOff>
      <xdr:row>0</xdr:row>
      <xdr:rowOff>0</xdr:rowOff>
    </xdr:from>
    <xdr:to>
      <xdr:col>30</xdr:col>
      <xdr:colOff>132667</xdr:colOff>
      <xdr:row>22</xdr:row>
      <xdr:rowOff>75719</xdr:rowOff>
    </xdr:to>
    <xdr:pic>
      <xdr:nvPicPr>
        <xdr:cNvPr id="5" name="图片 4">
          <a:extLst>
            <a:ext uri="{FF2B5EF4-FFF2-40B4-BE49-F238E27FC236}">
              <a16:creationId xmlns:a16="http://schemas.microsoft.com/office/drawing/2014/main" id="{558FA802-CD1D-605E-C408-DE9E932D0B53}"/>
            </a:ext>
          </a:extLst>
        </xdr:cNvPr>
        <xdr:cNvPicPr>
          <a:picLocks noChangeAspect="1"/>
        </xdr:cNvPicPr>
      </xdr:nvPicPr>
      <xdr:blipFill>
        <a:blip xmlns:r="http://schemas.openxmlformats.org/officeDocument/2006/relationships" r:embed="rId3"/>
        <a:stretch>
          <a:fillRect/>
        </a:stretch>
      </xdr:blipFill>
      <xdr:spPr>
        <a:xfrm>
          <a:off x="15506700" y="0"/>
          <a:ext cx="5466667" cy="3847619"/>
        </a:xfrm>
        <a:prstGeom prst="rect">
          <a:avLst/>
        </a:prstGeom>
      </xdr:spPr>
    </xdr:pic>
    <xdr:clientData/>
  </xdr:twoCellAnchor>
  <xdr:twoCellAnchor editAs="oneCell">
    <xdr:from>
      <xdr:col>22</xdr:col>
      <xdr:colOff>171450</xdr:colOff>
      <xdr:row>22</xdr:row>
      <xdr:rowOff>85725</xdr:rowOff>
    </xdr:from>
    <xdr:to>
      <xdr:col>28</xdr:col>
      <xdr:colOff>389983</xdr:colOff>
      <xdr:row>43</xdr:row>
      <xdr:rowOff>161465</xdr:rowOff>
    </xdr:to>
    <xdr:pic>
      <xdr:nvPicPr>
        <xdr:cNvPr id="6" name="图片 5">
          <a:extLst>
            <a:ext uri="{FF2B5EF4-FFF2-40B4-BE49-F238E27FC236}">
              <a16:creationId xmlns:a16="http://schemas.microsoft.com/office/drawing/2014/main" id="{038A42A9-86B1-A1C9-0591-78D68288E841}"/>
            </a:ext>
          </a:extLst>
        </xdr:cNvPr>
        <xdr:cNvPicPr>
          <a:picLocks noChangeAspect="1"/>
        </xdr:cNvPicPr>
      </xdr:nvPicPr>
      <xdr:blipFill>
        <a:blip xmlns:r="http://schemas.openxmlformats.org/officeDocument/2006/relationships" r:embed="rId4"/>
        <a:stretch>
          <a:fillRect/>
        </a:stretch>
      </xdr:blipFill>
      <xdr:spPr>
        <a:xfrm>
          <a:off x="15525750" y="3857625"/>
          <a:ext cx="4333333" cy="3676190"/>
        </a:xfrm>
        <a:prstGeom prst="rect">
          <a:avLst/>
        </a:prstGeom>
      </xdr:spPr>
    </xdr:pic>
    <xdr:clientData/>
  </xdr:twoCellAnchor>
  <xdr:twoCellAnchor editAs="oneCell">
    <xdr:from>
      <xdr:col>0</xdr:col>
      <xdr:colOff>0</xdr:colOff>
      <xdr:row>37</xdr:row>
      <xdr:rowOff>66675</xdr:rowOff>
    </xdr:from>
    <xdr:to>
      <xdr:col>14</xdr:col>
      <xdr:colOff>560705</xdr:colOff>
      <xdr:row>72</xdr:row>
      <xdr:rowOff>56401</xdr:rowOff>
    </xdr:to>
    <xdr:pic>
      <xdr:nvPicPr>
        <xdr:cNvPr id="7" name="图片 6">
          <a:extLst>
            <a:ext uri="{FF2B5EF4-FFF2-40B4-BE49-F238E27FC236}">
              <a16:creationId xmlns:a16="http://schemas.microsoft.com/office/drawing/2014/main" id="{87668F32-34AA-091D-7B5F-BD077EEF6DF3}"/>
            </a:ext>
          </a:extLst>
        </xdr:cNvPr>
        <xdr:cNvPicPr>
          <a:picLocks noChangeAspect="1"/>
        </xdr:cNvPicPr>
      </xdr:nvPicPr>
      <xdr:blipFill>
        <a:blip xmlns:r="http://schemas.openxmlformats.org/officeDocument/2006/relationships" r:embed="rId5"/>
        <a:stretch>
          <a:fillRect/>
        </a:stretch>
      </xdr:blipFill>
      <xdr:spPr>
        <a:xfrm>
          <a:off x="0" y="6410325"/>
          <a:ext cx="10161905" cy="5990476"/>
        </a:xfrm>
        <a:prstGeom prst="rect">
          <a:avLst/>
        </a:prstGeom>
      </xdr:spPr>
    </xdr:pic>
    <xdr:clientData/>
  </xdr:twoCellAnchor>
  <xdr:twoCellAnchor editAs="oneCell">
    <xdr:from>
      <xdr:col>0</xdr:col>
      <xdr:colOff>0</xdr:colOff>
      <xdr:row>3</xdr:row>
      <xdr:rowOff>66675</xdr:rowOff>
    </xdr:from>
    <xdr:to>
      <xdr:col>6</xdr:col>
      <xdr:colOff>219075</xdr:colOff>
      <xdr:row>16</xdr:row>
      <xdr:rowOff>11642</xdr:rowOff>
    </xdr:to>
    <xdr:pic>
      <xdr:nvPicPr>
        <xdr:cNvPr id="8" name="图片 7">
          <a:extLst>
            <a:ext uri="{FF2B5EF4-FFF2-40B4-BE49-F238E27FC236}">
              <a16:creationId xmlns:a16="http://schemas.microsoft.com/office/drawing/2014/main" id="{B475A716-8095-3A68-2ED2-D7DA7A69C279}"/>
            </a:ext>
          </a:extLst>
        </xdr:cNvPr>
        <xdr:cNvPicPr>
          <a:picLocks noChangeAspect="1"/>
        </xdr:cNvPicPr>
      </xdr:nvPicPr>
      <xdr:blipFill>
        <a:blip xmlns:r="http://schemas.openxmlformats.org/officeDocument/2006/relationships" r:embed="rId6"/>
        <a:stretch>
          <a:fillRect/>
        </a:stretch>
      </xdr:blipFill>
      <xdr:spPr>
        <a:xfrm>
          <a:off x="0" y="581025"/>
          <a:ext cx="4333875" cy="2173817"/>
        </a:xfrm>
        <a:prstGeom prst="rect">
          <a:avLst/>
        </a:prstGeom>
      </xdr:spPr>
    </xdr:pic>
    <xdr:clientData/>
  </xdr:twoCellAnchor>
  <xdr:twoCellAnchor editAs="oneCell">
    <xdr:from>
      <xdr:col>0</xdr:col>
      <xdr:colOff>0</xdr:colOff>
      <xdr:row>16</xdr:row>
      <xdr:rowOff>57150</xdr:rowOff>
    </xdr:from>
    <xdr:to>
      <xdr:col>8</xdr:col>
      <xdr:colOff>95250</xdr:colOff>
      <xdr:row>27</xdr:row>
      <xdr:rowOff>118927</xdr:rowOff>
    </xdr:to>
    <xdr:pic>
      <xdr:nvPicPr>
        <xdr:cNvPr id="9" name="图片 8">
          <a:extLst>
            <a:ext uri="{FF2B5EF4-FFF2-40B4-BE49-F238E27FC236}">
              <a16:creationId xmlns:a16="http://schemas.microsoft.com/office/drawing/2014/main" id="{90FA6D53-F943-D9B2-E323-852799568C3A}"/>
            </a:ext>
          </a:extLst>
        </xdr:cNvPr>
        <xdr:cNvPicPr>
          <a:picLocks noChangeAspect="1"/>
        </xdr:cNvPicPr>
      </xdr:nvPicPr>
      <xdr:blipFill>
        <a:blip xmlns:r="http://schemas.openxmlformats.org/officeDocument/2006/relationships" r:embed="rId7"/>
        <a:stretch>
          <a:fillRect/>
        </a:stretch>
      </xdr:blipFill>
      <xdr:spPr>
        <a:xfrm>
          <a:off x="0" y="2800350"/>
          <a:ext cx="5581650" cy="19477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112914</xdr:colOff>
      <xdr:row>26</xdr:row>
      <xdr:rowOff>151824</xdr:rowOff>
    </xdr:to>
    <xdr:pic>
      <xdr:nvPicPr>
        <xdr:cNvPr id="2" name="图片 1">
          <a:extLst>
            <a:ext uri="{FF2B5EF4-FFF2-40B4-BE49-F238E27FC236}">
              <a16:creationId xmlns:a16="http://schemas.microsoft.com/office/drawing/2014/main" id="{5E875C27-95EB-AD40-D11C-6458A16E4A54}"/>
            </a:ext>
          </a:extLst>
        </xdr:cNvPr>
        <xdr:cNvPicPr>
          <a:picLocks noChangeAspect="1"/>
        </xdr:cNvPicPr>
      </xdr:nvPicPr>
      <xdr:blipFill>
        <a:blip xmlns:r="http://schemas.openxmlformats.org/officeDocument/2006/relationships" r:embed="rId1"/>
        <a:stretch>
          <a:fillRect/>
        </a:stretch>
      </xdr:blipFill>
      <xdr:spPr>
        <a:xfrm>
          <a:off x="0" y="0"/>
          <a:ext cx="11085714" cy="4609524"/>
        </a:xfrm>
        <a:prstGeom prst="rect">
          <a:avLst/>
        </a:prstGeom>
      </xdr:spPr>
    </xdr:pic>
    <xdr:clientData/>
  </xdr:twoCellAnchor>
  <xdr:twoCellAnchor editAs="oneCell">
    <xdr:from>
      <xdr:col>0</xdr:col>
      <xdr:colOff>0</xdr:colOff>
      <xdr:row>28</xdr:row>
      <xdr:rowOff>0</xdr:rowOff>
    </xdr:from>
    <xdr:to>
      <xdr:col>5</xdr:col>
      <xdr:colOff>513857</xdr:colOff>
      <xdr:row>48</xdr:row>
      <xdr:rowOff>132905</xdr:rowOff>
    </xdr:to>
    <xdr:pic>
      <xdr:nvPicPr>
        <xdr:cNvPr id="3" name="图片 2">
          <a:extLst>
            <a:ext uri="{FF2B5EF4-FFF2-40B4-BE49-F238E27FC236}">
              <a16:creationId xmlns:a16="http://schemas.microsoft.com/office/drawing/2014/main" id="{5B083594-B1B7-1F65-381C-D36D8B25BE49}"/>
            </a:ext>
          </a:extLst>
        </xdr:cNvPr>
        <xdr:cNvPicPr>
          <a:picLocks noChangeAspect="1"/>
        </xdr:cNvPicPr>
      </xdr:nvPicPr>
      <xdr:blipFill>
        <a:blip xmlns:r="http://schemas.openxmlformats.org/officeDocument/2006/relationships" r:embed="rId2"/>
        <a:stretch>
          <a:fillRect/>
        </a:stretch>
      </xdr:blipFill>
      <xdr:spPr>
        <a:xfrm>
          <a:off x="0" y="4800600"/>
          <a:ext cx="3942857" cy="3561905"/>
        </a:xfrm>
        <a:prstGeom prst="rect">
          <a:avLst/>
        </a:prstGeom>
      </xdr:spPr>
    </xdr:pic>
    <xdr:clientData/>
  </xdr:twoCellAnchor>
  <xdr:twoCellAnchor editAs="oneCell">
    <xdr:from>
      <xdr:col>5</xdr:col>
      <xdr:colOff>600075</xdr:colOff>
      <xdr:row>28</xdr:row>
      <xdr:rowOff>9525</xdr:rowOff>
    </xdr:from>
    <xdr:to>
      <xdr:col>11</xdr:col>
      <xdr:colOff>513846</xdr:colOff>
      <xdr:row>48</xdr:row>
      <xdr:rowOff>75763</xdr:rowOff>
    </xdr:to>
    <xdr:pic>
      <xdr:nvPicPr>
        <xdr:cNvPr id="4" name="图片 3">
          <a:extLst>
            <a:ext uri="{FF2B5EF4-FFF2-40B4-BE49-F238E27FC236}">
              <a16:creationId xmlns:a16="http://schemas.microsoft.com/office/drawing/2014/main" id="{6DDE52B0-0041-576E-7239-D45FF5F00E97}"/>
            </a:ext>
          </a:extLst>
        </xdr:cNvPr>
        <xdr:cNvPicPr>
          <a:picLocks noChangeAspect="1"/>
        </xdr:cNvPicPr>
      </xdr:nvPicPr>
      <xdr:blipFill>
        <a:blip xmlns:r="http://schemas.openxmlformats.org/officeDocument/2006/relationships" r:embed="rId3"/>
        <a:stretch>
          <a:fillRect/>
        </a:stretch>
      </xdr:blipFill>
      <xdr:spPr>
        <a:xfrm>
          <a:off x="4029075" y="4810125"/>
          <a:ext cx="4028571" cy="3495238"/>
        </a:xfrm>
        <a:prstGeom prst="rect">
          <a:avLst/>
        </a:prstGeom>
      </xdr:spPr>
    </xdr:pic>
    <xdr:clientData/>
  </xdr:twoCellAnchor>
  <xdr:twoCellAnchor editAs="oneCell">
    <xdr:from>
      <xdr:col>11</xdr:col>
      <xdr:colOff>466725</xdr:colOff>
      <xdr:row>27</xdr:row>
      <xdr:rowOff>57150</xdr:rowOff>
    </xdr:from>
    <xdr:to>
      <xdr:col>17</xdr:col>
      <xdr:colOff>294782</xdr:colOff>
      <xdr:row>67</xdr:row>
      <xdr:rowOff>27721</xdr:rowOff>
    </xdr:to>
    <xdr:pic>
      <xdr:nvPicPr>
        <xdr:cNvPr id="5" name="图片 4">
          <a:extLst>
            <a:ext uri="{FF2B5EF4-FFF2-40B4-BE49-F238E27FC236}">
              <a16:creationId xmlns:a16="http://schemas.microsoft.com/office/drawing/2014/main" id="{9066B3F7-E1DF-5B94-0A3D-26B603574BB6}"/>
            </a:ext>
          </a:extLst>
        </xdr:cNvPr>
        <xdr:cNvPicPr>
          <a:picLocks noChangeAspect="1"/>
        </xdr:cNvPicPr>
      </xdr:nvPicPr>
      <xdr:blipFill>
        <a:blip xmlns:r="http://schemas.openxmlformats.org/officeDocument/2006/relationships" r:embed="rId4"/>
        <a:stretch>
          <a:fillRect/>
        </a:stretch>
      </xdr:blipFill>
      <xdr:spPr>
        <a:xfrm>
          <a:off x="8010525" y="4686300"/>
          <a:ext cx="3942857" cy="6828571"/>
        </a:xfrm>
        <a:prstGeom prst="rect">
          <a:avLst/>
        </a:prstGeom>
      </xdr:spPr>
    </xdr:pic>
    <xdr:clientData/>
  </xdr:twoCellAnchor>
  <xdr:twoCellAnchor editAs="oneCell">
    <xdr:from>
      <xdr:col>0</xdr:col>
      <xdr:colOff>0</xdr:colOff>
      <xdr:row>67</xdr:row>
      <xdr:rowOff>0</xdr:rowOff>
    </xdr:from>
    <xdr:to>
      <xdr:col>15</xdr:col>
      <xdr:colOff>541571</xdr:colOff>
      <xdr:row>96</xdr:row>
      <xdr:rowOff>170807</xdr:rowOff>
    </xdr:to>
    <xdr:pic>
      <xdr:nvPicPr>
        <xdr:cNvPr id="6" name="图片 5">
          <a:extLst>
            <a:ext uri="{FF2B5EF4-FFF2-40B4-BE49-F238E27FC236}">
              <a16:creationId xmlns:a16="http://schemas.microsoft.com/office/drawing/2014/main" id="{D522FDC1-FD49-A5F5-5089-B3C827D8F2AD}"/>
            </a:ext>
          </a:extLst>
        </xdr:cNvPr>
        <xdr:cNvPicPr>
          <a:picLocks noChangeAspect="1"/>
        </xdr:cNvPicPr>
      </xdr:nvPicPr>
      <xdr:blipFill>
        <a:blip xmlns:r="http://schemas.openxmlformats.org/officeDocument/2006/relationships" r:embed="rId5"/>
        <a:stretch>
          <a:fillRect/>
        </a:stretch>
      </xdr:blipFill>
      <xdr:spPr>
        <a:xfrm>
          <a:off x="0" y="11487150"/>
          <a:ext cx="10828571" cy="5142857"/>
        </a:xfrm>
        <a:prstGeom prst="rect">
          <a:avLst/>
        </a:prstGeom>
      </xdr:spPr>
    </xdr:pic>
    <xdr:clientData/>
  </xdr:twoCellAnchor>
  <xdr:twoCellAnchor editAs="oneCell">
    <xdr:from>
      <xdr:col>0</xdr:col>
      <xdr:colOff>0</xdr:colOff>
      <xdr:row>98</xdr:row>
      <xdr:rowOff>0</xdr:rowOff>
    </xdr:from>
    <xdr:to>
      <xdr:col>5</xdr:col>
      <xdr:colOff>628143</xdr:colOff>
      <xdr:row>118</xdr:row>
      <xdr:rowOff>132905</xdr:rowOff>
    </xdr:to>
    <xdr:pic>
      <xdr:nvPicPr>
        <xdr:cNvPr id="7" name="图片 6">
          <a:extLst>
            <a:ext uri="{FF2B5EF4-FFF2-40B4-BE49-F238E27FC236}">
              <a16:creationId xmlns:a16="http://schemas.microsoft.com/office/drawing/2014/main" id="{59039810-90E9-205C-DBD1-8AC2110C3FC0}"/>
            </a:ext>
          </a:extLst>
        </xdr:cNvPr>
        <xdr:cNvPicPr>
          <a:picLocks noChangeAspect="1"/>
        </xdr:cNvPicPr>
      </xdr:nvPicPr>
      <xdr:blipFill>
        <a:blip xmlns:r="http://schemas.openxmlformats.org/officeDocument/2006/relationships" r:embed="rId6"/>
        <a:stretch>
          <a:fillRect/>
        </a:stretch>
      </xdr:blipFill>
      <xdr:spPr>
        <a:xfrm>
          <a:off x="0" y="16802100"/>
          <a:ext cx="4057143" cy="3561905"/>
        </a:xfrm>
        <a:prstGeom prst="rect">
          <a:avLst/>
        </a:prstGeom>
      </xdr:spPr>
    </xdr:pic>
    <xdr:clientData/>
  </xdr:twoCellAnchor>
  <xdr:twoCellAnchor editAs="oneCell">
    <xdr:from>
      <xdr:col>6</xdr:col>
      <xdr:colOff>19050</xdr:colOff>
      <xdr:row>98</xdr:row>
      <xdr:rowOff>76200</xdr:rowOff>
    </xdr:from>
    <xdr:to>
      <xdr:col>11</xdr:col>
      <xdr:colOff>590050</xdr:colOff>
      <xdr:row>117</xdr:row>
      <xdr:rowOff>85317</xdr:rowOff>
    </xdr:to>
    <xdr:pic>
      <xdr:nvPicPr>
        <xdr:cNvPr id="8" name="图片 7">
          <a:extLst>
            <a:ext uri="{FF2B5EF4-FFF2-40B4-BE49-F238E27FC236}">
              <a16:creationId xmlns:a16="http://schemas.microsoft.com/office/drawing/2014/main" id="{7D2E08CC-AB61-2E76-D6B2-5233DCB5AAD5}"/>
            </a:ext>
          </a:extLst>
        </xdr:cNvPr>
        <xdr:cNvPicPr>
          <a:picLocks noChangeAspect="1"/>
        </xdr:cNvPicPr>
      </xdr:nvPicPr>
      <xdr:blipFill>
        <a:blip xmlns:r="http://schemas.openxmlformats.org/officeDocument/2006/relationships" r:embed="rId7"/>
        <a:stretch>
          <a:fillRect/>
        </a:stretch>
      </xdr:blipFill>
      <xdr:spPr>
        <a:xfrm>
          <a:off x="4133850" y="16878300"/>
          <a:ext cx="4000000" cy="3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估价对象为北京市房地产，为所有。根据《国有土地使用证》[]，估价对象（分摊）出让国有建设用地使用权面积为0平方米，建筑面积为17491.15平方米。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估价对象为北京市房地产,为开发建设的，该项目尚在开发建设中。根据《国有土地使用证》[]，估价对象（分摊）出让国有建设用地使用权面积为0平方米，规划建筑面积为17491.15平方米。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2024年11月14日（评估专业人员实地查勘之日）</v>
      </c>
    </row>
    <row r="13" spans="1:2">
      <c r="A13" s="1119" t="s">
        <v>529</v>
      </c>
      <c r="B13" s="1120" t="str">
        <f>'预评函-1'!A18</f>
        <v>本次估价的“房地产价值”是指在正常市场情况下，在价值时点2024年11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26338</v>
      </c>
    </row>
    <row r="21" spans="1:2">
      <c r="A21" s="1119" t="s">
        <v>537</v>
      </c>
      <c r="B21" s="1120">
        <f ca="1">'预评函-2'!D7</f>
        <v>15058</v>
      </c>
    </row>
    <row r="22" spans="1:2">
      <c r="A22" s="1119" t="s">
        <v>538</v>
      </c>
      <c r="B22" s="1120" t="str">
        <f ca="1">'预评函-2'!D6</f>
        <v>贰亿陆仟叁佰叁拾捌万元整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26338</v>
      </c>
    </row>
    <row r="31" spans="1:2">
      <c r="A31" s="1119" t="s">
        <v>576</v>
      </c>
      <c r="B31" s="1120">
        <f ca="1">'预评函-2'!D15</f>
        <v>15058</v>
      </c>
    </row>
    <row r="32" spans="1:2">
      <c r="A32" s="1119" t="s">
        <v>543</v>
      </c>
      <c r="B32" s="1120" t="str">
        <f ca="1">'预评函-2'!D14</f>
        <v>贰亿陆仟叁佰叁拾捌万元整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17491.149999999998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14328</v>
      </c>
    </row>
    <row r="48" spans="1:2">
      <c r="A48" s="1119" t="s">
        <v>549</v>
      </c>
      <c r="B48" s="1120">
        <f ca="1">'预评函-3'!E4</f>
        <v>8192</v>
      </c>
    </row>
    <row r="49" spans="1:2">
      <c r="A49" s="1119" t="s">
        <v>550</v>
      </c>
      <c r="B49" s="1120" t="str">
        <f ca="1">'预评函-3'!D5</f>
        <v>壹亿肆仟叁佰贰拾捌万元整</v>
      </c>
    </row>
    <row r="50" spans="1:2">
      <c r="A50" s="1119" t="s">
        <v>574</v>
      </c>
      <c r="B50" s="1120" t="str">
        <f>'预评函-3'!F2</f>
        <v>在建建筑物价值</v>
      </c>
    </row>
    <row r="51" spans="1:2">
      <c r="A51" s="1119" t="s">
        <v>551</v>
      </c>
      <c r="B51" s="1120">
        <f ca="1">'预评函-3'!F4</f>
        <v>12010</v>
      </c>
    </row>
    <row r="52" spans="1:2">
      <c r="A52" s="1119" t="s">
        <v>552</v>
      </c>
      <c r="B52" s="1120">
        <f ca="1">'预评函-3'!G4</f>
        <v>6866</v>
      </c>
    </row>
    <row r="53" spans="1:2">
      <c r="A53" s="1119" t="s">
        <v>580</v>
      </c>
      <c r="B53" s="1120" t="str">
        <f ca="1">'预评函-3'!F5</f>
        <v>壹亿贰仟零壹拾万元整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2579</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2580</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7" t="s">
        <v>385</v>
      </c>
      <c r="C54" s="1445" t="s">
        <v>583</v>
      </c>
    </row>
    <row r="55" spans="1:4">
      <c r="A55" s="3185"/>
      <c r="B55" s="1447" t="s">
        <v>386</v>
      </c>
      <c r="C55" s="1445" t="s">
        <v>584</v>
      </c>
    </row>
    <row r="56" spans="1:4">
      <c r="A56" s="3185"/>
      <c r="B56" s="1447" t="s">
        <v>387</v>
      </c>
      <c r="C56" s="1445" t="s">
        <v>588</v>
      </c>
    </row>
    <row r="57" spans="1:4">
      <c r="A57" s="31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2502</v>
      </c>
      <c r="B1" s="2757"/>
      <c r="C1" s="2757"/>
      <c r="D1" s="2757"/>
      <c r="E1" s="2757"/>
      <c r="F1" s="2758"/>
      <c r="I1" s="3134" t="s">
        <v>2595</v>
      </c>
      <c r="J1" s="2783"/>
      <c r="K1" s="2783"/>
      <c r="L1" s="2783"/>
      <c r="M1" s="2783"/>
      <c r="N1" s="2968"/>
      <c r="O1" s="2968"/>
      <c r="P1" s="2968"/>
      <c r="Q1" s="2968"/>
      <c r="R1" s="2968"/>
    </row>
    <row r="2" spans="1:18">
      <c r="A2" s="2760"/>
      <c r="B2" s="2761"/>
      <c r="C2" s="2761"/>
      <c r="D2" s="2761"/>
      <c r="E2" s="2761"/>
      <c r="F2" s="2762"/>
      <c r="I2" s="3186" t="s">
        <v>2582</v>
      </c>
      <c r="J2" s="3186"/>
      <c r="K2" s="3186"/>
      <c r="L2" s="3186"/>
      <c r="M2" s="3186"/>
      <c r="N2" s="3186"/>
      <c r="O2" s="3186"/>
      <c r="P2" s="3186"/>
      <c r="Q2" s="3186"/>
      <c r="R2" s="3186"/>
    </row>
    <row r="3" spans="1:18">
      <c r="A3" s="2763" t="s">
        <v>2503</v>
      </c>
      <c r="B3" s="2764">
        <f>项目基本情况!D3</f>
        <v>45610</v>
      </c>
      <c r="C3" s="2766"/>
      <c r="D3" s="2766"/>
      <c r="E3" s="2766"/>
      <c r="F3" s="2762"/>
      <c r="I3" s="2778"/>
      <c r="J3" s="2778" t="s">
        <v>2586</v>
      </c>
      <c r="K3" s="2778" t="s">
        <v>2587</v>
      </c>
      <c r="L3" s="2778" t="s">
        <v>2588</v>
      </c>
      <c r="M3" s="2778" t="s">
        <v>2589</v>
      </c>
      <c r="N3" s="3135" t="s">
        <v>2590</v>
      </c>
      <c r="O3" s="3135" t="s">
        <v>2591</v>
      </c>
      <c r="P3" s="3135" t="s">
        <v>2592</v>
      </c>
      <c r="Q3" s="3135" t="s">
        <v>2593</v>
      </c>
      <c r="R3" s="3135"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2.09</v>
      </c>
      <c r="D5" s="2768">
        <f>IF(ISERROR(ROUND(POWER(1+E5,A5-C5)*(POWER(1+E5,C5)-1)/(POWER(1+E5,A5)-1),3)),0,ROUND(POWER(1+E5,A5-C5)*(POWER(1+E5,C5)-1)/(POWER(1+E5,A5)-1),4))</f>
        <v>9.9400000000000002E-2</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12.1</v>
      </c>
      <c r="D6" s="2768">
        <f>IF(ISERROR(ROUND(POWER(1+E6,A6-C6)*(POWER(1+E6,C6)-1)/(POWER(1+E6,A6)-1),3)),0,ROUND(POWER(1+E6,A6-C6)*(POWER(1+E6,C6)-1)/(POWER(1+E6,A6)-1),4))</f>
        <v>0.43969999999999998</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32.11</v>
      </c>
      <c r="D7" s="2768">
        <f>IF(ISERROR(ROUND(POWER(1+E7,A7-C7)*(POWER(1+E7,C7)-1)/(POWER(1+E7,A7)-1),3)),0,ROUND(POWER(1+E7,A7-C7)*(POWER(1+E7,C7)-1)/(POWER(1+E7,A7)-1),4))</f>
        <v>0.76529999999999998</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4.25" thickBot="1">
      <c r="A18" s="2773" t="s">
        <v>2518</v>
      </c>
      <c r="B18" s="2774">
        <f>ROUND(B17*F11/F12,2)</f>
        <v>5541.87</v>
      </c>
      <c r="C18" s="2774">
        <f>ROUND(F11/F12,4)</f>
        <v>1.1521999999999999</v>
      </c>
      <c r="D18" s="2775"/>
      <c r="E18" s="2775"/>
      <c r="F18" s="2776"/>
    </row>
    <row r="19" spans="1:13" ht="14.25" thickBot="1"/>
    <row r="20" spans="1:13" s="2809" customFormat="1" ht="14.2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4.2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 zoomScaleNormal="100" zoomScaleSheetLayoutView="100" workbookViewId="0">
      <selection activeCell="G21" sqref="G2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4" t="str">
        <f>IF(B10="北京市","北京市",C10)&amp;F10&amp;IF(结果表!G1="在建","出让国有建设用地使用权及在建建筑物",IF(结果表!G1="土地","出让国有建设用地使用权",))&amp;B9&amp;"预评估"</f>
        <v>北京市房地产抵押价值预评估</v>
      </c>
      <c r="C1" s="3195"/>
      <c r="D1" s="3195"/>
      <c r="E1" s="3195"/>
      <c r="F1" s="3195"/>
      <c r="G1" s="3195"/>
      <c r="H1" s="3195"/>
      <c r="I1" s="319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45610</v>
      </c>
      <c r="C3" s="2186" t="s">
        <v>2171</v>
      </c>
      <c r="D3" s="2185">
        <v>45610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3401</v>
      </c>
      <c r="C8" s="2201"/>
      <c r="D8" s="3197" t="s">
        <v>2177</v>
      </c>
      <c r="E8" s="2202" t="s">
        <v>3402</v>
      </c>
      <c r="F8" s="2203"/>
      <c r="G8" s="2442"/>
      <c r="H8" s="2442"/>
      <c r="I8" s="2442"/>
      <c r="J8" s="2245"/>
      <c r="K8" s="2400"/>
      <c r="L8" s="2399"/>
      <c r="M8" s="2399"/>
      <c r="N8" s="2245"/>
      <c r="O8" s="1670"/>
      <c r="P8" s="2245"/>
      <c r="Q8" s="2245"/>
      <c r="R8" s="2245"/>
    </row>
    <row r="9" spans="1:30" ht="13.5" thickBot="1">
      <c r="A9" s="2204" t="s">
        <v>2178</v>
      </c>
      <c r="B9" s="2205" t="s">
        <v>3402</v>
      </c>
      <c r="C9" s="2206"/>
      <c r="D9" s="3198"/>
      <c r="E9" s="2205" t="s">
        <v>43</v>
      </c>
      <c r="F9" s="2207"/>
      <c r="G9" s="2443"/>
      <c r="H9" s="2443"/>
      <c r="I9" s="2443"/>
      <c r="J9" s="2245"/>
      <c r="K9" s="2402"/>
      <c r="L9" s="2399"/>
      <c r="M9" s="2399"/>
      <c r="N9" s="2245"/>
      <c r="O9" s="1670"/>
      <c r="P9" s="2245"/>
      <c r="Q9" s="2245"/>
      <c r="R9" s="2245"/>
    </row>
    <row r="10" spans="1:30" ht="13.5" thickTop="1">
      <c r="A10" s="2208" t="s">
        <v>2179</v>
      </c>
      <c r="B10" s="2209" t="s">
        <v>3403</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3404</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1" t="s">
        <v>3334</v>
      </c>
      <c r="B13" s="2218" t="s">
        <v>2190</v>
      </c>
      <c r="C13" s="803"/>
      <c r="D13" s="803">
        <v>52834</v>
      </c>
      <c r="E13" s="803"/>
      <c r="F13" s="803"/>
      <c r="G13" s="803"/>
      <c r="H13" s="803"/>
      <c r="I13" s="803">
        <v>52834</v>
      </c>
      <c r="J13" s="2803"/>
      <c r="K13" s="2399"/>
      <c r="L13" s="2399"/>
      <c r="M13" s="2245"/>
      <c r="N13" s="1670"/>
      <c r="O13" s="2245"/>
      <c r="P13" s="2245"/>
      <c r="Q13" s="2245"/>
      <c r="AD13" s="1618"/>
    </row>
    <row r="14" spans="1:30">
      <c r="A14" s="1018"/>
      <c r="B14" s="2218" t="s">
        <v>2191</v>
      </c>
      <c r="C14" s="2219"/>
      <c r="D14" s="2219">
        <v>40</v>
      </c>
      <c r="E14" s="2219"/>
      <c r="F14" s="2219"/>
      <c r="G14" s="2219"/>
      <c r="H14" s="2219"/>
      <c r="I14" s="2219">
        <v>40</v>
      </c>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19.79</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f>IF(A13="出让",IF(I13="","",ROUNDDOWN(MIN((I13-$D$3)/365,I14),2)),I14)</f>
        <v>19.79</v>
      </c>
      <c r="J15" s="2805"/>
      <c r="K15" s="1670"/>
      <c r="L15" s="1670"/>
      <c r="M15" s="2245"/>
      <c r="N15" s="1670"/>
      <c r="O15" s="2245"/>
      <c r="P15" s="2245"/>
      <c r="Q15" s="2245"/>
      <c r="AD15" s="1618"/>
    </row>
    <row r="16" spans="1:30">
      <c r="A16" s="2211" t="s">
        <v>2193</v>
      </c>
      <c r="B16" s="3204"/>
      <c r="C16" s="3205"/>
      <c r="D16" s="3206"/>
      <c r="E16" s="2222" t="s">
        <v>2194</v>
      </c>
      <c r="F16" s="3207"/>
      <c r="G16" s="3208"/>
      <c r="H16" s="3208"/>
      <c r="I16" s="3209"/>
      <c r="J16" s="2245"/>
      <c r="K16" s="2403"/>
      <c r="L16" s="1670"/>
      <c r="M16" s="1670"/>
      <c r="N16" s="2245"/>
      <c r="O16" s="1670"/>
      <c r="P16" s="2245"/>
      <c r="Q16" s="2245"/>
      <c r="R16" s="2245"/>
    </row>
    <row r="17" spans="1:28">
      <c r="A17" s="305" t="s">
        <v>2195</v>
      </c>
      <c r="B17" s="294" t="s">
        <v>2196</v>
      </c>
      <c r="C17" s="8">
        <f>'数据-汇总表'!E3</f>
        <v>17491.149999999998</v>
      </c>
      <c r="D17" s="1256" t="s">
        <v>2197</v>
      </c>
      <c r="E17" s="3210" t="s">
        <v>2198</v>
      </c>
      <c r="F17" s="3211"/>
      <c r="G17" s="3211"/>
      <c r="H17" s="3211"/>
      <c r="I17" s="321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13" t="s">
        <v>2202</v>
      </c>
      <c r="F18" s="3214"/>
      <c r="G18" s="3214"/>
      <c r="H18" s="3214"/>
      <c r="I18" s="321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0" t="s">
        <v>2206</v>
      </c>
      <c r="C20" s="3201"/>
      <c r="D20" s="3202" t="s">
        <v>2207</v>
      </c>
      <c r="E20" s="3203"/>
      <c r="F20" s="2430" t="s">
        <v>1056</v>
      </c>
      <c r="G20" s="2442"/>
      <c r="H20" s="2442"/>
      <c r="I20" s="2442"/>
      <c r="J20" s="2245"/>
      <c r="K20" s="319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8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8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8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89"/>
      <c r="B30" s="294" t="s">
        <v>2218</v>
      </c>
      <c r="C30" s="3190"/>
      <c r="D30" s="3191"/>
      <c r="E30" s="2442"/>
      <c r="F30" s="2442"/>
      <c r="G30" s="2442"/>
      <c r="H30" s="2442"/>
      <c r="I30" s="2442"/>
      <c r="J30" s="2245"/>
      <c r="K30" s="2402"/>
      <c r="L30" s="2399"/>
      <c r="M30" s="2399"/>
      <c r="N30" s="2245"/>
      <c r="O30" s="1670"/>
      <c r="P30" s="2245"/>
      <c r="Q30" s="2245"/>
      <c r="R30" s="2245"/>
      <c r="S30" s="2245"/>
      <c r="T30" s="2245"/>
      <c r="U30" s="2245"/>
      <c r="V30" s="2245"/>
    </row>
    <row r="31" spans="1:28">
      <c r="A31" s="319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t="s">
        <v>3405</v>
      </c>
      <c r="C34" s="1870" t="s">
        <v>3406</v>
      </c>
      <c r="D34" s="1870" t="s">
        <v>3407</v>
      </c>
      <c r="E34" s="1870" t="s">
        <v>3408</v>
      </c>
      <c r="F34" s="1870" t="s">
        <v>3409</v>
      </c>
      <c r="G34" s="1870" t="s">
        <v>3410</v>
      </c>
      <c r="H34" s="1870" t="s">
        <v>3411</v>
      </c>
      <c r="I34" s="2442"/>
      <c r="J34" s="2245"/>
      <c r="K34" s="8">
        <f>COUNTIF(B34:H34,"——")</f>
        <v>0</v>
      </c>
      <c r="L34" s="315" t="s">
        <v>2221</v>
      </c>
      <c r="M34" s="315" t="s">
        <v>2222</v>
      </c>
      <c r="N34" s="315" t="s">
        <v>2223</v>
      </c>
      <c r="O34" s="315" t="s">
        <v>2224</v>
      </c>
      <c r="P34" s="315" t="s">
        <v>2225</v>
      </c>
      <c r="Q34" s="315" t="s">
        <v>2226</v>
      </c>
      <c r="R34" s="315" t="s">
        <v>2227</v>
      </c>
      <c r="S34" s="3187" t="s">
        <v>2228</v>
      </c>
      <c r="T34" s="315" t="str">
        <f>NUMBERSTRING(7-K34,1)&amp;"通"</f>
        <v>七通</v>
      </c>
      <c r="U34" s="2245"/>
      <c r="V34" s="2245"/>
    </row>
    <row r="35" spans="1:30">
      <c r="A35" s="2236"/>
      <c r="B35" s="3187" t="s">
        <v>2229</v>
      </c>
      <c r="C35" s="3187"/>
      <c r="D35" s="3187"/>
      <c r="E35" s="3187"/>
      <c r="F35" s="8">
        <f>C10</f>
        <v>0</v>
      </c>
      <c r="G35" s="2442"/>
      <c r="H35" s="2442"/>
      <c r="I35" s="2442"/>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通路、通电、通讯、通上水、通下水、通热、燃气</v>
      </c>
      <c r="S35" s="3187"/>
      <c r="T35" s="138" t="str">
        <f>IF(T34="一通",L35,IF(T34="二通",M35,IF(T34="三通",N35,IF(T34="四通",O35,IF(T34="五通",P35,IF(T34="六通",Q35,R35))))))</f>
        <v>通路、通电、通讯、通上水、通下水、通热、燃气</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t="s">
        <v>29</v>
      </c>
      <c r="C37" s="2237"/>
      <c r="D37" s="2237"/>
      <c r="E37" s="2237"/>
      <c r="F37" s="2237" t="s">
        <v>29</v>
      </c>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218</v>
      </c>
      <c r="C38" s="2238"/>
      <c r="D38" s="2238"/>
      <c r="E38" s="2238"/>
      <c r="F38" s="2238" t="s">
        <v>234</v>
      </c>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17491.149999999998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17491.149999999998</v>
      </c>
      <c r="H5" s="13">
        <f t="shared" ref="H5:AT5" si="0">SUM(H13:H656)</f>
        <v>17491.149999999998</v>
      </c>
      <c r="I5" s="13">
        <f t="shared" si="0"/>
        <v>11862.369999999999</v>
      </c>
      <c r="J5" s="13">
        <f t="shared" si="0"/>
        <v>0</v>
      </c>
      <c r="K5" s="13">
        <f t="shared" si="0"/>
        <v>5628.78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17491.149999999998</v>
      </c>
      <c r="BA5" s="15">
        <f t="shared" si="1"/>
        <v>17491.149999999998</v>
      </c>
      <c r="BB5" s="15">
        <f t="shared" si="1"/>
        <v>11862.369999999999</v>
      </c>
      <c r="BC5" s="15">
        <f t="shared" si="1"/>
        <v>5628.78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3414</v>
      </c>
      <c r="J9" s="761"/>
      <c r="K9" s="1491" t="s">
        <v>3415</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4" t="s">
        <v>3412</v>
      </c>
      <c r="D13" s="1513" t="s">
        <v>3413</v>
      </c>
      <c r="E13" s="13">
        <f>IF($C$3="是",ROUND($A$3*G13/$B$3,2),ROUND($A$3*(G13-AT13)/$B$3,2))</f>
        <v>0</v>
      </c>
      <c r="F13" s="29"/>
      <c r="G13" s="30">
        <f>H13+AC13+AT13</f>
        <v>17491.149999999998</v>
      </c>
      <c r="H13" s="17">
        <f>SUMIF(I$12:AB$12,"总值",I13:AB13)</f>
        <v>17491.149999999998</v>
      </c>
      <c r="I13" s="1514">
        <f xml:space="preserve"> 面积!T5+面积!T6+面积!T7+面积!T8+面积!T9+面积!T10</f>
        <v>11862.369999999999</v>
      </c>
      <c r="J13" s="1514"/>
      <c r="K13" s="1514">
        <f>面积!T3+面积!T4</f>
        <v>5628.78</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17491.149999999998</v>
      </c>
      <c r="BA13" s="13">
        <f>SUM(BB13:BK13)</f>
        <v>17491.149999999998</v>
      </c>
      <c r="BB13" s="13">
        <f>IF($D13="是",I13-J13,0)</f>
        <v>11862.369999999999</v>
      </c>
      <c r="BC13" s="13">
        <f>IF($D13="是",K13-L13,0)</f>
        <v>5628.78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A807F-5F69-4D2E-9195-11F7616540DA}">
  <dimension ref="N2:V35"/>
  <sheetViews>
    <sheetView tabSelected="1" topLeftCell="J1" zoomScaleNormal="100" workbookViewId="0">
      <selection activeCell="T18" sqref="T18"/>
    </sheetView>
  </sheetViews>
  <sheetFormatPr defaultRowHeight="13.5"/>
  <cols>
    <col min="19" max="19" width="11" customWidth="1"/>
    <col min="22" max="22" width="10.5" bestFit="1" customWidth="1"/>
  </cols>
  <sheetData>
    <row r="2" spans="14:22">
      <c r="N2" s="1405" t="s">
        <v>3389</v>
      </c>
      <c r="O2" s="1405" t="s">
        <v>3390</v>
      </c>
      <c r="P2" s="1405" t="s">
        <v>3391</v>
      </c>
      <c r="Q2" s="1405" t="s">
        <v>3392</v>
      </c>
    </row>
    <row r="3" spans="14:22">
      <c r="N3">
        <v>1</v>
      </c>
      <c r="O3">
        <v>-206</v>
      </c>
      <c r="P3">
        <v>-2</v>
      </c>
      <c r="Q3">
        <v>12.56</v>
      </c>
      <c r="S3" s="1405" t="s">
        <v>3393</v>
      </c>
      <c r="T3">
        <f>Q3+Q4+Q5+Q6+Q7</f>
        <v>5531.7</v>
      </c>
      <c r="U3">
        <v>0.4</v>
      </c>
      <c r="V3">
        <f t="shared" ref="V3:V4" si="0">$V$5*U3</f>
        <v>16000</v>
      </c>
    </row>
    <row r="4" spans="14:22">
      <c r="N4">
        <v>2</v>
      </c>
      <c r="O4">
        <v>-205</v>
      </c>
      <c r="P4">
        <v>-2</v>
      </c>
      <c r="Q4">
        <v>62.06</v>
      </c>
      <c r="S4" s="1405" t="s">
        <v>3394</v>
      </c>
      <c r="T4">
        <f>Q8+Q9+Q10</f>
        <v>97.08</v>
      </c>
      <c r="U4">
        <v>0.5</v>
      </c>
      <c r="V4">
        <f t="shared" si="0"/>
        <v>20000</v>
      </c>
    </row>
    <row r="5" spans="14:22">
      <c r="N5">
        <v>3</v>
      </c>
      <c r="O5">
        <v>-203</v>
      </c>
      <c r="P5">
        <v>-2</v>
      </c>
      <c r="Q5">
        <v>48.28</v>
      </c>
      <c r="S5" s="1405" t="s">
        <v>3395</v>
      </c>
      <c r="T5">
        <f>Q11+Q12+Q13+Q14+Q15+Q16+Q17+Q18+Q19</f>
        <v>2046.83</v>
      </c>
      <c r="U5">
        <v>1</v>
      </c>
      <c r="V5">
        <v>40000</v>
      </c>
    </row>
    <row r="6" spans="14:22">
      <c r="N6">
        <v>4</v>
      </c>
      <c r="O6">
        <v>-202</v>
      </c>
      <c r="P6">
        <v>-2</v>
      </c>
      <c r="Q6">
        <v>47.8</v>
      </c>
      <c r="S6" s="1405" t="s">
        <v>3396</v>
      </c>
      <c r="T6">
        <f>Q20+Q21+Q22</f>
        <v>2201.2400000000002</v>
      </c>
      <c r="U6">
        <v>0.7</v>
      </c>
      <c r="V6">
        <f>$V$5*U6</f>
        <v>28000</v>
      </c>
    </row>
    <row r="7" spans="14:22">
      <c r="N7">
        <v>5</v>
      </c>
      <c r="O7">
        <v>-201</v>
      </c>
      <c r="P7">
        <v>-2</v>
      </c>
      <c r="Q7">
        <v>5361</v>
      </c>
      <c r="S7" s="1405" t="s">
        <v>3397</v>
      </c>
      <c r="T7">
        <f>Q23+Q24+Q25</f>
        <v>2220.41</v>
      </c>
      <c r="U7">
        <v>0.6</v>
      </c>
      <c r="V7">
        <f t="shared" ref="V7:V10" si="1">$V$5*U7</f>
        <v>24000</v>
      </c>
    </row>
    <row r="8" spans="14:22">
      <c r="N8">
        <v>6</v>
      </c>
      <c r="O8">
        <v>-103</v>
      </c>
      <c r="P8">
        <v>-1</v>
      </c>
      <c r="Q8">
        <v>3.43</v>
      </c>
      <c r="S8" s="1405" t="s">
        <v>3398</v>
      </c>
      <c r="T8">
        <f>Q26+Q27+Q28</f>
        <v>2051.1999999999998</v>
      </c>
      <c r="U8">
        <v>0.5</v>
      </c>
      <c r="V8">
        <f t="shared" si="1"/>
        <v>20000</v>
      </c>
    </row>
    <row r="9" spans="14:22">
      <c r="N9">
        <v>7</v>
      </c>
      <c r="O9">
        <v>-102</v>
      </c>
      <c r="P9">
        <v>-1</v>
      </c>
      <c r="Q9">
        <v>45.41</v>
      </c>
      <c r="S9" s="1405" t="s">
        <v>3399</v>
      </c>
      <c r="T9">
        <f>Q29+Q30+Q31</f>
        <v>1875.57</v>
      </c>
      <c r="U9">
        <v>0.5</v>
      </c>
      <c r="V9">
        <f t="shared" si="1"/>
        <v>20000</v>
      </c>
    </row>
    <row r="10" spans="14:22">
      <c r="N10">
        <v>8</v>
      </c>
      <c r="O10">
        <v>-101</v>
      </c>
      <c r="P10">
        <v>-1</v>
      </c>
      <c r="Q10">
        <v>48.24</v>
      </c>
      <c r="S10" s="1405" t="s">
        <v>3400</v>
      </c>
      <c r="T10">
        <f>Q32+Q33+Q34</f>
        <v>1467.12</v>
      </c>
      <c r="U10">
        <v>0.5</v>
      </c>
      <c r="V10">
        <f t="shared" si="1"/>
        <v>20000</v>
      </c>
    </row>
    <row r="11" spans="14:22">
      <c r="N11">
        <v>9</v>
      </c>
      <c r="O11">
        <v>101</v>
      </c>
      <c r="P11">
        <v>1</v>
      </c>
      <c r="Q11">
        <v>344.67</v>
      </c>
      <c r="T11">
        <f>SUM(T3:T10)</f>
        <v>17491.149999999998</v>
      </c>
      <c r="V11">
        <f>ROUND((V3*T3+V4*T4+V5*T5+V6*T6+V7*T7+V8*T8+V9*T9+V10*T10)/10000,0)</f>
        <v>39512</v>
      </c>
    </row>
    <row r="12" spans="14:22">
      <c r="N12">
        <v>10</v>
      </c>
      <c r="O12">
        <v>102</v>
      </c>
      <c r="P12">
        <v>1</v>
      </c>
      <c r="Q12">
        <v>346</v>
      </c>
    </row>
    <row r="13" spans="14:22">
      <c r="N13">
        <v>11</v>
      </c>
      <c r="O13">
        <v>103</v>
      </c>
      <c r="P13">
        <v>1</v>
      </c>
      <c r="Q13">
        <v>60.81</v>
      </c>
    </row>
    <row r="14" spans="14:22">
      <c r="N14">
        <v>12</v>
      </c>
      <c r="O14">
        <v>105</v>
      </c>
      <c r="P14">
        <v>1</v>
      </c>
      <c r="Q14">
        <v>107.08</v>
      </c>
    </row>
    <row r="15" spans="14:22">
      <c r="N15">
        <v>13</v>
      </c>
      <c r="O15">
        <v>106</v>
      </c>
      <c r="P15">
        <v>1</v>
      </c>
      <c r="Q15">
        <v>111.43</v>
      </c>
    </row>
    <row r="16" spans="14:22">
      <c r="N16">
        <v>14</v>
      </c>
      <c r="O16">
        <v>107</v>
      </c>
      <c r="P16">
        <v>1</v>
      </c>
      <c r="Q16">
        <v>62.5</v>
      </c>
    </row>
    <row r="17" spans="14:17">
      <c r="N17">
        <v>15</v>
      </c>
      <c r="O17">
        <v>108</v>
      </c>
      <c r="P17">
        <v>1</v>
      </c>
      <c r="Q17">
        <v>110.06</v>
      </c>
    </row>
    <row r="18" spans="14:17">
      <c r="N18">
        <v>16</v>
      </c>
      <c r="O18">
        <v>109</v>
      </c>
      <c r="P18">
        <v>1</v>
      </c>
      <c r="Q18">
        <v>115.6</v>
      </c>
    </row>
    <row r="19" spans="14:17">
      <c r="N19">
        <v>17</v>
      </c>
      <c r="O19">
        <v>110</v>
      </c>
      <c r="P19">
        <v>1</v>
      </c>
      <c r="Q19">
        <v>788.68</v>
      </c>
    </row>
    <row r="20" spans="14:17">
      <c r="N20">
        <v>18</v>
      </c>
      <c r="O20">
        <v>201</v>
      </c>
      <c r="P20">
        <v>2</v>
      </c>
      <c r="Q20">
        <v>854.47</v>
      </c>
    </row>
    <row r="21" spans="14:17">
      <c r="N21">
        <v>19</v>
      </c>
      <c r="O21">
        <v>202</v>
      </c>
      <c r="P21">
        <v>2</v>
      </c>
      <c r="Q21">
        <v>701.41</v>
      </c>
    </row>
    <row r="22" spans="14:17">
      <c r="N22">
        <v>20</v>
      </c>
      <c r="O22">
        <v>203</v>
      </c>
      <c r="P22">
        <v>2</v>
      </c>
      <c r="Q22">
        <v>645.36</v>
      </c>
    </row>
    <row r="23" spans="14:17">
      <c r="N23">
        <v>21</v>
      </c>
      <c r="O23">
        <v>301</v>
      </c>
      <c r="P23">
        <v>3</v>
      </c>
      <c r="Q23">
        <v>873.27</v>
      </c>
    </row>
    <row r="24" spans="14:17">
      <c r="N24">
        <v>22</v>
      </c>
      <c r="O24">
        <v>302</v>
      </c>
      <c r="P24">
        <v>3</v>
      </c>
      <c r="Q24">
        <v>701.41</v>
      </c>
    </row>
    <row r="25" spans="14:17">
      <c r="N25">
        <v>23</v>
      </c>
      <c r="O25">
        <v>303</v>
      </c>
      <c r="P25">
        <v>3</v>
      </c>
      <c r="Q25">
        <v>645.73</v>
      </c>
    </row>
    <row r="26" spans="14:17">
      <c r="N26">
        <v>24</v>
      </c>
      <c r="O26">
        <v>501</v>
      </c>
      <c r="P26">
        <v>4</v>
      </c>
      <c r="Q26">
        <v>873.27</v>
      </c>
    </row>
    <row r="27" spans="14:17">
      <c r="N27">
        <v>25</v>
      </c>
      <c r="O27">
        <v>502</v>
      </c>
      <c r="P27">
        <v>4</v>
      </c>
      <c r="Q27">
        <v>701.41</v>
      </c>
    </row>
    <row r="28" spans="14:17">
      <c r="N28">
        <v>26</v>
      </c>
      <c r="O28">
        <v>503</v>
      </c>
      <c r="P28">
        <v>4</v>
      </c>
      <c r="Q28">
        <v>476.52</v>
      </c>
    </row>
    <row r="29" spans="14:17">
      <c r="N29">
        <v>27</v>
      </c>
      <c r="O29">
        <v>601</v>
      </c>
      <c r="P29">
        <v>5</v>
      </c>
      <c r="Q29">
        <v>859.59</v>
      </c>
    </row>
    <row r="30" spans="14:17">
      <c r="N30">
        <v>28</v>
      </c>
      <c r="O30">
        <v>602</v>
      </c>
      <c r="P30">
        <v>5</v>
      </c>
      <c r="Q30">
        <v>941.37</v>
      </c>
    </row>
    <row r="31" spans="14:17">
      <c r="N31">
        <v>29</v>
      </c>
      <c r="O31">
        <v>603</v>
      </c>
      <c r="P31">
        <v>5</v>
      </c>
      <c r="Q31">
        <v>74.61</v>
      </c>
    </row>
    <row r="32" spans="14:17">
      <c r="N32">
        <v>30</v>
      </c>
      <c r="O32">
        <v>701</v>
      </c>
      <c r="P32">
        <v>6</v>
      </c>
      <c r="Q32">
        <v>841</v>
      </c>
    </row>
    <row r="33" spans="14:17">
      <c r="N33">
        <v>31</v>
      </c>
      <c r="O33">
        <v>702</v>
      </c>
      <c r="P33">
        <v>6</v>
      </c>
      <c r="Q33">
        <v>590.01</v>
      </c>
    </row>
    <row r="34" spans="14:17">
      <c r="N34">
        <v>32</v>
      </c>
      <c r="O34">
        <v>703</v>
      </c>
      <c r="P34">
        <v>6</v>
      </c>
      <c r="Q34">
        <v>36.11</v>
      </c>
    </row>
    <row r="35" spans="14:17">
      <c r="Q35">
        <f>SUM(Q3:Q34)</f>
        <v>17491.150000000005</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I14" sqref="I1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5" t="s">
        <v>1131</v>
      </c>
      <c r="B2" s="3225"/>
      <c r="C2" s="3225"/>
      <c r="D2" s="748" t="s">
        <v>1107</v>
      </c>
      <c r="E2" s="1523" t="s">
        <v>1108</v>
      </c>
      <c r="F2" s="2439"/>
      <c r="G2" s="2432"/>
      <c r="H2" s="2433"/>
      <c r="I2" s="2146" t="s">
        <v>1132</v>
      </c>
      <c r="J2" s="2439"/>
      <c r="K2" s="2439"/>
      <c r="L2" s="2439"/>
      <c r="M2" s="2439"/>
      <c r="N2" s="2440"/>
      <c r="O2" s="2439"/>
      <c r="P2" s="2439"/>
    </row>
    <row r="3" spans="1:16" ht="15.75" thickBot="1">
      <c r="A3" s="3226" t="s">
        <v>1105</v>
      </c>
      <c r="B3" s="3226"/>
      <c r="C3" s="3226"/>
      <c r="D3" s="41">
        <f>'数据-基础表'!AY6</f>
        <v>0</v>
      </c>
      <c r="E3" s="41">
        <f>'数据-基础表'!AZ5</f>
        <v>17491.149999999998</v>
      </c>
      <c r="F3" s="2439"/>
      <c r="G3" s="42"/>
      <c r="H3" s="43" t="s">
        <v>1106</v>
      </c>
      <c r="I3" s="802" t="e">
        <f>ROUND('数据-基础表'!B3/'数据-基础表'!A3,2)</f>
        <v>#DIV/0!</v>
      </c>
      <c r="J3" s="2439"/>
      <c r="K3" s="2439"/>
      <c r="L3" s="2439"/>
      <c r="M3" s="2439"/>
      <c r="N3" s="2440"/>
      <c r="O3" s="2439"/>
      <c r="P3" s="2439"/>
    </row>
    <row r="4" spans="1:16" ht="15">
      <c r="A4" s="3227"/>
      <c r="B4" s="3228"/>
      <c r="C4" s="322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0" t="s">
        <v>1110</v>
      </c>
      <c r="C5" s="323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0" t="s">
        <v>1111</v>
      </c>
      <c r="C6" s="3230"/>
      <c r="D6" s="43">
        <f>ROUND($D$3*E6/$E$3,2)</f>
        <v>0</v>
      </c>
      <c r="E6" s="44">
        <f>E3-E5</f>
        <v>17491.149999999998</v>
      </c>
      <c r="F6" s="2439"/>
      <c r="G6" s="1529" t="s">
        <v>1112</v>
      </c>
      <c r="H6" s="45" t="s">
        <v>1113</v>
      </c>
      <c r="I6" s="2435" t="e">
        <f>ROUND(F31/D31,2)</f>
        <v>#DIV/0!</v>
      </c>
      <c r="J6" s="2439"/>
      <c r="K6" s="2439"/>
      <c r="L6" s="2439"/>
      <c r="M6" s="2439"/>
      <c r="N6" s="2439"/>
      <c r="O6" s="2439"/>
      <c r="P6" s="2439"/>
    </row>
    <row r="7" spans="1:16" ht="15.75" thickBot="1">
      <c r="A7" s="3222"/>
      <c r="B7" s="3223"/>
      <c r="C7" s="322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11862.369999999999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5628.78</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17491.149999999998</v>
      </c>
      <c r="F16" s="2439"/>
      <c r="G16" s="2439"/>
      <c r="H16" s="1531" t="s">
        <v>1135</v>
      </c>
      <c r="I16" s="1532"/>
      <c r="J16" s="1071"/>
      <c r="K16" s="3219" t="s">
        <v>1135</v>
      </c>
      <c r="L16" s="3220"/>
      <c r="M16" s="3220"/>
      <c r="N16" s="3220"/>
      <c r="O16" s="3220"/>
      <c r="P16" s="3221"/>
    </row>
    <row r="17" spans="1:19" ht="15">
      <c r="A17" s="1533" t="s">
        <v>1136</v>
      </c>
      <c r="B17" s="1534" t="s">
        <v>1137</v>
      </c>
      <c r="C17" s="1535" t="s">
        <v>1138</v>
      </c>
      <c r="D17" s="1536" t="s">
        <v>1126</v>
      </c>
      <c r="E17" s="1537" t="s">
        <v>1127</v>
      </c>
      <c r="F17" s="1538"/>
      <c r="G17" s="1539"/>
      <c r="H17" s="1540" t="s">
        <v>1139</v>
      </c>
      <c r="I17" s="1541" t="s">
        <v>1124</v>
      </c>
      <c r="J17" s="1071"/>
      <c r="K17" s="3216" t="s">
        <v>1140</v>
      </c>
      <c r="L17" s="3217"/>
      <c r="M17" s="3218"/>
      <c r="N17" s="3216" t="s">
        <v>1141</v>
      </c>
      <c r="O17" s="3217"/>
      <c r="P17" s="321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3416</v>
      </c>
      <c r="D19" s="43">
        <f>ROUND($D$3*E19/$E$3,2)</f>
        <v>0</v>
      </c>
      <c r="E19" s="51">
        <f t="shared" ref="E19:E26" si="1">SUM(F19:G19)</f>
        <v>17491.149999999998</v>
      </c>
      <c r="F19" s="2558">
        <f>'数据-基础表'!I13</f>
        <v>11862.369999999999</v>
      </c>
      <c r="G19" s="1243">
        <f>'数据-基础表'!K13</f>
        <v>5628.78</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17491.149999999998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17491.149999999998</v>
      </c>
      <c r="F27" s="1072">
        <f>IF(SUM(F19:F26)=E8,SUM(F19:F26),"地上面积有误")</f>
        <v>11862.369999999999</v>
      </c>
      <c r="G27" s="1074">
        <f>SUM(G19:G26)</f>
        <v>5628.78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17491.149999999998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17491.149999999998</v>
      </c>
      <c r="F31" s="644">
        <f>F27+F30</f>
        <v>11862.369999999999</v>
      </c>
      <c r="G31" s="645">
        <f>G27+G30</f>
        <v>5628.78</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2.6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45610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52834</v>
      </c>
      <c r="F6" s="61">
        <f>SUMIF(项目基本情况!C$12:I$12,C6,项目基本情况!C$15:I$15)</f>
        <v>19.79</v>
      </c>
      <c r="G6" s="62">
        <f>IF(ISERROR(ROUND(POWER(1+H6,D6-F6)*(POWER(1+H6,F6)-1)/(POWER(1+H6,D6)-1),3)),0,ROUND(POWER(1+H6,D6-F6)*(POWER(1+H6,F6)-1)/(POWER(1+H6,D6)-1),3))</f>
        <v>0.74</v>
      </c>
      <c r="H6" s="691">
        <v>5.5E-2</v>
      </c>
      <c r="I6" s="691">
        <v>0.06</v>
      </c>
      <c r="J6" s="63">
        <v>7.4999999999999997E-2</v>
      </c>
      <c r="K6" s="970">
        <f>SUMIF('数据-汇总表'!C$19:C$33,A6,'数据-汇总表'!E$19:E$33)</f>
        <v>17491.149999999998</v>
      </c>
      <c r="L6" s="692">
        <v>5000</v>
      </c>
      <c r="M6" s="64">
        <f t="shared" ref="M6:M14" si="0">ROUND(K6*L6/10000,0)</f>
        <v>8746</v>
      </c>
      <c r="N6" s="690">
        <f>ROUND((1-(2024-2011)/60+80%)/2,2)</f>
        <v>0.79</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30000000</v>
      </c>
      <c r="V6" s="67">
        <v>0.02</v>
      </c>
      <c r="W6" s="67">
        <v>0.1</v>
      </c>
      <c r="X6" s="979"/>
      <c r="Y6" s="68">
        <f>N6</f>
        <v>0.79</v>
      </c>
      <c r="Z6" s="69"/>
      <c r="AA6" s="63"/>
      <c r="AB6" s="63"/>
      <c r="AC6" s="979"/>
      <c r="AD6" s="70"/>
      <c r="AE6" s="980">
        <f ca="1">IF(AN6="",0,SUMIF(INDIRECT("'"&amp;AN6&amp;"'"&amp;"!E:E"),$AE$5,INDIRECT("'"&amp;AN6&amp;"'"&amp;"!F:F")))</f>
        <v>19.79</v>
      </c>
      <c r="AF6" s="74"/>
      <c r="AG6" s="130">
        <f>IF(AF6="",0,AE6-AF6)</f>
        <v>0</v>
      </c>
      <c r="AH6" s="71">
        <v>1</v>
      </c>
      <c r="AI6" s="73">
        <v>1</v>
      </c>
      <c r="AJ6" s="74"/>
      <c r="AK6" s="75">
        <v>5.0000000000000001E-3</v>
      </c>
      <c r="AL6" s="76">
        <v>1.5E-3</v>
      </c>
      <c r="AM6" s="77">
        <v>0.02</v>
      </c>
      <c r="AN6" s="1589" t="s">
        <v>3418</v>
      </c>
      <c r="AO6" s="50">
        <f ca="1">SUMIF(INDIRECT("'"&amp;AN6&amp;"'"&amp;"!A:A"),"总价",INDIRECT("'"&amp;AN6&amp;"'"&amp;"!B:B"))</f>
        <v>29477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0.74</v>
      </c>
      <c r="H16" s="84">
        <f>ROUND(SUMPRODUCT(H6:H13,K6:K13)/SUMPRODUCT((H6:H13&gt;0)*(K6:K13)),3)</f>
        <v>5.5E-2</v>
      </c>
      <c r="I16" s="85"/>
      <c r="J16" s="85"/>
      <c r="K16" s="86">
        <f>SUM(K6:K15)</f>
        <v>17491.149999999998</v>
      </c>
      <c r="L16" s="87">
        <f>ROUND(M16*10000/SUM(K6:K14),0)</f>
        <v>5000</v>
      </c>
      <c r="M16" s="87">
        <f>SUM(M6:M14)</f>
        <v>8746</v>
      </c>
      <c r="N16" s="88">
        <f>ROUND(SUMPRODUCT(M6:M14,N6:N14)/M16,3)</f>
        <v>0.79</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v>0</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3378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2312</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1" t="s">
        <v>2286</v>
      </c>
      <c r="B1" s="3232"/>
      <c r="C1" s="3232"/>
      <c r="D1" s="3232"/>
      <c r="E1" s="3232"/>
      <c r="F1" s="3232"/>
      <c r="G1" s="323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20" sqref="I2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45610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15058</v>
      </c>
      <c r="D5" s="2300" t="e">
        <f>ROUND(B5*10000/$B$2,0)</f>
        <v>#DIV/0!</v>
      </c>
      <c r="E5" s="2462"/>
      <c r="F5" s="2463"/>
      <c r="G5" s="2463"/>
      <c r="H5" s="2463"/>
      <c r="I5" s="2463"/>
      <c r="J5" s="2463"/>
      <c r="K5" s="2463"/>
    </row>
    <row r="6" spans="1:11" ht="16.5">
      <c r="A6" s="2300" t="s">
        <v>656</v>
      </c>
      <c r="B6" s="2300">
        <f>SUM(G14:G23)</f>
        <v>0</v>
      </c>
      <c r="C6" s="2300">
        <f ca="1">IF(B6=G14,结果表!H108,ROUND(B6*10000/$B$1,0))</f>
        <v>15058</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3357</v>
      </c>
      <c r="D10" s="2300" t="s">
        <v>3358</v>
      </c>
      <c r="E10" s="3136"/>
      <c r="F10" s="3140" t="s">
        <v>3359</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11" sqref="H1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3434</v>
      </c>
      <c r="H1" s="1621" t="str">
        <f>IF(G1="现房","——","估价对象范围")</f>
        <v>——</v>
      </c>
      <c r="I1" s="1622" t="s">
        <v>3435</v>
      </c>
    </row>
    <row r="2" spans="1:12" ht="21.75" customHeight="1" thickBot="1">
      <c r="A2" s="3267" t="str">
        <f>项目基本情况!S2</f>
        <v>北京市房地产</v>
      </c>
      <c r="B2" s="3268"/>
      <c r="C2" s="3268"/>
      <c r="D2" s="3268"/>
      <c r="E2" s="3268"/>
      <c r="F2" s="3268"/>
      <c r="G2" s="3268"/>
      <c r="H2" s="3268"/>
      <c r="I2" s="3269"/>
    </row>
    <row r="3" spans="1:12" ht="12.75">
      <c r="A3" s="3271" t="s">
        <v>1264</v>
      </c>
      <c r="B3" s="3272"/>
      <c r="C3" s="3272"/>
      <c r="D3" s="3272"/>
      <c r="E3" s="3272"/>
      <c r="F3" s="3272"/>
      <c r="G3" s="3272"/>
      <c r="H3" s="3272"/>
      <c r="I3" s="3272"/>
    </row>
    <row r="4" spans="1:12" ht="14.25">
      <c r="A4" s="1624" t="s">
        <v>1265</v>
      </c>
      <c r="B4" s="1625" t="s">
        <v>1266</v>
      </c>
      <c r="C4" s="1626" t="s">
        <v>3431</v>
      </c>
      <c r="D4" s="1626" t="s">
        <v>3418</v>
      </c>
      <c r="E4" s="3273" t="s">
        <v>1267</v>
      </c>
      <c r="F4" s="3274"/>
      <c r="G4" s="3274"/>
      <c r="H4" s="3274"/>
      <c r="I4" s="327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7" t="s">
        <v>1268</v>
      </c>
      <c r="B5" s="3234">
        <v>25</v>
      </c>
      <c r="C5" s="3250"/>
      <c r="D5" s="3270"/>
      <c r="E5" s="123" t="s">
        <v>1269</v>
      </c>
      <c r="F5" s="1627"/>
      <c r="G5" s="1627"/>
      <c r="H5" s="1627"/>
      <c r="I5" s="1281"/>
    </row>
    <row r="6" spans="1:12" ht="12.75">
      <c r="A6" s="3247"/>
      <c r="B6" s="3234"/>
      <c r="C6" s="3251"/>
      <c r="D6" s="3270"/>
      <c r="E6" s="123" t="s">
        <v>1270</v>
      </c>
      <c r="F6" s="1627"/>
      <c r="G6" s="1627"/>
      <c r="H6" s="1627"/>
      <c r="I6" s="1281"/>
    </row>
    <row r="7" spans="1:12" ht="12.75">
      <c r="A7" s="3247"/>
      <c r="B7" s="3234"/>
      <c r="C7" s="3252"/>
      <c r="D7" s="3270"/>
      <c r="E7" s="123" t="s">
        <v>1271</v>
      </c>
      <c r="F7" s="1627"/>
      <c r="G7" s="1627"/>
      <c r="H7" s="1627"/>
      <c r="I7" s="1281"/>
    </row>
    <row r="8" spans="1:12" ht="12.75">
      <c r="A8" s="3247" t="s">
        <v>1272</v>
      </c>
      <c r="B8" s="3234">
        <v>15</v>
      </c>
      <c r="C8" s="3250"/>
      <c r="D8" s="3270"/>
      <c r="E8" s="123" t="s">
        <v>1273</v>
      </c>
      <c r="F8" s="1627"/>
      <c r="G8" s="1627"/>
      <c r="H8" s="1627"/>
      <c r="I8" s="1281"/>
    </row>
    <row r="9" spans="1:12" ht="12.75">
      <c r="A9" s="3247"/>
      <c r="B9" s="3234"/>
      <c r="C9" s="3252"/>
      <c r="D9" s="3270"/>
      <c r="E9" s="123" t="s">
        <v>1274</v>
      </c>
      <c r="F9" s="1627"/>
      <c r="G9" s="1627"/>
      <c r="H9" s="1627"/>
      <c r="I9" s="1281"/>
    </row>
    <row r="10" spans="1:12" ht="12.75">
      <c r="A10" s="3247" t="s">
        <v>1275</v>
      </c>
      <c r="B10" s="3234">
        <v>15</v>
      </c>
      <c r="C10" s="3250"/>
      <c r="D10" s="3270"/>
      <c r="E10" s="123" t="s">
        <v>1276</v>
      </c>
      <c r="F10" s="1627"/>
      <c r="G10" s="1627"/>
      <c r="H10" s="1627"/>
      <c r="I10" s="1281"/>
    </row>
    <row r="11" spans="1:12" ht="12.75">
      <c r="A11" s="3247"/>
      <c r="B11" s="3234"/>
      <c r="C11" s="3252"/>
      <c r="D11" s="3270"/>
      <c r="E11" s="123" t="s">
        <v>1277</v>
      </c>
      <c r="F11" s="1627"/>
      <c r="G11" s="1627"/>
      <c r="H11" s="1627"/>
      <c r="I11" s="1281"/>
    </row>
    <row r="12" spans="1:12" ht="12.75">
      <c r="A12" s="3247" t="s">
        <v>1278</v>
      </c>
      <c r="B12" s="3234">
        <v>15</v>
      </c>
      <c r="C12" s="3250"/>
      <c r="D12" s="3270"/>
      <c r="E12" s="123" t="s">
        <v>1279</v>
      </c>
      <c r="F12" s="1627"/>
      <c r="G12" s="1627"/>
      <c r="H12" s="1627"/>
      <c r="I12" s="1281"/>
    </row>
    <row r="13" spans="1:12" ht="12.75">
      <c r="A13" s="3247"/>
      <c r="B13" s="3234"/>
      <c r="C13" s="3252"/>
      <c r="D13" s="3270"/>
      <c r="E13" s="123" t="s">
        <v>1280</v>
      </c>
      <c r="F13" s="1627"/>
      <c r="G13" s="1627"/>
      <c r="H13" s="1627"/>
      <c r="I13" s="1281"/>
    </row>
    <row r="14" spans="1:12" ht="12.75">
      <c r="A14" s="3247" t="s">
        <v>1281</v>
      </c>
      <c r="B14" s="3234">
        <v>30</v>
      </c>
      <c r="C14" s="3250">
        <v>5</v>
      </c>
      <c r="D14" s="3270">
        <v>5</v>
      </c>
      <c r="E14" s="123" t="s">
        <v>1282</v>
      </c>
      <c r="F14" s="1627"/>
      <c r="G14" s="1627"/>
      <c r="H14" s="1627"/>
      <c r="I14" s="1281"/>
    </row>
    <row r="15" spans="1:12" ht="12.75">
      <c r="A15" s="3247"/>
      <c r="B15" s="3234"/>
      <c r="C15" s="3251"/>
      <c r="D15" s="3270"/>
      <c r="E15" s="123" t="s">
        <v>1283</v>
      </c>
      <c r="F15" s="1627"/>
      <c r="G15" s="1627"/>
      <c r="H15" s="1627"/>
      <c r="I15" s="1281"/>
    </row>
    <row r="16" spans="1:12" ht="12.75">
      <c r="A16" s="3247"/>
      <c r="B16" s="3234"/>
      <c r="C16" s="3252"/>
      <c r="D16" s="3270"/>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57" t="s">
        <v>2131</v>
      </c>
      <c r="F18" s="3258"/>
      <c r="G18" s="3258"/>
      <c r="H18" s="3258"/>
      <c r="I18" s="3258"/>
      <c r="K18" s="294" t="s">
        <v>1289</v>
      </c>
      <c r="L18" s="294">
        <f>IF(C1="",'数据-汇总表'!E3,SUMIF(项目类型,C1,'数据-汇总表'!E17:E26)+SUMIF(项目类型,C1,'数据-汇总表'!I17:I26))</f>
        <v>17491.149999999998</v>
      </c>
      <c r="M18" s="294">
        <f>IF(C1="",'数据-汇总表'!E3,SUMIF(项目类型,C1,'数据-汇总表'!E17:E26))</f>
        <v>17491.149999999998</v>
      </c>
    </row>
    <row r="19" spans="1:36" ht="15">
      <c r="A19" s="1630" t="s">
        <v>1290</v>
      </c>
      <c r="B19" s="1631" t="s">
        <v>1291</v>
      </c>
      <c r="C19" s="126">
        <f ca="1">SUMIF(INDIRECT("'"&amp;C4&amp;"'"&amp;"!A:A"),结果表!B19,INDIRECT("'"&amp;C4&amp;"'"&amp;"!B:B"))</f>
        <v>23199</v>
      </c>
      <c r="D19" s="127">
        <f ca="1">SUMIF(INDIRECT("'"&amp;D4&amp;"'"&amp;"!A:A"),结果表!B19,INDIRECT("'"&amp;D4&amp;"'"&amp;"!B:B"))</f>
        <v>29477</v>
      </c>
      <c r="E19" s="1630" t="s">
        <v>1292</v>
      </c>
      <c r="F19" s="1631" t="s">
        <v>1291</v>
      </c>
      <c r="G19" s="128">
        <f ca="1">ROUND(C19*$C$18+D19*$D$18,0)</f>
        <v>26338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13263</v>
      </c>
      <c r="D20" s="130">
        <f ca="1">SUMIF(INDIRECT("'"&amp;D4&amp;"'"&amp;"!A:A"),结果表!B20,INDIRECT("'"&amp;D4&amp;"'"&amp;"!B:B"))</f>
        <v>16853</v>
      </c>
      <c r="E20" s="1633"/>
      <c r="F20" s="43" t="s">
        <v>1295</v>
      </c>
      <c r="G20" s="131">
        <f ca="1">ROUND(C20*$C$18+D20*$D$18,0)</f>
        <v>15058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0.27061511272037597</v>
      </c>
      <c r="E22" s="121"/>
      <c r="F22" s="121"/>
      <c r="G22" s="121"/>
      <c r="H22" s="121"/>
      <c r="I22" s="121"/>
    </row>
    <row r="23" spans="1:36" ht="13.5" thickBot="1">
      <c r="A23" s="646"/>
      <c r="B23" s="646"/>
      <c r="C23" s="646"/>
      <c r="D23" s="646"/>
      <c r="E23" s="121"/>
      <c r="F23" s="121"/>
      <c r="G23" s="121"/>
      <c r="H23" s="121"/>
      <c r="I23" s="121"/>
    </row>
    <row r="24" spans="1:36" ht="14.25">
      <c r="A24" s="3241" t="s">
        <v>1299</v>
      </c>
      <c r="B24" s="1631" t="s">
        <v>1291</v>
      </c>
      <c r="C24" s="128">
        <f>IF(B30=0,0,D30)</f>
        <v>0</v>
      </c>
      <c r="D24" s="1637"/>
      <c r="E24" s="121"/>
      <c r="F24" s="121"/>
      <c r="G24" s="121"/>
      <c r="H24" s="121"/>
      <c r="I24" s="121"/>
    </row>
    <row r="25" spans="1:36" ht="14.25">
      <c r="A25" s="324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26338</v>
      </c>
      <c r="D32" s="1641" t="s">
        <v>3432</v>
      </c>
      <c r="E32" s="121"/>
      <c r="F32" s="121"/>
      <c r="G32" s="121"/>
      <c r="H32" s="121"/>
      <c r="I32" s="121"/>
    </row>
    <row r="33" spans="1:15" ht="15">
      <c r="A33" s="740" t="s">
        <v>1306</v>
      </c>
      <c r="B33" s="123"/>
      <c r="C33" s="1642" t="s">
        <v>3433</v>
      </c>
      <c r="D33" s="1643" t="s">
        <v>3431</v>
      </c>
      <c r="E33" s="1644" t="s">
        <v>1307</v>
      </c>
      <c r="F33" s="1645" t="str">
        <f>IF(D32="楼面单价","取值（单价）","取值（总价）")</f>
        <v>取值（总价）</v>
      </c>
      <c r="G33" s="121"/>
      <c r="H33" s="121"/>
      <c r="I33" s="121"/>
    </row>
    <row r="34" spans="1:15" ht="15">
      <c r="A34" s="1646"/>
      <c r="B34" s="1647" t="s">
        <v>1308</v>
      </c>
      <c r="C34" s="140">
        <f ca="1">IF(C33="自定义",F34,C32-C35)</f>
        <v>14328</v>
      </c>
      <c r="D34" s="808">
        <f ca="1">IF(C33="自定义",ROUND(C34/C32,3),IF(C33="收益比率",SUMIF(INDIRECT("'"&amp;D33&amp;"'"&amp;"!b:b"),"土地收益比率",INDIRECT("'"&amp;D33&amp;"'"&amp;"!c:c")),SUMIF(INDIRECT("'"&amp;D33&amp;"'"&amp;"!b:b"),"土地成本比率",INDIRECT("'"&amp;D33&amp;"'"&amp;"!c:c"))))</f>
        <v>0.54400000000000004</v>
      </c>
      <c r="E34" s="1648" t="s">
        <v>1309</v>
      </c>
      <c r="F34" s="1243"/>
      <c r="G34" s="121"/>
      <c r="H34" s="121"/>
      <c r="I34" s="121"/>
    </row>
    <row r="35" spans="1:15" ht="15.75" thickBot="1">
      <c r="A35" s="1649"/>
      <c r="B35" s="1650" t="s">
        <v>1310</v>
      </c>
      <c r="C35" s="1090">
        <f ca="1">IF(C33="自定义",F35,ROUND(C32*D35,0))</f>
        <v>12010</v>
      </c>
      <c r="D35" s="1091">
        <f ca="1">IF(C33="自定义",ROUND(C35/C32,3),IF(C33="收益比率",SUMIF(INDIRECT("'"&amp;D33&amp;"'"&amp;"!b:b"),"建筑物收益比率",INDIRECT("'"&amp;D33&amp;"'"&amp;"!c:c")),SUMIF(INDIRECT("'"&amp;D33&amp;"'"&amp;"!b:b"),"建筑物成本比率",INDIRECT("'"&amp;D33&amp;"'"&amp;"!c:c"))))</f>
        <v>0.45600000000000002</v>
      </c>
      <c r="E35" s="1651" t="s">
        <v>1311</v>
      </c>
      <c r="F35" s="146"/>
      <c r="G35" s="121"/>
      <c r="H35" s="121"/>
      <c r="I35" s="121"/>
    </row>
    <row r="36" spans="1:15" ht="15.75" thickBot="1">
      <c r="A36" s="3261" t="s">
        <v>1312</v>
      </c>
      <c r="B36" s="1652" t="s">
        <v>1313</v>
      </c>
      <c r="C36" s="137"/>
      <c r="D36" s="1653"/>
      <c r="E36" s="1567"/>
      <c r="F36" s="1654"/>
      <c r="G36" s="121"/>
      <c r="H36" s="121"/>
      <c r="I36" s="121"/>
    </row>
    <row r="37" spans="1:15" ht="15.75" thickBot="1">
      <c r="A37" s="3262"/>
      <c r="B37" s="1555" t="s">
        <v>1314</v>
      </c>
      <c r="C37" s="139"/>
      <c r="D37" s="1071"/>
      <c r="E37" s="1071"/>
      <c r="F37" s="1654"/>
      <c r="G37" s="121"/>
      <c r="H37" s="121"/>
      <c r="I37" s="121"/>
    </row>
    <row r="38" spans="1:15" ht="15.75" thickBot="1">
      <c r="A38" s="326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38" t="s">
        <v>1326</v>
      </c>
      <c r="B45" s="3239"/>
      <c r="C45" s="3240"/>
      <c r="D45" s="147">
        <f ca="1">ROUND(H101*F45,0)</f>
        <v>26338</v>
      </c>
      <c r="E45" s="148" t="s">
        <v>1327</v>
      </c>
      <c r="F45" s="149">
        <v>1</v>
      </c>
      <c r="G45" s="150" t="s">
        <v>1328</v>
      </c>
      <c r="H45" s="121"/>
      <c r="I45" s="121"/>
      <c r="J45" s="3316" t="s">
        <v>1329</v>
      </c>
      <c r="K45" s="3316"/>
      <c r="L45" s="3316"/>
      <c r="M45" s="3316"/>
      <c r="N45" s="3316"/>
      <c r="O45" s="3316"/>
    </row>
    <row r="46" spans="1:15" ht="14.25" customHeight="1">
      <c r="A46" s="3235" t="s">
        <v>1330</v>
      </c>
      <c r="B46" s="3236"/>
      <c r="C46" s="3236"/>
      <c r="D46" s="3236"/>
      <c r="E46" s="3236"/>
      <c r="F46" s="3236"/>
      <c r="G46" s="3237"/>
      <c r="H46" s="1668"/>
      <c r="I46" s="151"/>
      <c r="J46" s="2310">
        <v>1</v>
      </c>
      <c r="K46" s="3297" t="s">
        <v>1331</v>
      </c>
      <c r="L46" s="3297"/>
      <c r="M46" s="3317"/>
      <c r="N46" s="3317"/>
      <c r="O46" s="3317"/>
    </row>
    <row r="47" spans="1:15" ht="12" customHeight="1">
      <c r="A47" s="152" t="s">
        <v>1332</v>
      </c>
      <c r="B47" s="153"/>
      <c r="C47" s="154"/>
      <c r="D47" s="1024" t="s">
        <v>1333</v>
      </c>
      <c r="E47" s="294" t="s">
        <v>1334</v>
      </c>
      <c r="F47" s="155" t="s">
        <v>1335</v>
      </c>
      <c r="G47" s="2333" t="s">
        <v>1336</v>
      </c>
      <c r="H47" s="2334"/>
      <c r="I47" s="151"/>
      <c r="J47" s="2310">
        <v>2</v>
      </c>
      <c r="K47" s="3297" t="s">
        <v>1337</v>
      </c>
      <c r="L47" s="3297"/>
      <c r="M47" s="3318">
        <f>'数据-取费表'!B2</f>
        <v>45610</v>
      </c>
      <c r="N47" s="3318"/>
      <c r="O47" s="3318"/>
    </row>
    <row r="48" spans="1:15" ht="25.5">
      <c r="A48" s="3266" t="s">
        <v>1338</v>
      </c>
      <c r="B48" s="3249"/>
      <c r="C48" s="324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97" t="s">
        <v>1340</v>
      </c>
      <c r="L48" s="3297"/>
      <c r="M48" s="3319">
        <f ca="1">H101</f>
        <v>26338</v>
      </c>
      <c r="N48" s="3319"/>
      <c r="O48" s="3319"/>
    </row>
    <row r="49" spans="1:35" ht="25.5" customHeight="1">
      <c r="A49" s="2152" t="s">
        <v>1341</v>
      </c>
      <c r="B49" s="3233" t="s">
        <v>1342</v>
      </c>
      <c r="C49" s="3233"/>
      <c r="D49" s="1478">
        <v>0</v>
      </c>
      <c r="E49" s="316" t="s">
        <v>1343</v>
      </c>
      <c r="F49" s="2233" t="s">
        <v>28</v>
      </c>
      <c r="G49" s="3303"/>
      <c r="H49" s="2134" t="s">
        <v>2134</v>
      </c>
      <c r="I49" s="2135"/>
      <c r="J49" s="2310">
        <v>4</v>
      </c>
      <c r="K49" s="3297" t="str">
        <f>IF(项目基本情况!E8="房地产抵押价值","房地产抵押价值","抵押担保权已注销时的房地产抵押价值")</f>
        <v>房地产抵押价值</v>
      </c>
      <c r="L49" s="3297"/>
      <c r="M49" s="3319">
        <f ca="1">IF(项目基本情况!E8="房地产抵押价值",H107,H109)</f>
        <v>26338</v>
      </c>
      <c r="N49" s="3319"/>
      <c r="O49" s="3319"/>
    </row>
    <row r="50" spans="1:35" ht="25.5" customHeight="1">
      <c r="A50" s="2338"/>
      <c r="B50" s="3233" t="s">
        <v>1344</v>
      </c>
      <c r="C50" s="3233"/>
      <c r="D50" s="2189"/>
      <c r="E50" s="323"/>
      <c r="F50" s="2233"/>
      <c r="G50" s="3304"/>
      <c r="H50" s="2136" t="s">
        <v>2135</v>
      </c>
      <c r="I50" s="2135"/>
      <c r="J50" s="3316" t="s">
        <v>1345</v>
      </c>
      <c r="K50" s="3316"/>
      <c r="L50" s="3316"/>
      <c r="M50" s="3316"/>
      <c r="N50" s="3316"/>
      <c r="O50" s="3316"/>
    </row>
    <row r="51" spans="1:35" ht="20.45" customHeight="1">
      <c r="A51" s="2339"/>
      <c r="B51" s="3233" t="s">
        <v>1346</v>
      </c>
      <c r="C51" s="3233"/>
      <c r="D51" s="1024"/>
      <c r="E51" s="319"/>
      <c r="F51" s="2233"/>
      <c r="G51" s="3305"/>
      <c r="H51" s="2136" t="s">
        <v>2136</v>
      </c>
      <c r="I51" s="2135"/>
      <c r="J51" s="2311" t="s">
        <v>1347</v>
      </c>
      <c r="K51" s="3297" t="s">
        <v>1348</v>
      </c>
      <c r="L51" s="3297"/>
      <c r="M51" s="2311" t="s">
        <v>1349</v>
      </c>
      <c r="N51" s="2311" t="s">
        <v>1350</v>
      </c>
      <c r="O51" s="2311" t="s">
        <v>1351</v>
      </c>
    </row>
    <row r="52" spans="1:35" ht="24" customHeight="1">
      <c r="A52" s="2153" t="s">
        <v>1352</v>
      </c>
      <c r="B52" s="3233" t="s">
        <v>1353</v>
      </c>
      <c r="C52" s="3233"/>
      <c r="D52" s="1024">
        <f ca="1">ROUND(D45*'数据-取费表'!B41/(1+'数据-取费表'!C42),0)</f>
        <v>1405</v>
      </c>
      <c r="E52" s="1256" t="s">
        <v>1354</v>
      </c>
      <c r="F52" s="2340">
        <f>'数据-取费表'!B41</f>
        <v>5.6000000000000001E-2</v>
      </c>
      <c r="G52" s="2341"/>
      <c r="H52" s="2331"/>
      <c r="I52" s="1669"/>
      <c r="J52" s="2310">
        <v>1</v>
      </c>
      <c r="K52" s="3298" t="s">
        <v>1355</v>
      </c>
      <c r="L52" s="3298"/>
      <c r="M52" s="2312" t="b">
        <f>D48</f>
        <v>0</v>
      </c>
      <c r="N52" s="2310" t="str">
        <f>E48</f>
        <v>销售额×税（费）率</v>
      </c>
      <c r="O52" s="2313">
        <f>F48</f>
        <v>5.6000000000000001E-2</v>
      </c>
    </row>
    <row r="53" spans="1:35" ht="12" customHeight="1">
      <c r="A53" s="2153" t="s">
        <v>1356</v>
      </c>
      <c r="B53" s="3259" t="s">
        <v>2291</v>
      </c>
      <c r="C53" s="3260"/>
      <c r="D53" s="1024">
        <f ca="1">ROUND(D45*'数据-取费表'!B41/(1+'数据-取费表'!C42),0)</f>
        <v>1405</v>
      </c>
      <c r="E53" s="1256" t="s">
        <v>1354</v>
      </c>
      <c r="F53" s="2340">
        <f>'数据-取费表'!B41</f>
        <v>5.6000000000000001E-2</v>
      </c>
      <c r="G53" s="2341"/>
      <c r="H53" s="2331"/>
      <c r="I53" s="1669"/>
      <c r="J53" s="2310">
        <v>2</v>
      </c>
      <c r="K53" s="3298" t="s">
        <v>1357</v>
      </c>
      <c r="L53" s="3298"/>
      <c r="M53" s="2312">
        <f t="shared" ref="M53:O54" ca="1" si="0">D55</f>
        <v>13</v>
      </c>
      <c r="N53" s="2310" t="str">
        <f t="shared" si="0"/>
        <v>销售额×税（费）率</v>
      </c>
      <c r="O53" s="2313" t="str">
        <f t="shared" si="0"/>
        <v>免征</v>
      </c>
    </row>
    <row r="54" spans="1:35" ht="12" customHeight="1">
      <c r="A54" s="2153" t="s">
        <v>1358</v>
      </c>
      <c r="B54" s="3259" t="s">
        <v>2292</v>
      </c>
      <c r="C54" s="3260"/>
      <c r="D54" s="1024">
        <f ca="1">C68</f>
        <v>1405</v>
      </c>
      <c r="E54" s="319" t="s">
        <v>1359</v>
      </c>
      <c r="F54" s="2340">
        <f>'数据-取费表'!B41</f>
        <v>5.6000000000000001E-2</v>
      </c>
      <c r="G54" s="2341"/>
      <c r="H54" s="2342"/>
      <c r="I54" s="1669"/>
      <c r="J54" s="2310">
        <v>3</v>
      </c>
      <c r="K54" s="3298" t="s">
        <v>1360</v>
      </c>
      <c r="L54" s="3298"/>
      <c r="M54" s="2312">
        <f t="shared" ca="1" si="0"/>
        <v>14907</v>
      </c>
      <c r="N54" s="2310" t="str">
        <f t="shared" si="0"/>
        <v>增值额×税（费）率</v>
      </c>
      <c r="O54" s="2314" t="str">
        <f t="shared" si="0"/>
        <v>免征</v>
      </c>
    </row>
    <row r="55" spans="1:35" ht="24" customHeight="1">
      <c r="A55" s="3248" t="s">
        <v>1361</v>
      </c>
      <c r="B55" s="3249"/>
      <c r="C55" s="3249"/>
      <c r="D55" s="12">
        <f ca="1">IF(H55="个人住宅",0,ROUND(D45*I55,0))</f>
        <v>13</v>
      </c>
      <c r="E55" s="1256" t="s">
        <v>1362</v>
      </c>
      <c r="F55" s="2340" t="str">
        <f>IF(H55="正常",I55,"免征")</f>
        <v>免征</v>
      </c>
      <c r="G55" s="2341"/>
      <c r="H55" s="2337"/>
      <c r="I55" s="157">
        <f>'数据-取费表'!B49</f>
        <v>5.0000000000000001E-4</v>
      </c>
      <c r="J55" s="2310">
        <f>IF(H59="非个人房产","",4)</f>
        <v>4</v>
      </c>
      <c r="K55" s="3298" t="str">
        <f>IF(H59="非个人房产","——","个人所得税")</f>
        <v>个人所得税</v>
      </c>
      <c r="L55" s="3298"/>
      <c r="M55" s="2315">
        <f ca="1">D59</f>
        <v>251</v>
      </c>
      <c r="N55" s="1883" t="str">
        <f>E59</f>
        <v>差额计税</v>
      </c>
      <c r="O55" s="2316">
        <f>F59</f>
        <v>0.01</v>
      </c>
    </row>
    <row r="56" spans="1:35" ht="24.75">
      <c r="A56" s="3248" t="s">
        <v>1363</v>
      </c>
      <c r="B56" s="3249"/>
      <c r="C56" s="3249"/>
      <c r="D56" s="12">
        <f ca="1">IF(H56="个人住宅",D57,D58)</f>
        <v>14907</v>
      </c>
      <c r="E56" s="1256" t="s">
        <v>1364</v>
      </c>
      <c r="F56" s="2340" t="str">
        <f>IF(H56="正常",F58,"免征")</f>
        <v>免征</v>
      </c>
      <c r="G56" s="2343" t="s">
        <v>1365</v>
      </c>
      <c r="H56" s="2344"/>
      <c r="I56" s="1670"/>
      <c r="J56" s="2310" t="str">
        <f>IF(项目基本情况!K6="上海银行",IF(J55="",4,J55+1),"")</f>
        <v/>
      </c>
      <c r="K56" s="3321" t="str">
        <f>IF(项目基本情况!K6="上海银行","其他处置费用","")</f>
        <v/>
      </c>
      <c r="L56" s="3322"/>
      <c r="M56" s="2312" t="str">
        <f>IF(项目基本情况!K6="上海银行",M69,"")</f>
        <v/>
      </c>
      <c r="N56" s="3321" t="str">
        <f>IF(项目基本情况!K6="上海银行","包含处置中涉及的律师、诉讼、拍卖、评估等费用","")</f>
        <v/>
      </c>
      <c r="O56" s="3324"/>
    </row>
    <row r="57" spans="1:35" ht="12.75">
      <c r="A57" s="2153" t="s">
        <v>1341</v>
      </c>
      <c r="B57" s="3259" t="s">
        <v>1366</v>
      </c>
      <c r="C57" s="3260"/>
      <c r="D57" s="1478">
        <v>0</v>
      </c>
      <c r="E57" s="316" t="s">
        <v>1343</v>
      </c>
      <c r="F57" s="294"/>
      <c r="G57" s="2341"/>
      <c r="H57" s="2345"/>
      <c r="I57" s="1670"/>
      <c r="J57" s="3298">
        <f>IF(AND(J55="",J56=""),4,IF(项目基本情况!K6="上海银行",结果表!J56+1,结果表!J55+1))</f>
        <v>5</v>
      </c>
      <c r="K57" s="3298" t="s">
        <v>1367</v>
      </c>
      <c r="L57" s="2317" t="s">
        <v>1368</v>
      </c>
      <c r="M57" s="2318"/>
      <c r="N57" s="2319">
        <f ca="1">SUMIF(M52:M56,"&lt;9e307")</f>
        <v>15171</v>
      </c>
      <c r="O57" s="2320"/>
      <c r="P57" s="2465">
        <f ca="1">N57/M49</f>
        <v>0.5760118460019743</v>
      </c>
    </row>
    <row r="58" spans="1:35" ht="24.75">
      <c r="A58" s="2153" t="s">
        <v>1352</v>
      </c>
      <c r="B58" s="3259" t="s">
        <v>1369</v>
      </c>
      <c r="C58" s="3233"/>
      <c r="D58" s="12">
        <f ca="1">IF(H58="转让取得",C81,C97)</f>
        <v>14907</v>
      </c>
      <c r="E58" s="1256" t="s">
        <v>1364</v>
      </c>
      <c r="F58" s="294" t="s">
        <v>28</v>
      </c>
      <c r="G58" s="2341"/>
      <c r="H58" s="2344"/>
      <c r="I58" s="1670"/>
      <c r="J58" s="3298"/>
      <c r="K58" s="3298"/>
      <c r="L58" s="2317" t="s">
        <v>1370</v>
      </c>
      <c r="M58" s="2321"/>
      <c r="N58" s="2322" t="str">
        <f ca="1">NUMBERSTRING(INT(N57*10000),2)&amp;"元整"</f>
        <v>壹亿伍仟壹佰柒拾壹万元整</v>
      </c>
      <c r="O58" s="2323"/>
    </row>
    <row r="59" spans="1:35" ht="24.75" thickBot="1">
      <c r="A59" s="3301" t="s">
        <v>1371</v>
      </c>
      <c r="B59" s="3302"/>
      <c r="C59" s="3302"/>
      <c r="D59" s="2346">
        <f ca="1">IF(H59="非个人房产","——",IF(H59="个人住宅（满五唯一有凭证）",0,IF(H59="个人其他（无凭证）",ROUND(D45*F59,0),ROUND(C67*F59,0))))</f>
        <v>251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9">
        <f>J57+1</f>
        <v>6</v>
      </c>
      <c r="K59" s="3298" t="s">
        <v>1372</v>
      </c>
      <c r="L59" s="2310" t="s">
        <v>1368</v>
      </c>
      <c r="M59" s="2324"/>
      <c r="N59" s="2325">
        <f ca="1">M49-N57</f>
        <v>11167</v>
      </c>
      <c r="O59" s="2326"/>
    </row>
    <row r="60" spans="1:35" ht="12" customHeight="1">
      <c r="A60" s="1671"/>
      <c r="B60" s="646"/>
      <c r="C60" s="646"/>
      <c r="D60" s="646"/>
      <c r="E60" s="1466"/>
      <c r="F60" s="1670"/>
      <c r="G60" s="1670"/>
      <c r="H60" s="151"/>
      <c r="I60" s="121"/>
      <c r="J60" s="3300"/>
      <c r="K60" s="3298"/>
      <c r="L60" s="2317" t="s">
        <v>1370</v>
      </c>
      <c r="M60" s="2321"/>
      <c r="N60" s="2322" t="str">
        <f ca="1">NUMBERSTRING(INT(N59*10000),2)&amp;"元整"</f>
        <v>壹亿壹仟壹佰陆拾柒万元整</v>
      </c>
      <c r="O60" s="2323"/>
    </row>
    <row r="61" spans="1:35" ht="13.5" thickBot="1">
      <c r="A61" s="3246" t="s">
        <v>1373</v>
      </c>
      <c r="B61" s="3246"/>
      <c r="C61" s="3246"/>
      <c r="D61" s="3246"/>
      <c r="E61" s="3246"/>
      <c r="F61" s="1670"/>
      <c r="G61" s="1670"/>
      <c r="H61" s="151"/>
      <c r="I61" s="121"/>
      <c r="J61" s="2310">
        <f>J59+1</f>
        <v>7</v>
      </c>
      <c r="K61" s="3298" t="s">
        <v>1374</v>
      </c>
      <c r="L61" s="3298"/>
      <c r="M61" s="2327"/>
      <c r="N61" s="2328">
        <f ca="1">ROUND(N59*10000/'数据-汇总表'!E3,0)</f>
        <v>6384</v>
      </c>
      <c r="O61" s="2329"/>
    </row>
    <row r="62" spans="1:35" ht="12.75">
      <c r="A62" s="3264" t="s">
        <v>1375</v>
      </c>
      <c r="B62" s="3265"/>
      <c r="C62" s="1865"/>
      <c r="D62" s="1865" t="s">
        <v>1376</v>
      </c>
      <c r="E62" s="158" t="s">
        <v>1377</v>
      </c>
      <c r="F62" s="1670"/>
      <c r="G62" s="1670"/>
      <c r="H62" s="151"/>
      <c r="I62" s="121"/>
    </row>
    <row r="63" spans="1:35" ht="12.75">
      <c r="A63" s="165" t="s">
        <v>330</v>
      </c>
      <c r="B63" s="159" t="s">
        <v>1378</v>
      </c>
      <c r="C63" s="2350">
        <f ca="1">ROUND((C64+C65)/(1+'数据-取费表'!C42),0)</f>
        <v>25084</v>
      </c>
      <c r="D63" s="159"/>
      <c r="E63" s="160"/>
      <c r="F63" s="1670"/>
      <c r="G63" s="1670"/>
      <c r="H63" s="151"/>
      <c r="I63" s="121"/>
      <c r="J63" s="3323" t="s">
        <v>1379</v>
      </c>
      <c r="K63" s="1245" t="s">
        <v>1380</v>
      </c>
      <c r="L63" s="1245">
        <f ca="1">IF(M49&gt;10000,M49*0.5%,IF(AND(M49&gt;1000,M49&lt;=10000),M49*1%,IF(AND(M49&gt;100,M49&lt;=1000),M49*3%,IF(AND(M49&gt;10,M49&lt;=100),M49*5%,M49*8%))))</f>
        <v>131.69</v>
      </c>
      <c r="M63" s="294">
        <f ca="1">ROUND(L63,1)</f>
        <v>131.69999999999999</v>
      </c>
      <c r="N63" s="2330"/>
      <c r="Z63" s="1623"/>
      <c r="AI63" s="1561"/>
    </row>
    <row r="64" spans="1:35" ht="14.25" customHeight="1">
      <c r="A64" s="161" t="s">
        <v>325</v>
      </c>
      <c r="B64" s="162" t="s">
        <v>1381</v>
      </c>
      <c r="C64" s="2351">
        <f ca="1">D45</f>
        <v>26338</v>
      </c>
      <c r="D64" s="162" t="s">
        <v>26</v>
      </c>
      <c r="E64" s="164"/>
      <c r="F64" s="1670"/>
      <c r="G64" s="1670"/>
      <c r="H64" s="151"/>
      <c r="I64" s="121"/>
      <c r="J64" s="3323"/>
      <c r="K64" s="1245" t="s">
        <v>1382</v>
      </c>
      <c r="L64" s="1245">
        <f ca="1">IF(M49&gt;2000,M49*0.5%,IF(AND(M49&gt;1000,M49&lt;=2000),M49*0.6%,IF(AND(M49&gt;500,M49&lt;=1000),M49*0.7%,IF(AND(M49&gt;200,M49&lt;=500),M49*0.8%,IF(AND(M49&gt;100,M49&lt;=200),M49*0.9%,IF(AND(M49&gt;50,M49&lt;=100),M49*1%,IF(AND(M49&gt;20,M49&lt;=50),M49*1.5%,IF(AND(M49&gt;10,M49&lt;=20),M49*2%,IF(AND(M49&gt;1,M49&lt;=10),M49*2.5%)))))))))</f>
        <v>131.69</v>
      </c>
      <c r="M64" s="294">
        <f t="shared" ref="M64:M65" ca="1" si="1">ROUND(L64,1)</f>
        <v>131.69999999999999</v>
      </c>
      <c r="N64" s="2331" t="s">
        <v>1383</v>
      </c>
      <c r="Z64" s="1623"/>
      <c r="AI64" s="1561"/>
    </row>
    <row r="65" spans="1:35" ht="14.25" customHeight="1">
      <c r="A65" s="161" t="s">
        <v>326</v>
      </c>
      <c r="B65" s="162" t="s">
        <v>1384</v>
      </c>
      <c r="C65" s="2352"/>
      <c r="D65" s="162"/>
      <c r="E65" s="164"/>
      <c r="F65" s="1670"/>
      <c r="G65" s="1670"/>
      <c r="H65" s="151"/>
      <c r="I65" s="121"/>
      <c r="J65" s="3323"/>
      <c r="K65" s="1245" t="s">
        <v>1385</v>
      </c>
      <c r="L65" s="1245">
        <f ca="1">IF(M49&gt;1000,M49*0.1%,IF(AND(M49&gt;500,M49&lt;=1000),M49*0.5%,IF(AND(M49&gt;50,M49&lt;=500),M49*1%,IF(AND(M49&gt;1,M49&lt;=50),M49*1.5%))))</f>
        <v>26.338000000000001</v>
      </c>
      <c r="M65" s="294">
        <f t="shared" ca="1" si="1"/>
        <v>26.3</v>
      </c>
      <c r="N65" s="2331" t="s">
        <v>1383</v>
      </c>
      <c r="Z65" s="1623"/>
      <c r="AI65" s="1561"/>
    </row>
    <row r="66" spans="1:35" ht="14.25" customHeight="1">
      <c r="A66" s="165" t="s">
        <v>327</v>
      </c>
      <c r="B66" s="166" t="s">
        <v>1386</v>
      </c>
      <c r="C66" s="2353"/>
      <c r="D66" s="166" t="s">
        <v>26</v>
      </c>
      <c r="E66" s="1251" t="s">
        <v>671</v>
      </c>
      <c r="F66" s="1670"/>
      <c r="G66" s="1670"/>
      <c r="H66" s="151"/>
      <c r="I66" s="121"/>
      <c r="J66" s="3323"/>
      <c r="K66" s="1245" t="s">
        <v>1387</v>
      </c>
      <c r="L66" s="1245">
        <f ca="1">M49*0.5%</f>
        <v>131.69</v>
      </c>
      <c r="M66" s="294">
        <f ca="1">IF(L66&gt;0.5,0.5,ROUND(L66,0))</f>
        <v>0.5</v>
      </c>
      <c r="N66" s="2331" t="s">
        <v>1388</v>
      </c>
      <c r="Z66" s="1623"/>
      <c r="AI66" s="1561"/>
    </row>
    <row r="67" spans="1:35" ht="14.25" customHeight="1">
      <c r="A67" s="165" t="s">
        <v>328</v>
      </c>
      <c r="B67" s="166" t="s">
        <v>1389</v>
      </c>
      <c r="C67" s="2354">
        <f ca="1">C63-C66</f>
        <v>25084</v>
      </c>
      <c r="D67" s="162" t="s">
        <v>26</v>
      </c>
      <c r="E67" s="164"/>
      <c r="F67" s="1670"/>
      <c r="G67" s="1670"/>
      <c r="H67" s="151"/>
      <c r="I67" s="121"/>
      <c r="J67" s="3323"/>
      <c r="K67" s="1245" t="s">
        <v>1390</v>
      </c>
      <c r="L67" s="1245">
        <f ca="1">IF(M49&gt;=10000,(8.25+(M49-10000)*0.01%),IF(AND(M49&gt;=8000,M49&lt;10000),(7.85+(M49-8000)*0.02%),IF(AND(M49&gt;=5000,M49&lt;8000),(6.65+(M49-5000)*0.04%),IF(AND(M49&gt;=2000,M49&lt;5000),(4.25+(PM49-2000)*0.08%),IF(AND(M49&gt;=1000,M49&lt;2000),(2.75+(M49-1000)*0.15%),IF(AND(M49&gt;=100,M49&lt;1000),(0.5+(M49-100)*0.25%),IF(AND(M49&gt;0,M49&lt;100),M49*0.5%)))))))</f>
        <v>9.8838000000000008</v>
      </c>
      <c r="M67" s="294">
        <f ca="1">ROUND(L67*0.9,1)</f>
        <v>8.9</v>
      </c>
      <c r="N67" s="2330"/>
      <c r="Z67" s="1623"/>
      <c r="AI67" s="1561"/>
    </row>
    <row r="68" spans="1:35" ht="14.25" customHeight="1" thickBot="1">
      <c r="A68" s="168" t="s">
        <v>329</v>
      </c>
      <c r="B68" s="169" t="s">
        <v>1391</v>
      </c>
      <c r="C68" s="2355">
        <f ca="1">IF(C67&lt;=0,0,ROUND(C67*D68,0))</f>
        <v>1405</v>
      </c>
      <c r="D68" s="2356">
        <f>'数据-取费表'!B41</f>
        <v>5.6000000000000001E-2</v>
      </c>
      <c r="E68" s="170"/>
      <c r="F68" s="1670"/>
      <c r="G68" s="1670"/>
      <c r="H68" s="151"/>
      <c r="I68" s="121"/>
      <c r="J68" s="3323"/>
      <c r="K68" s="1245" t="s">
        <v>1392</v>
      </c>
      <c r="L68" s="1245">
        <f ca="1">IF(M49&gt;10000,M49*0.5%,IF(AND(M49&gt;5000,M49&lt;=10000),M49*1%,IF(AND(M49&gt;1000,M49&lt;=5000),M49*2%,IF(AND(M49&gt;200,M49&lt;=1000),M49*3%,M49*5%))))</f>
        <v>131.69</v>
      </c>
      <c r="M68" s="294">
        <f ca="1">ROUND(L68,1)</f>
        <v>131.69999999999999</v>
      </c>
      <c r="N68" s="2330"/>
      <c r="Z68" s="1623"/>
      <c r="AI68" s="1561"/>
    </row>
    <row r="69" spans="1:35" ht="16.5" customHeight="1">
      <c r="A69" s="1672"/>
      <c r="B69" s="1673"/>
      <c r="C69" s="1674"/>
      <c r="D69" s="1675"/>
      <c r="E69" s="1676"/>
      <c r="F69" s="1466"/>
      <c r="G69" s="1466"/>
      <c r="H69" s="1467"/>
      <c r="I69" s="646"/>
      <c r="J69" s="3323"/>
      <c r="K69" s="1245" t="s">
        <v>1393</v>
      </c>
      <c r="L69" s="1245"/>
      <c r="M69" s="294">
        <f ca="1">ROUND(SUM(M63:M68),0)</f>
        <v>431</v>
      </c>
      <c r="N69" s="2332">
        <f ca="1">M69/M49</f>
        <v>1.6364188624800668E-2</v>
      </c>
      <c r="Z69" s="1623"/>
      <c r="AI69" s="1561"/>
    </row>
    <row r="70" spans="1:35" s="642" customFormat="1" ht="15" thickBot="1">
      <c r="A70" s="3285" t="s">
        <v>1394</v>
      </c>
      <c r="B70" s="3286"/>
      <c r="C70" s="3286"/>
      <c r="D70" s="3286"/>
      <c r="E70" s="3286"/>
      <c r="F70" s="3286"/>
      <c r="G70" s="3286"/>
      <c r="H70" s="328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4" t="s">
        <v>1375</v>
      </c>
      <c r="B71" s="326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25084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151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59" t="s">
        <v>1402</v>
      </c>
      <c r="F76" s="3233"/>
      <c r="G76" s="3233"/>
      <c r="H76" s="328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151</v>
      </c>
      <c r="D78" s="2363">
        <f>'数据-取费表'!B43</f>
        <v>6.000000000000001E-3</v>
      </c>
      <c r="E78" s="3243" t="s">
        <v>1406</v>
      </c>
      <c r="F78" s="3244"/>
      <c r="G78" s="3244"/>
      <c r="H78" s="325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24933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165.11920529801324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14907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5" t="s">
        <v>1410</v>
      </c>
      <c r="B83" s="3286"/>
      <c r="C83" s="3286"/>
      <c r="D83" s="3286"/>
      <c r="E83" s="3286"/>
      <c r="F83" s="3286"/>
      <c r="G83" s="3286"/>
      <c r="H83" s="328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4" t="s">
        <v>1375</v>
      </c>
      <c r="B84" s="326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25084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151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25" t="s">
        <v>2129</v>
      </c>
      <c r="H90" s="332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3" t="s">
        <v>1419</v>
      </c>
      <c r="F91" s="3244"/>
      <c r="G91" s="324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3" t="s">
        <v>1422</v>
      </c>
      <c r="F92" s="3244"/>
      <c r="G92" s="3244"/>
      <c r="H92" s="325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151</v>
      </c>
      <c r="D93" s="2363">
        <f>'数据-取费表'!B43</f>
        <v>6.000000000000001E-3</v>
      </c>
      <c r="E93" s="3243" t="s">
        <v>1406</v>
      </c>
      <c r="F93" s="3244"/>
      <c r="G93" s="3244"/>
      <c r="H93" s="325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54" t="s">
        <v>1426</v>
      </c>
      <c r="F94" s="3255"/>
      <c r="G94" s="3255"/>
      <c r="H94" s="32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24933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165.11920529801324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14907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7" t="s">
        <v>1428</v>
      </c>
      <c r="B100" s="3228"/>
      <c r="C100" s="3228"/>
      <c r="D100" s="3245"/>
      <c r="E100" s="3228" t="s">
        <v>1429</v>
      </c>
      <c r="F100" s="3228"/>
      <c r="G100" s="3228"/>
      <c r="H100" s="3245"/>
      <c r="I100" s="121"/>
    </row>
    <row r="101" spans="1:35" ht="18.75" customHeight="1">
      <c r="A101" s="3306" t="s">
        <v>1430</v>
      </c>
      <c r="B101" s="3307"/>
      <c r="C101" s="2371" t="str">
        <f>C4</f>
        <v>成本法</v>
      </c>
      <c r="D101" s="2372" t="str">
        <f>D4</f>
        <v>收益法</v>
      </c>
      <c r="E101" s="3320" t="s">
        <v>1431</v>
      </c>
      <c r="F101" s="3277"/>
      <c r="G101" s="1687" t="s">
        <v>1432</v>
      </c>
      <c r="H101" s="2381">
        <f ca="1">H118</f>
        <v>26338</v>
      </c>
      <c r="I101" s="121"/>
    </row>
    <row r="102" spans="1:35" ht="18.75" customHeight="1">
      <c r="A102" s="3279" t="s">
        <v>1433</v>
      </c>
      <c r="B102" s="2370" t="s">
        <v>1432</v>
      </c>
      <c r="C102" s="2371">
        <f ca="1">IF(D32="楼面单价",ROUND(C19,0),C19)</f>
        <v>23199</v>
      </c>
      <c r="D102" s="2372">
        <f ca="1">IF(D32="楼面单价",ROUND(D19,0),D19)</f>
        <v>29477</v>
      </c>
      <c r="E102" s="3320"/>
      <c r="F102" s="3277"/>
      <c r="G102" s="1687" t="s">
        <v>1434</v>
      </c>
      <c r="H102" s="2341">
        <f ca="1">I118</f>
        <v>15058</v>
      </c>
      <c r="I102" s="121"/>
    </row>
    <row r="103" spans="1:35" ht="42.75" customHeight="1">
      <c r="A103" s="3279"/>
      <c r="B103" s="2370" t="s">
        <v>1434</v>
      </c>
      <c r="C103" s="2373">
        <f ca="1">C20</f>
        <v>13263</v>
      </c>
      <c r="D103" s="2374">
        <f ca="1">D20</f>
        <v>16853</v>
      </c>
      <c r="E103" s="3314" t="s">
        <v>1435</v>
      </c>
      <c r="F103" s="3315"/>
      <c r="G103" s="1688" t="s">
        <v>1436</v>
      </c>
      <c r="H103" s="2381">
        <f>IF(D36="正常操作",H104+H105+H106,H105+H106)</f>
        <v>0</v>
      </c>
      <c r="I103" s="121"/>
    </row>
    <row r="104" spans="1:35" ht="18.75" customHeight="1">
      <c r="A104" s="3279" t="s">
        <v>1437</v>
      </c>
      <c r="B104" s="2375" t="s">
        <v>1432</v>
      </c>
      <c r="C104" s="2376">
        <f ca="1">H118</f>
        <v>26338</v>
      </c>
      <c r="D104" s="2377"/>
      <c r="E104" s="1555" t="s">
        <v>1438</v>
      </c>
      <c r="F104" s="1548"/>
      <c r="G104" s="1688" t="s">
        <v>1436</v>
      </c>
      <c r="H104" s="2382">
        <f>IF(D36="同一抵押权人同一抵押物续贷",C36&amp;"（续贷，未扣减，详见特别提示）",C36)</f>
        <v>0</v>
      </c>
      <c r="I104" s="121"/>
    </row>
    <row r="105" spans="1:35" ht="18.75" customHeight="1" thickBot="1">
      <c r="A105" s="3280"/>
      <c r="B105" s="2378" t="s">
        <v>1434</v>
      </c>
      <c r="C105" s="2379">
        <f ca="1">I118</f>
        <v>15058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6" t="str">
        <f>IF(项目基本情况!E8="已注销","——","3.房地产抵押价值")</f>
        <v>3.房地产抵押价值</v>
      </c>
      <c r="F107" s="3277"/>
      <c r="G107" s="1687" t="s">
        <v>1432</v>
      </c>
      <c r="H107" s="2381">
        <f ca="1">IF(E107="——","——",H101-H103)</f>
        <v>26338</v>
      </c>
      <c r="I107" s="121"/>
    </row>
    <row r="108" spans="1:35" ht="18.75" customHeight="1">
      <c r="A108" s="121"/>
      <c r="B108" s="121"/>
      <c r="C108" s="121"/>
      <c r="D108" s="121"/>
      <c r="E108" s="3276"/>
      <c r="F108" s="3277"/>
      <c r="G108" s="1687" t="s">
        <v>1434</v>
      </c>
      <c r="H108" s="2341">
        <f ca="1">IF(H107=H101,H102,ROUND(H107*10000/'数据-汇总表'!E3,0))</f>
        <v>15058</v>
      </c>
      <c r="I108" s="121"/>
    </row>
    <row r="109" spans="1:35" ht="18.75" customHeight="1">
      <c r="A109" s="121"/>
      <c r="B109" s="121"/>
      <c r="C109" s="121"/>
      <c r="D109" s="121"/>
      <c r="E109" s="3276" t="str">
        <f>IF(项目基本情况!E8="已注销及未注销","4.抵押担保权已注销时的房地产抵押价值",IF(项目基本情况!E8="已注销","3.抵押担保权已注销时的房地产抵押价值","——"))</f>
        <v>——</v>
      </c>
      <c r="F109" s="3277"/>
      <c r="G109" s="1687" t="s">
        <v>1432</v>
      </c>
      <c r="H109" s="2384" t="str">
        <f>IF(E109="——","——",H101-H105-H106)</f>
        <v>——</v>
      </c>
      <c r="I109" s="121"/>
    </row>
    <row r="110" spans="1:35" ht="18.75" customHeight="1">
      <c r="A110" s="121"/>
      <c r="B110" s="121"/>
      <c r="C110" s="121"/>
      <c r="D110" s="121"/>
      <c r="E110" s="3276"/>
      <c r="F110" s="3277"/>
      <c r="G110" s="1687" t="s">
        <v>1434</v>
      </c>
      <c r="H110" s="2341"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309"/>
      <c r="F112" s="3310"/>
      <c r="G112" s="1690" t="s">
        <v>1434</v>
      </c>
      <c r="H112" s="2385" t="str">
        <f>IF(E111="——","——",N61)</f>
        <v>——</v>
      </c>
      <c r="I112" s="121"/>
    </row>
    <row r="113" spans="1:27" ht="18.75" customHeight="1">
      <c r="A113" s="121"/>
      <c r="B113" s="121"/>
      <c r="C113" s="121"/>
      <c r="D113" s="121"/>
      <c r="E113" s="3281" t="s">
        <v>1440</v>
      </c>
      <c r="F113" s="3281"/>
      <c r="G113" s="3281"/>
      <c r="H113" s="3281"/>
      <c r="I113" s="121"/>
    </row>
    <row r="114" spans="1:27" ht="3.75" customHeight="1">
      <c r="A114" s="646"/>
      <c r="B114" s="646"/>
      <c r="C114" s="646"/>
      <c r="D114" s="646"/>
      <c r="E114" s="1671"/>
      <c r="F114" s="1671"/>
      <c r="G114" s="1671"/>
      <c r="H114" s="1671"/>
      <c r="I114" s="646"/>
    </row>
    <row r="115" spans="1:27" ht="18.75" customHeight="1">
      <c r="A115" s="3291" t="s">
        <v>1442</v>
      </c>
      <c r="B115" s="3292"/>
      <c r="C115" s="3292"/>
      <c r="D115" s="3292"/>
      <c r="E115" s="3292"/>
      <c r="F115" s="3292"/>
      <c r="G115" s="3292"/>
      <c r="H115" s="3292"/>
      <c r="I115" s="3293"/>
    </row>
    <row r="116" spans="1:27" ht="27" customHeight="1">
      <c r="A116" s="3247" t="s">
        <v>1443</v>
      </c>
      <c r="B116" s="3282" t="s">
        <v>1444</v>
      </c>
      <c r="C116" s="3282" t="s">
        <v>1445</v>
      </c>
      <c r="D116" s="3295" t="s">
        <v>1446</v>
      </c>
      <c r="E116" s="3296"/>
      <c r="F116" s="3290" t="s">
        <v>1447</v>
      </c>
      <c r="G116" s="3290"/>
      <c r="H116" s="3247" t="s">
        <v>1448</v>
      </c>
      <c r="I116" s="3247"/>
    </row>
    <row r="117" spans="1:27" ht="18.75" customHeight="1">
      <c r="A117" s="3247"/>
      <c r="B117" s="3283"/>
      <c r="C117" s="328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17491.149999999998</v>
      </c>
      <c r="C118" s="2150">
        <f>M19</f>
        <v>0</v>
      </c>
      <c r="D118" s="2150">
        <f ca="1">ROUND(IF(D32="总价",C34,E118*B118/10000),0)</f>
        <v>14328</v>
      </c>
      <c r="E118" s="2150">
        <f ca="1">ROUND(IF(C33="自定义",IF(D32="楼面单价",C34,D118*10000/B118),I118-G118),0)</f>
        <v>8192</v>
      </c>
      <c r="F118" s="2150">
        <f ca="1">ROUND(IF(D32="总价",C35,G118*B118/10000),0)</f>
        <v>12010</v>
      </c>
      <c r="G118" s="2150">
        <f ca="1">ROUND(IF(D32="楼面单价",C35,F118*10000/B118),0)</f>
        <v>6866</v>
      </c>
      <c r="H118" s="2150">
        <f ca="1">ROUND(IF(D32="总价",C32,I118*B118/10000),0)</f>
        <v>26338</v>
      </c>
      <c r="I118" s="2150">
        <f ca="1">ROUND(IF(D32="楼面单价",C32,H118*10000/B118),0)</f>
        <v>15058</v>
      </c>
    </row>
    <row r="119" spans="1:27" ht="18.75" customHeight="1">
      <c r="A119" s="3247" t="s">
        <v>1452</v>
      </c>
      <c r="B119" s="3247"/>
      <c r="C119" s="3247"/>
      <c r="D119" s="3287" t="str">
        <f ca="1">NUMBERSTRING(INT(D118*10000),2)&amp;"元整"</f>
        <v>壹亿肆仟叁佰贰拾捌万元整</v>
      </c>
      <c r="E119" s="3289"/>
      <c r="F119" s="3287" t="str">
        <f ca="1">NUMBERSTRING(INT(F118*10000),2)&amp;"元整"</f>
        <v>壹亿贰仟零壹拾万元整</v>
      </c>
      <c r="G119" s="3289"/>
      <c r="H119" s="3287" t="str">
        <f ca="1">NUMBERSTRING(INT(H118*10000),2)&amp;"元整"</f>
        <v>贰亿陆仟叁佰叁拾捌万元整</v>
      </c>
      <c r="I119" s="3289"/>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8"/>
      <c r="C121" s="3289"/>
      <c r="D121" s="3287" t="str">
        <f>IF(D120=0,"零元整",NUMBERSTRING(INT(D120*10000),2)&amp;"元整")</f>
        <v>零元整</v>
      </c>
      <c r="E121" s="3288"/>
      <c r="F121" s="3288"/>
      <c r="G121" s="3288"/>
      <c r="H121" s="3288"/>
      <c r="I121" s="3289"/>
      <c r="AA121" s="684"/>
    </row>
    <row r="122" spans="1:27" ht="18.75" customHeight="1">
      <c r="A122" s="3278" t="str">
        <f>IF(项目基本情况!B9="房地产市场价值","",MID(E107,3,LEN(E107)-2))</f>
        <v>房地产抵押价值</v>
      </c>
      <c r="B122" s="3278"/>
      <c r="C122" s="3278"/>
      <c r="D122" s="3311">
        <f ca="1">H107</f>
        <v>26338</v>
      </c>
      <c r="E122" s="3312"/>
      <c r="F122" s="3312"/>
      <c r="G122" s="3312"/>
      <c r="H122" s="3312"/>
      <c r="I122" s="3313"/>
      <c r="AA122" s="684"/>
    </row>
    <row r="123" spans="1:27" ht="18.75" customHeight="1">
      <c r="A123" s="3247" t="s">
        <v>1452</v>
      </c>
      <c r="B123" s="3247"/>
      <c r="C123" s="3247"/>
      <c r="D123" s="3287" t="str">
        <f ca="1">NUMBERSTRING(INT(D122*10000),2)&amp;"元整"</f>
        <v>贰亿陆仟叁佰叁拾捌万元整</v>
      </c>
      <c r="E123" s="3288"/>
      <c r="F123" s="3288"/>
      <c r="G123" s="3288"/>
      <c r="H123" s="3288"/>
      <c r="I123" s="3289"/>
      <c r="AA123" s="684"/>
    </row>
    <row r="124" spans="1:27" ht="18.75" customHeight="1">
      <c r="A124" s="3278" t="str">
        <f>IF(项目基本情况!B9="房地产市场价值","",MID(E109,3,LEN(E109)-2))</f>
        <v/>
      </c>
      <c r="B124" s="3278"/>
      <c r="C124" s="3278"/>
      <c r="D124" s="3311" t="str">
        <f>H109</f>
        <v>——</v>
      </c>
      <c r="E124" s="3312"/>
      <c r="F124" s="3312"/>
      <c r="G124" s="3312"/>
      <c r="H124" s="3312"/>
      <c r="I124" s="3313"/>
      <c r="AA124" s="684"/>
    </row>
    <row r="125" spans="1:27" ht="18.75" customHeight="1">
      <c r="A125" s="3247" t="s">
        <v>1452</v>
      </c>
      <c r="B125" s="3247"/>
      <c r="C125" s="3247"/>
      <c r="D125" s="3287" t="e">
        <f>NUMBERSTRING(INT(D124*10000),2)&amp;"元整"</f>
        <v>#VALUE!</v>
      </c>
      <c r="E125" s="3288"/>
      <c r="F125" s="3288"/>
      <c r="G125" s="3288"/>
      <c r="H125" s="3288"/>
      <c r="I125" s="3289"/>
      <c r="AA125" s="684"/>
    </row>
    <row r="126" spans="1:27" ht="18.75" customHeight="1">
      <c r="A126" s="3278" t="str">
        <f>IF(项目基本情况!B9="房地产市场价值","",MID(E111,3,LEN(E111)-2))</f>
        <v/>
      </c>
      <c r="B126" s="3278"/>
      <c r="C126" s="3278"/>
      <c r="D126" s="3311" t="str">
        <f>H111</f>
        <v>——</v>
      </c>
      <c r="E126" s="3312"/>
      <c r="F126" s="3312"/>
      <c r="G126" s="3312"/>
      <c r="H126" s="3312"/>
      <c r="I126" s="3313"/>
      <c r="AA126" s="684"/>
    </row>
    <row r="127" spans="1:27" ht="18.75" customHeight="1">
      <c r="A127" s="3247" t="s">
        <v>1452</v>
      </c>
      <c r="B127" s="3247"/>
      <c r="C127" s="3247"/>
      <c r="D127" s="3287" t="e">
        <f>NUMBERSTRING(INT(D126*10000),2)&amp;"元整"</f>
        <v>#VALUE!</v>
      </c>
      <c r="E127" s="3288"/>
      <c r="F127" s="3288"/>
      <c r="G127" s="3288"/>
      <c r="H127" s="3288"/>
      <c r="I127" s="3289"/>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5" t="str">
        <f>项目基本情况!B1</f>
        <v>北京市房地产抵押价值预评估</v>
      </c>
      <c r="C37" s="3145"/>
      <c r="D37" s="3145"/>
      <c r="E37" s="3145"/>
      <c r="F37" s="3145"/>
      <c r="G37" s="3145"/>
      <c r="H37" s="3145"/>
      <c r="I37" s="31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D20" sqref="D2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23199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13263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8914</v>
      </c>
      <c r="D5" s="203" t="s">
        <v>1469</v>
      </c>
      <c r="E5" s="204" t="s">
        <v>1470</v>
      </c>
      <c r="F5" s="204" t="s">
        <v>1471</v>
      </c>
      <c r="G5" s="205"/>
    </row>
    <row r="6" spans="1:9" s="206" customFormat="1" ht="13.5" customHeight="1">
      <c r="A6" s="732" t="s">
        <v>1472</v>
      </c>
      <c r="B6" s="207" t="s">
        <v>1473</v>
      </c>
      <c r="C6" s="208">
        <f>基准地价修正!B2</f>
        <v>8650</v>
      </c>
      <c r="D6" s="209"/>
      <c r="E6" s="210"/>
      <c r="F6" s="210"/>
      <c r="G6" s="211"/>
    </row>
    <row r="7" spans="1:9" s="206" customFormat="1" ht="13.5" customHeight="1">
      <c r="A7" s="732" t="s">
        <v>1474</v>
      </c>
      <c r="B7" s="207" t="s">
        <v>1475</v>
      </c>
      <c r="C7" s="212">
        <f>ROUND(C6*F7,0)</f>
        <v>264</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3428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3429</v>
      </c>
      <c r="H9" s="1070"/>
      <c r="I9" s="1716" t="s">
        <v>1479</v>
      </c>
    </row>
    <row r="10" spans="1:9" s="206" customFormat="1" ht="13.5" customHeight="1">
      <c r="A10" s="733" t="s">
        <v>356</v>
      </c>
      <c r="B10" s="216" t="s">
        <v>1480</v>
      </c>
      <c r="C10" s="217">
        <f ca="1">ROUND(D10*E10/10000,0)</f>
        <v>350</v>
      </c>
      <c r="D10" s="795">
        <f ca="1">IF(B1="",'数据-汇总表'!E6,IF(INDIRECT("'数据-取费表'!c"&amp;$G$1)="住宅",INDIRECT("'数据-取费表'!s"&amp;$G$1),INDIRECT("'数据-取费表'!k"&amp;$G$1)+INDIRECT("'数据-取费表'!s"&amp;$G$1)))</f>
        <v>17491.149999999998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17491.149999999998</v>
      </c>
      <c r="E19" s="203">
        <f>'数据-取费表'!B31</f>
        <v>200</v>
      </c>
      <c r="F19" s="223"/>
      <c r="G19" s="1714" t="s">
        <v>3430</v>
      </c>
    </row>
    <row r="20" spans="1:7" s="206" customFormat="1" ht="13.5" customHeight="1">
      <c r="A20" s="247" t="s">
        <v>1493</v>
      </c>
      <c r="B20" s="202" t="s">
        <v>1494</v>
      </c>
      <c r="C20" s="224">
        <f>ROUND((C5+C19)*F20,0)</f>
        <v>178</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567</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561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6</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1818</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1818</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12615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9708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8746</v>
      </c>
      <c r="D34" s="209"/>
      <c r="E34" s="212"/>
      <c r="F34" s="249">
        <f ca="1">IF('数据-取费表'!B24=0,1,IF(B1="",'数据-取费表'!N16,INDIRECT("'数据-取费表'!n"&amp;$G$1)))</f>
        <v>1</v>
      </c>
      <c r="G34" s="211" t="s">
        <v>1526</v>
      </c>
    </row>
    <row r="35" spans="1:7" ht="13.5" customHeight="1">
      <c r="A35" s="734" t="s">
        <v>351</v>
      </c>
      <c r="B35" s="207" t="s">
        <v>1527</v>
      </c>
      <c r="C35" s="212">
        <f ca="1">ROUND(C34*F35,0)</f>
        <v>437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350</v>
      </c>
      <c r="D37" s="209">
        <f ca="1">D19</f>
        <v>17491.149999999998</v>
      </c>
      <c r="E37" s="241">
        <f>'数据-取费表'!B35</f>
        <v>200</v>
      </c>
      <c r="F37" s="251"/>
      <c r="G37" s="253" t="s">
        <v>1532</v>
      </c>
    </row>
    <row r="38" spans="1:7" ht="13.5" customHeight="1">
      <c r="A38" s="734" t="s">
        <v>354</v>
      </c>
      <c r="B38" s="207" t="s">
        <v>1533</v>
      </c>
      <c r="C38" s="212">
        <f ca="1">ROUND(C34*F38,0)</f>
        <v>175</v>
      </c>
      <c r="D38" s="212"/>
      <c r="E38" s="212"/>
      <c r="F38" s="251">
        <f>'数据-取费表'!B36</f>
        <v>0.02</v>
      </c>
      <c r="G38" s="211" t="s">
        <v>1528</v>
      </c>
    </row>
    <row r="39" spans="1:7" s="206" customFormat="1" ht="13.5" customHeight="1">
      <c r="A39" s="247" t="s">
        <v>1534</v>
      </c>
      <c r="B39" s="202" t="s">
        <v>1535</v>
      </c>
      <c r="C39" s="224">
        <f ca="1">ROUND(C33*F20,0)</f>
        <v>194</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307</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301</v>
      </c>
      <c r="D42" s="230"/>
      <c r="E42" s="230"/>
      <c r="F42" s="231"/>
      <c r="G42" s="3327" t="s">
        <v>1544</v>
      </c>
    </row>
    <row r="43" spans="1:7" ht="13.5" customHeight="1">
      <c r="A43" s="734" t="s">
        <v>347</v>
      </c>
      <c r="B43" s="207" t="s">
        <v>1545</v>
      </c>
      <c r="C43" s="230">
        <f ca="1">ROUND(IF('数据-取费表'!B22&lt;=1,C39*F22*'数据-取费表'!B21/2,C39*(POWER((1+F22),'数据-取费表'!B21/2)-1)),0)</f>
        <v>6</v>
      </c>
      <c r="D43" s="230"/>
      <c r="E43" s="230"/>
      <c r="F43" s="231"/>
      <c r="G43" s="3328"/>
    </row>
    <row r="44" spans="1:7" ht="13.5" customHeight="1">
      <c r="A44" s="734" t="s">
        <v>348</v>
      </c>
      <c r="B44" s="207" t="s">
        <v>1546</v>
      </c>
      <c r="C44" s="230">
        <f ca="1">ROUND(IF('数据-取费表'!B22&lt;=1,C40*F22*'数据-取费表'!B21/2,C40*(POWER((1+F22),'数据-取费表'!B21/2)-1)),4)</f>
        <v>8.9999999999999998E-4</v>
      </c>
      <c r="D44" s="230"/>
      <c r="E44" s="230"/>
      <c r="F44" s="231"/>
      <c r="G44" s="3329"/>
    </row>
    <row r="45" spans="1:7" s="206" customFormat="1" ht="13.5" customHeight="1">
      <c r="A45" s="247" t="s">
        <v>1547</v>
      </c>
      <c r="B45" s="236" t="s">
        <v>1513</v>
      </c>
      <c r="C45" s="237">
        <f ca="1">C46</f>
        <v>1980</v>
      </c>
      <c r="D45" s="227">
        <f ca="1">C47</f>
        <v>6.0000000000000001E-3</v>
      </c>
      <c r="E45" s="228" t="s">
        <v>1539</v>
      </c>
      <c r="F45" s="238">
        <f ca="1">F27</f>
        <v>0.2</v>
      </c>
      <c r="G45" s="239" t="s">
        <v>1548</v>
      </c>
    </row>
    <row r="46" spans="1:7" s="206" customFormat="1" ht="13.5" customHeight="1">
      <c r="A46" s="734" t="s">
        <v>346</v>
      </c>
      <c r="B46" s="240" t="s">
        <v>1549</v>
      </c>
      <c r="C46" s="241">
        <f ca="1">ROUND((C33+C39)*F27,0)</f>
        <v>1980</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13397</v>
      </c>
      <c r="D49" s="224"/>
      <c r="E49" s="224"/>
      <c r="F49" s="256"/>
      <c r="G49" s="226" t="s">
        <v>1554</v>
      </c>
    </row>
    <row r="50" spans="1:7" s="250" customFormat="1" ht="24">
      <c r="A50" s="247" t="s">
        <v>1555</v>
      </c>
      <c r="B50" s="202" t="s">
        <v>1556</v>
      </c>
      <c r="C50" s="224"/>
      <c r="D50" s="224"/>
      <c r="E50" s="224"/>
      <c r="F50" s="256">
        <f>IF('数据-取费表'!B24=0,'数据-取费表'!N16,1)</f>
        <v>0.79</v>
      </c>
      <c r="G50" s="239" t="s">
        <v>1557</v>
      </c>
    </row>
    <row r="51" spans="1:7" ht="16.5" customHeight="1">
      <c r="A51" s="247" t="s">
        <v>1558</v>
      </c>
      <c r="B51" s="202" t="s">
        <v>1559</v>
      </c>
      <c r="C51" s="224">
        <f ca="1">ROUND(C49*F50,0)</f>
        <v>10584</v>
      </c>
      <c r="D51" s="224"/>
      <c r="E51" s="224"/>
      <c r="F51" s="256"/>
      <c r="G51" s="226" t="s">
        <v>1560</v>
      </c>
    </row>
    <row r="52" spans="1:7" s="200" customFormat="1" ht="16.5" thickBot="1">
      <c r="A52" s="257" t="s">
        <v>1561</v>
      </c>
      <c r="B52" s="258"/>
      <c r="C52" s="259">
        <f ca="1">C31+C51</f>
        <v>23199</v>
      </c>
      <c r="D52" s="258"/>
      <c r="E52" s="258"/>
      <c r="F52" s="258"/>
      <c r="G52" s="260"/>
    </row>
    <row r="55" spans="1:7" ht="15">
      <c r="B55" s="262" t="s">
        <v>1562</v>
      </c>
      <c r="C55" s="263"/>
    </row>
    <row r="56" spans="1:7">
      <c r="B56" s="265" t="s">
        <v>802</v>
      </c>
      <c r="C56" s="267">
        <f ca="1">1-C57</f>
        <v>0.54400000000000004</v>
      </c>
    </row>
    <row r="57" spans="1:7">
      <c r="B57" s="265" t="s">
        <v>803</v>
      </c>
      <c r="C57" s="266">
        <f ca="1">ROUND(C51/C52,3)</f>
        <v>0.45600000000000002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11574.1857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6617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3498230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3498230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3498230</v>
      </c>
      <c r="D10" s="795">
        <f ca="1">IF(B1="",'数据-汇总表'!E6,IF(INDIRECT("'数据-取费表'!c"&amp;$G$1)="住宅",INDIRECT("'数据-取费表'!s"&amp;$G$1),INDIRECT("'数据-取费表'!k"&amp;$G$1)+INDIRECT("'数据-取费表'!s"&amp;$G$1)))</f>
        <v>17491.149999999998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3498230</v>
      </c>
      <c r="D19" s="204">
        <f ca="1">D9+D10</f>
        <v>17491.149999999998</v>
      </c>
      <c r="E19" s="203">
        <f>'数据-取费表'!B31</f>
        <v>200</v>
      </c>
      <c r="F19" s="223"/>
      <c r="G19" s="1714"/>
    </row>
    <row r="20" spans="1:7" s="206" customFormat="1" ht="13.5" customHeight="1">
      <c r="A20" s="247" t="s">
        <v>1574</v>
      </c>
      <c r="B20" s="202" t="s">
        <v>1575</v>
      </c>
      <c r="C20" s="224">
        <f ca="1">ROUND((C5+C19)*F20,0)</f>
        <v>139929</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444842</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220252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220252</v>
      </c>
      <c r="D24" s="230"/>
      <c r="E24" s="230"/>
      <c r="F24" s="231"/>
      <c r="G24" s="232" t="s">
        <v>1586</v>
      </c>
    </row>
    <row r="25" spans="1:7" s="206" customFormat="1" ht="24">
      <c r="A25" s="734" t="s">
        <v>1476</v>
      </c>
      <c r="B25" s="207" t="s">
        <v>1587</v>
      </c>
      <c r="C25" s="230">
        <f ca="1">ROUND(IF('数据-取费表'!B22&lt;=1,C20*F22*'数据-取费表'!B22/2,C20*(POWER((1+F22),'数据-取费表'!B22/2)-1)),0)</f>
        <v>4338</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1427278</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1427278</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9901637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97075883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87455750</v>
      </c>
      <c r="D34" s="209"/>
      <c r="E34" s="212"/>
      <c r="F34" s="249"/>
      <c r="G34" s="211"/>
    </row>
    <row r="35" spans="1:7" ht="13.5" customHeight="1">
      <c r="A35" s="734" t="s">
        <v>351</v>
      </c>
      <c r="B35" s="207" t="s">
        <v>1527</v>
      </c>
      <c r="C35" s="212">
        <f ca="1">ROUND(C34*F35,0)</f>
        <v>4372788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3498230</v>
      </c>
      <c r="D37" s="209">
        <f ca="1">D19</f>
        <v>17491.149999999998</v>
      </c>
      <c r="E37" s="241">
        <f>'数据-取费表'!B35</f>
        <v>200</v>
      </c>
      <c r="F37" s="251"/>
      <c r="G37" s="253"/>
    </row>
    <row r="38" spans="1:7" ht="13.5" customHeight="1">
      <c r="A38" s="734" t="s">
        <v>354</v>
      </c>
      <c r="B38" s="207" t="s">
        <v>1533</v>
      </c>
      <c r="C38" s="212">
        <f ca="1">ROUND(C34*F38,0)</f>
        <v>1749115</v>
      </c>
      <c r="D38" s="212"/>
      <c r="E38" s="212"/>
      <c r="F38" s="251">
        <f>'数据-取费表'!B36</f>
        <v>0.02</v>
      </c>
      <c r="G38" s="211" t="s">
        <v>1528</v>
      </c>
    </row>
    <row r="39" spans="1:7" s="206" customFormat="1" ht="13.5" customHeight="1">
      <c r="A39" s="247" t="s">
        <v>1534</v>
      </c>
      <c r="B39" s="202" t="s">
        <v>1535</v>
      </c>
      <c r="C39" s="224">
        <f ca="1">ROUND(C33*F20,0)</f>
        <v>1941518</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3069539</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3009352</v>
      </c>
      <c r="D42" s="230"/>
      <c r="E42" s="230"/>
      <c r="F42" s="231"/>
      <c r="G42" s="3327" t="s">
        <v>1591</v>
      </c>
    </row>
    <row r="43" spans="1:7" ht="13.5" customHeight="1">
      <c r="A43" s="734" t="s">
        <v>347</v>
      </c>
      <c r="B43" s="207" t="s">
        <v>1545</v>
      </c>
      <c r="C43" s="230">
        <f ca="1">ROUND(IF('数据-取费表'!B22&lt;=1,C39*F22*'数据-取费表'!B20/2,C39*(POWER((1+F22),'数据-取费表'!B20/2)-1)),0)</f>
        <v>60187</v>
      </c>
      <c r="D43" s="230"/>
      <c r="E43" s="230"/>
      <c r="F43" s="231"/>
      <c r="G43" s="3328"/>
    </row>
    <row r="44" spans="1:7" ht="13.5" customHeight="1">
      <c r="A44" s="734" t="s">
        <v>348</v>
      </c>
      <c r="B44" s="207" t="s">
        <v>1546</v>
      </c>
      <c r="C44" s="230">
        <f ca="1">ROUND(IF('数据-取费表'!B22&lt;=1,C40*F22*'数据-取费表'!B20/2,C40*(POWER((1+F22),'数据-取费表'!B20/2)-1)),4)</f>
        <v>8.9999999999999998E-4</v>
      </c>
      <c r="D44" s="230"/>
      <c r="E44" s="230"/>
      <c r="F44" s="231"/>
      <c r="G44" s="3329"/>
    </row>
    <row r="45" spans="1:7" s="206" customFormat="1" ht="13.5" customHeight="1">
      <c r="A45" s="247" t="s">
        <v>1547</v>
      </c>
      <c r="B45" s="236" t="s">
        <v>1513</v>
      </c>
      <c r="C45" s="237">
        <f ca="1">C46</f>
        <v>19803480</v>
      </c>
      <c r="D45" s="227">
        <f ca="1">C47</f>
        <v>6.0000000000000001E-3</v>
      </c>
      <c r="E45" s="228" t="s">
        <v>1539</v>
      </c>
      <c r="F45" s="238">
        <f ca="1">F27</f>
        <v>0.2</v>
      </c>
      <c r="G45" s="239" t="s">
        <v>1548</v>
      </c>
    </row>
    <row r="46" spans="1:7" s="206" customFormat="1" ht="13.5" customHeight="1">
      <c r="A46" s="734" t="s">
        <v>346</v>
      </c>
      <c r="B46" s="240" t="s">
        <v>1549</v>
      </c>
      <c r="C46" s="241">
        <f ca="1">ROUND((C33+C39)*F27,0)</f>
        <v>19803480</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133974962</v>
      </c>
      <c r="D49" s="224"/>
      <c r="E49" s="224"/>
      <c r="F49" s="256"/>
      <c r="G49" s="226" t="s">
        <v>1554</v>
      </c>
    </row>
    <row r="50" spans="1:7" s="250" customFormat="1">
      <c r="A50" s="247" t="s">
        <v>1555</v>
      </c>
      <c r="B50" s="202" t="s">
        <v>1556</v>
      </c>
      <c r="C50" s="224"/>
      <c r="D50" s="224"/>
      <c r="E50" s="224"/>
      <c r="F50" s="256">
        <f>IF('数据-取费表'!B24=0,'数据-取费表'!N16,1)</f>
        <v>0.79</v>
      </c>
      <c r="G50" s="239"/>
    </row>
    <row r="51" spans="1:7" ht="16.5" customHeight="1">
      <c r="A51" s="247" t="s">
        <v>1558</v>
      </c>
      <c r="B51" s="202" t="s">
        <v>1593</v>
      </c>
      <c r="C51" s="224">
        <f ca="1">ROUND(C49*F50,0)</f>
        <v>105840220</v>
      </c>
      <c r="D51" s="224"/>
      <c r="E51" s="224"/>
      <c r="F51" s="256"/>
      <c r="G51" s="226" t="s">
        <v>1560</v>
      </c>
    </row>
    <row r="52" spans="1:7" s="200" customFormat="1" ht="16.5" thickBot="1">
      <c r="A52" s="257" t="s">
        <v>1561</v>
      </c>
      <c r="B52" s="258"/>
      <c r="C52" s="259">
        <f ca="1">C31+C51</f>
        <v>115741857</v>
      </c>
      <c r="D52" s="258"/>
      <c r="E52" s="258"/>
      <c r="F52" s="258"/>
      <c r="G52" s="260"/>
    </row>
    <row r="55" spans="1:7" ht="15">
      <c r="B55" s="262" t="s">
        <v>1562</v>
      </c>
      <c r="C55" s="263"/>
    </row>
    <row r="56" spans="1:7">
      <c r="B56" s="265" t="s">
        <v>802</v>
      </c>
      <c r="C56" s="267">
        <f ca="1">1-C57</f>
        <v>8.5999999999999965E-2</v>
      </c>
    </row>
    <row r="57" spans="1:7">
      <c r="B57" s="265" t="s">
        <v>803</v>
      </c>
      <c r="C57" s="266">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-416</v>
      </c>
      <c r="C2" s="268" t="s">
        <v>1595</v>
      </c>
      <c r="D2" s="268"/>
      <c r="E2" s="2568"/>
      <c r="F2" s="2568"/>
      <c r="G2" s="2568"/>
      <c r="H2" s="2568"/>
      <c r="I2" s="2568"/>
      <c r="J2" s="2568"/>
      <c r="K2" s="2568"/>
    </row>
    <row r="3" spans="1:33" ht="18" customHeight="1" thickBot="1">
      <c r="A3" s="195" t="s">
        <v>1464</v>
      </c>
      <c r="B3" s="196">
        <f ca="1">ROUND(B2*10000/IF(C1="",'数据-汇总表'!E3,INDIRECT("'数据-取费表'!K"&amp;$K$1)),0)</f>
        <v>-238</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17491.149999999998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17491.149999999998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350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350</v>
      </c>
      <c r="D20" s="796">
        <f ca="1">IF(C1="",'数据-汇总表'!E6,IF(INDIRECT("'数据-取费表'!c"&amp;$K$1)="住宅",INDIRECT("'数据-取费表'!s"&amp;$K$1),INDIRECT("'数据-取费表'!k"&amp;$K$1)+INDIRECT("'数据-取费表'!s"&amp;$K$1)))</f>
        <v>17491.149999999998</v>
      </c>
      <c r="E20" s="21">
        <f>'数据-取费表'!B28</f>
        <v>200</v>
      </c>
      <c r="F20" s="756"/>
      <c r="G20" s="12"/>
      <c r="H20" s="761"/>
      <c r="I20" s="761"/>
      <c r="J20" s="761"/>
      <c r="K20" s="762"/>
    </row>
    <row r="21" spans="1:33" s="755" customFormat="1" ht="13.5" customHeight="1">
      <c r="A21" s="744" t="s">
        <v>357</v>
      </c>
      <c r="B21" s="765" t="s">
        <v>1628</v>
      </c>
      <c r="C21" s="766">
        <f ca="1">C16+C17+C18</f>
        <v>350</v>
      </c>
      <c r="D21" s="767"/>
      <c r="E21" s="273"/>
      <c r="F21" s="273"/>
      <c r="G21" s="123" t="s">
        <v>1629</v>
      </c>
      <c r="H21" s="759"/>
      <c r="I21" s="759"/>
      <c r="J21" s="759"/>
      <c r="K21" s="760"/>
    </row>
    <row r="22" spans="1:33" s="755" customFormat="1" ht="13.5" customHeight="1">
      <c r="A22" s="744" t="s">
        <v>1601</v>
      </c>
      <c r="B22" s="765" t="s">
        <v>1630</v>
      </c>
      <c r="C22" s="766">
        <f ca="1">ROUND(C21*F22,0)</f>
        <v>7</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71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71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-416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H12" sqref="H1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18" width="12" style="1845"/>
    <col min="19" max="19" width="12.625" style="1845" bestFit="1" customWidth="1"/>
    <col min="20"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5628.78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8650</v>
      </c>
      <c r="C2" s="1846" t="s">
        <v>1935</v>
      </c>
      <c r="D2" s="162" t="s">
        <v>1936</v>
      </c>
      <c r="E2" s="3120"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9117</v>
      </c>
      <c r="U2" s="1130">
        <f>面积!T5</f>
        <v>2046.83</v>
      </c>
      <c r="V2" s="3064">
        <f>ROUND(T2*U2/10000,0)</f>
        <v>1866</v>
      </c>
      <c r="W2" s="1133"/>
      <c r="X2" s="1133"/>
      <c r="Y2" s="1133"/>
      <c r="Z2" s="1133"/>
      <c r="AA2" s="1133"/>
      <c r="AB2" s="1133"/>
      <c r="AC2" s="1134"/>
      <c r="AD2" s="1135"/>
      <c r="AE2" s="1135"/>
      <c r="AF2" s="1135"/>
      <c r="AG2" s="1135"/>
      <c r="AH2" s="1135"/>
      <c r="AI2" s="1135"/>
      <c r="AJ2" s="1136"/>
    </row>
    <row r="3" spans="1:36" ht="15.75">
      <c r="A3" s="195" t="s">
        <v>1940</v>
      </c>
      <c r="B3" s="196">
        <f>ROUND(B2*10000/D1,0)</f>
        <v>15367</v>
      </c>
      <c r="C3" s="1846" t="s">
        <v>1941</v>
      </c>
      <c r="D3" s="162" t="s">
        <v>1942</v>
      </c>
      <c r="E3" s="3118" t="s">
        <v>2449</v>
      </c>
      <c r="F3" s="1848" t="s">
        <v>3422</v>
      </c>
      <c r="G3" s="708">
        <f>IF(F3="宗地容积率",'数据-汇总表'!I4,IF(F3="估价对象容积率",'数据-汇总表'!I6,'数据-汇总表'!I7))</f>
        <v>0</v>
      </c>
      <c r="H3" s="162" t="s">
        <v>1943</v>
      </c>
      <c r="I3" s="729">
        <v>6</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7186</v>
      </c>
      <c r="U3" s="1130">
        <f>面积!T6</f>
        <v>2201.2400000000002</v>
      </c>
      <c r="V3" s="3064">
        <f t="shared" ref="V3:V16" si="1">ROUND(T3*U3/10000,0)</f>
        <v>1582</v>
      </c>
      <c r="W3" s="1133"/>
      <c r="X3" s="1133"/>
      <c r="Y3" s="1133"/>
      <c r="Z3" s="1133"/>
      <c r="AA3" s="1133"/>
      <c r="AB3" s="1133"/>
      <c r="AC3" s="1134"/>
      <c r="AD3" s="1135"/>
      <c r="AE3" s="1135"/>
      <c r="AF3" s="1135"/>
      <c r="AG3" s="1135"/>
      <c r="AH3" s="1135"/>
      <c r="AI3" s="1135"/>
      <c r="AJ3" s="1136"/>
    </row>
    <row r="4" spans="1:36" ht="15.75">
      <c r="A4" s="3337"/>
      <c r="B4" s="3338"/>
      <c r="C4" s="3338"/>
      <c r="D4" s="3339"/>
      <c r="E4" s="3339"/>
      <c r="F4" s="3339"/>
      <c r="G4" s="3339"/>
      <c r="H4" s="3339"/>
      <c r="I4" s="3339"/>
      <c r="J4" s="334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6073</v>
      </c>
      <c r="U4" s="1130">
        <f>面积!T7</f>
        <v>2220.41</v>
      </c>
      <c r="V4" s="3064">
        <f t="shared" si="1"/>
        <v>1348</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9460</v>
      </c>
      <c r="D5" s="1252">
        <f>ROUND(C6*C17+C20,0)</f>
        <v>9460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5357</v>
      </c>
      <c r="U5" s="1130">
        <f>面积!T8</f>
        <v>2051.1999999999998</v>
      </c>
      <c r="V5" s="3064">
        <f t="shared" si="1"/>
        <v>1099</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9460</v>
      </c>
      <c r="D6" s="1861"/>
      <c r="E6" s="1862"/>
      <c r="F6" s="1862"/>
      <c r="G6" s="1863"/>
      <c r="H6" s="1863"/>
      <c r="I6" s="1863"/>
      <c r="J6" s="1864"/>
      <c r="K6" s="1292"/>
      <c r="L6" s="1847" t="s">
        <v>1951</v>
      </c>
      <c r="M6" s="811">
        <f>SUMPRODUCT((区片价!B127:B189=I2)*(区片价!C3:G3=E2)*(区片价!C127:G189))</f>
        <v>9460</v>
      </c>
      <c r="N6" s="813">
        <f>SUMPRODUCT((因素修正幅度!B127:B189=I2)*(因素修正幅度!C3:G3=E2)*(因素修正幅度!C127:G189))</f>
        <v>0.13</v>
      </c>
      <c r="O6" s="1056"/>
      <c r="P6" s="1056"/>
      <c r="Q6" s="1056"/>
      <c r="R6" s="1129">
        <v>5</v>
      </c>
      <c r="S6" s="3064">
        <f>ROUND(SUMPRODUCT((B106:B110=R6)*(C105:N105=G2)*(C106:N110)),4)</f>
        <v>0.84799999999999998</v>
      </c>
      <c r="T6" s="3064">
        <f t="shared" si="0"/>
        <v>5148</v>
      </c>
      <c r="U6" s="1130">
        <f>面积!T9</f>
        <v>1875.57</v>
      </c>
      <c r="V6" s="3064">
        <f t="shared" si="1"/>
        <v>966</v>
      </c>
      <c r="W6" s="1133"/>
      <c r="X6" s="1133"/>
      <c r="Y6" s="1133"/>
      <c r="Z6" s="1133"/>
      <c r="AA6" s="1133"/>
      <c r="AB6" s="1133"/>
      <c r="AC6" s="1855"/>
      <c r="AD6" s="1856"/>
      <c r="AE6" s="1856"/>
      <c r="AF6" s="1856"/>
      <c r="AG6" s="1856"/>
      <c r="AH6" s="1856"/>
      <c r="AI6" s="1856"/>
      <c r="AJ6" s="1857"/>
    </row>
    <row r="7" spans="1:36" ht="24.75" thickBot="1">
      <c r="A7" s="3013" t="s">
        <v>3239</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064">
        <f>ROUND((-0.7912*(H111^2)-11.3794*H111+8482)*(10^(-4)),4)</f>
        <v>0.83850000000000002</v>
      </c>
      <c r="T7" s="3064">
        <f t="shared" si="0"/>
        <v>5090</v>
      </c>
      <c r="U7" s="1130">
        <f>面积!T10</f>
        <v>1467.12</v>
      </c>
      <c r="V7" s="3064">
        <f t="shared" si="1"/>
        <v>747</v>
      </c>
      <c r="W7" s="1267" t="s">
        <v>1955</v>
      </c>
      <c r="X7" s="1131" t="str">
        <f>G2</f>
        <v>六级</v>
      </c>
      <c r="Y7" s="1131" t="s">
        <v>1956</v>
      </c>
      <c r="Z7" s="1132">
        <f>G3</f>
        <v>0</v>
      </c>
      <c r="AA7" s="1133"/>
      <c r="AB7" s="1133"/>
      <c r="AC7" s="1134"/>
      <c r="AD7" s="1135"/>
      <c r="AE7" s="1135"/>
      <c r="AF7" s="1135"/>
      <c r="AG7" s="1135"/>
      <c r="AH7" s="1135"/>
      <c r="AI7" s="1135"/>
      <c r="AJ7" s="1136"/>
    </row>
    <row r="8" spans="1:36" ht="25.5">
      <c r="A8" s="3010"/>
      <c r="B8" s="162" t="s">
        <v>1957</v>
      </c>
      <c r="C8" s="1870" t="s">
        <v>3424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34" t="s">
        <v>1960</v>
      </c>
      <c r="X8" s="333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36"/>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3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3240</v>
      </c>
      <c r="B12" s="3014" t="s">
        <v>3241</v>
      </c>
      <c r="C12" s="3015">
        <v>1</v>
      </c>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3247</v>
      </c>
      <c r="B17" s="3028" t="s">
        <v>3248</v>
      </c>
      <c r="C17" s="3037">
        <f>ROUND(IF(OR(E2="工业",E2="公共服务"),1,IF(AND(E18=0,E19=0),1,IF(AND(E18=J24,E19=G19),0.8,IF(E19=0,1+E17*(-0.2),1+E17*G17*(-0.2))))),4)</f>
        <v>1</v>
      </c>
      <c r="D17" s="3029" t="s">
        <v>3249</v>
      </c>
      <c r="E17" s="3037">
        <f>ROUND(G18/I18,2)</f>
        <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3250</v>
      </c>
      <c r="E18" s="2357"/>
      <c r="F18" s="3031" t="s">
        <v>3253</v>
      </c>
      <c r="G18" s="3035">
        <f>ROUND(1-(1/(POWER(1+G24,E18))),4)</f>
        <v>0</v>
      </c>
      <c r="H18" s="3031" t="s">
        <v>3255</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41" t="s">
        <v>3256</v>
      </c>
      <c r="B20" s="159" t="s">
        <v>1994</v>
      </c>
      <c r="C20" s="3032">
        <f>ROUND(IF(F21="与级别开发程度一致",0,(G21-E21)/C21),0)</f>
        <v>0</v>
      </c>
      <c r="D20" s="3047" t="s">
        <v>1998</v>
      </c>
      <c r="E20" s="3048"/>
      <c r="F20" s="3347" t="s">
        <v>1995</v>
      </c>
      <c r="G20" s="334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4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3425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6" t="s">
        <v>2002</v>
      </c>
      <c r="E23" s="717">
        <v>44197</v>
      </c>
      <c r="F23" s="1896" t="s">
        <v>2003</v>
      </c>
      <c r="G23" s="718">
        <f>'数据-取费表'!B2</f>
        <v>45610</v>
      </c>
      <c r="H23" s="3049" t="s">
        <v>3258</v>
      </c>
      <c r="I23" s="3050" t="str">
        <f>IF(H23="季度增幅（自定义）",SUMIF(N25:N28,E2,O25:O28),"")</f>
        <v/>
      </c>
      <c r="J23" s="3141" t="s">
        <v>3257</v>
      </c>
      <c r="K23" s="1061"/>
      <c r="L23" s="1897" t="s">
        <v>2004</v>
      </c>
      <c r="M23" s="1241">
        <f>ROUND(SUMIF(地价!B2:G2,E2,地价!B16:G16),0)</f>
        <v>350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0.74039999999999995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19.79</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3423</v>
      </c>
      <c r="C25" s="461">
        <f>IF(B25="容积率修正",IF(G3&lt;10,D26,J26),C27)</f>
        <v>0.83850000000000002</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0.83850000000000002</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1.0368999999999999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8650</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261</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5090</v>
      </c>
      <c r="D33" s="1940"/>
      <c r="E33" s="727">
        <f>ROUND(C33*D33/10000,0)</f>
        <v>0</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45"/>
      <c r="B37" s="1955" t="s">
        <v>2036</v>
      </c>
      <c r="C37" s="167">
        <f>ROUND(D5*C22*C23*C24*C28*F37,0)</f>
        <v>3642</v>
      </c>
      <c r="D37" s="1940">
        <f>面积!T4</f>
        <v>97.08</v>
      </c>
      <c r="E37" s="163">
        <f>ROUND(C37*D37/10000,0)</f>
        <v>35</v>
      </c>
      <c r="F37" s="163">
        <f>SUMIF(修正!A57:A68,G2,修正!B57:B68)</f>
        <v>0.6</v>
      </c>
      <c r="G37" s="163">
        <f>ROUND(IF(E2="工业",C37*$M$42,C37*$M$41),0)</f>
        <v>911</v>
      </c>
      <c r="H37" s="163">
        <f>D37</f>
        <v>97.08</v>
      </c>
      <c r="I37" s="163">
        <f>ROUND(G37*H37/10000,0)</f>
        <v>9</v>
      </c>
      <c r="J37" s="2755"/>
      <c r="K37" s="3062" t="s">
        <v>3268</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46"/>
      <c r="B38" s="1884" t="s">
        <v>2037</v>
      </c>
      <c r="C38" s="167">
        <f>ROUND(D5*C22*C23*C24*C28*F38,0)</f>
        <v>1821</v>
      </c>
      <c r="D38" s="1940">
        <f>面积!T3</f>
        <v>5531.7</v>
      </c>
      <c r="E38" s="163">
        <f t="shared" ref="E38:E42" si="4">ROUND(C38*D38/10000,0)</f>
        <v>1007</v>
      </c>
      <c r="F38" s="163">
        <f>SUMIF(修正!A57:A68,G2,修正!C57:C68)</f>
        <v>0.3</v>
      </c>
      <c r="G38" s="163">
        <f>ROUND(IF(E2="工业",C38*$M$42,C38*$M$41),0)</f>
        <v>455</v>
      </c>
      <c r="H38" s="163">
        <f t="shared" ref="H38:H42" si="5">D38</f>
        <v>5531.7</v>
      </c>
      <c r="I38" s="163">
        <f t="shared" ref="I38:I42" si="6">ROUND(G38*H38/10000,0)</f>
        <v>252</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46"/>
      <c r="B39" s="1884" t="s">
        <v>3261</v>
      </c>
      <c r="C39" s="167">
        <f>ROUND(D5*C22*C23*C24*C28*F39,0)</f>
        <v>1518</v>
      </c>
      <c r="D39" s="1940"/>
      <c r="E39" s="163">
        <f t="shared" si="4"/>
        <v>0</v>
      </c>
      <c r="F39" s="163">
        <f>SUMIF(修正!A57:A68,G2,修正!D57:D68)</f>
        <v>0.25</v>
      </c>
      <c r="G39" s="163">
        <f>ROUND(IF(E2="工业",C39*$M$42,C39*$M$41),0)</f>
        <v>380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1518</v>
      </c>
      <c r="D40" s="1940"/>
      <c r="E40" s="163">
        <f t="shared" si="4"/>
        <v>0</v>
      </c>
      <c r="F40" s="167">
        <f>SUMIF(修正!A57:A68,G2,修正!E57:E68)</f>
        <v>0.25</v>
      </c>
      <c r="G40" s="163">
        <f>ROUND(IF(E2="工业",C40*$M$42,C40*$M$41),0)</f>
        <v>380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1.0368999999999999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3426</v>
      </c>
      <c r="D50" s="1002">
        <f t="shared" ref="D50:D58" si="7">SUMIF($J$49:$N$49,C50,J50:N50)</f>
        <v>0</v>
      </c>
      <c r="E50" s="702">
        <f>ROUND(SUM(D50:D58),4)</f>
        <v>3.6900000000000002E-2</v>
      </c>
      <c r="F50" s="1675">
        <f>IF(E2="商业",SUMIF(L1:L12,G2,N1:N12),"——")</f>
        <v>0.13</v>
      </c>
      <c r="G50" s="1000">
        <f>H50</f>
        <v>1.95E-2</v>
      </c>
      <c r="H50" s="1003">
        <f t="shared" ref="H50:H58" si="8">IFERROR(ROUNDDOWN($F$50*I50/2,4),"——")</f>
        <v>1.95E-2</v>
      </c>
      <c r="I50" s="3069">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3427</v>
      </c>
      <c r="D51" s="1002">
        <f t="shared" si="7"/>
        <v>1.43E-2</v>
      </c>
      <c r="E51" s="703"/>
      <c r="F51" s="1675"/>
      <c r="G51" s="1000">
        <f t="shared" ref="G51:G58" si="12">H51</f>
        <v>1.43E-2</v>
      </c>
      <c r="H51" s="1003">
        <f t="shared" si="8"/>
        <v>1.43E-2</v>
      </c>
      <c r="I51" s="3069">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1" t="s">
        <v>3271</v>
      </c>
      <c r="B52" s="1262">
        <f>估价对象房地状况!C19</f>
        <v>0</v>
      </c>
      <c r="C52" s="1887" t="s">
        <v>3427</v>
      </c>
      <c r="D52" s="1002">
        <f t="shared" si="7"/>
        <v>7.7999999999999996E-3</v>
      </c>
      <c r="E52" s="703"/>
      <c r="F52" s="1675"/>
      <c r="G52" s="1000">
        <f t="shared" si="12"/>
        <v>7.7999999999999996E-3</v>
      </c>
      <c r="H52" s="1003">
        <f t="shared" si="8"/>
        <v>7.7999999999999996E-3</v>
      </c>
      <c r="I52" s="3069">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3427</v>
      </c>
      <c r="D53" s="1002">
        <f t="shared" si="7"/>
        <v>3.2000000000000002E-3</v>
      </c>
      <c r="E53" s="703"/>
      <c r="F53" s="1675"/>
      <c r="G53" s="1000">
        <f t="shared" si="12"/>
        <v>3.2000000000000002E-3</v>
      </c>
      <c r="H53" s="1003">
        <f t="shared" si="8"/>
        <v>3.2000000000000002E-3</v>
      </c>
      <c r="I53" s="3069">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3426</v>
      </c>
      <c r="D54" s="1002">
        <f t="shared" si="7"/>
        <v>0</v>
      </c>
      <c r="E54" s="703"/>
      <c r="F54" s="1675"/>
      <c r="G54" s="1000">
        <f t="shared" si="12"/>
        <v>5.1999999999999998E-3</v>
      </c>
      <c r="H54" s="1003">
        <f t="shared" si="8"/>
        <v>5.1999999999999998E-3</v>
      </c>
      <c r="I54" s="3069">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2057</v>
      </c>
      <c r="B55" s="1975" t="s">
        <v>2058</v>
      </c>
      <c r="C55" s="1887" t="s">
        <v>3427</v>
      </c>
      <c r="D55" s="1002">
        <f t="shared" si="7"/>
        <v>3.2000000000000002E-3</v>
      </c>
      <c r="E55" s="703"/>
      <c r="F55" s="1675"/>
      <c r="G55" s="1000">
        <f t="shared" si="12"/>
        <v>3.2000000000000002E-3</v>
      </c>
      <c r="H55" s="1003">
        <f t="shared" si="8"/>
        <v>3.2000000000000002E-3</v>
      </c>
      <c r="I55" s="3069">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3427</v>
      </c>
      <c r="D56" s="1002">
        <f t="shared" si="7"/>
        <v>3.2000000000000002E-3</v>
      </c>
      <c r="E56" s="703"/>
      <c r="F56" s="1675"/>
      <c r="G56" s="1000">
        <f t="shared" si="12"/>
        <v>3.2000000000000002E-3</v>
      </c>
      <c r="H56" s="1003">
        <f t="shared" si="8"/>
        <v>3.2000000000000002E-3</v>
      </c>
      <c r="I56" s="3069">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3427</v>
      </c>
      <c r="D57" s="1002">
        <f t="shared" si="7"/>
        <v>5.1999999999999998E-3</v>
      </c>
      <c r="E57" s="703"/>
      <c r="F57" s="1675"/>
      <c r="G57" s="1000">
        <f t="shared" si="12"/>
        <v>5.1999999999999998E-3</v>
      </c>
      <c r="H57" s="1003">
        <f t="shared" si="8"/>
        <v>5.1999999999999998E-3</v>
      </c>
      <c r="I57" s="3069">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3426</v>
      </c>
      <c r="D58" s="1002">
        <f t="shared" si="7"/>
        <v>0</v>
      </c>
      <c r="E58" s="704"/>
      <c r="F58" s="1675"/>
      <c r="G58" s="1000">
        <f t="shared" si="12"/>
        <v>3.2000000000000002E-3</v>
      </c>
      <c r="H58" s="1003">
        <f t="shared" si="8"/>
        <v>3.2000000000000002E-3</v>
      </c>
      <c r="I58" s="3070">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3271</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3271</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3272</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2614</v>
      </c>
      <c r="B91" s="3080">
        <f>1+E93</f>
        <v>1</v>
      </c>
      <c r="C91" s="3073"/>
      <c r="D91" s="3074"/>
      <c r="E91" s="1675"/>
      <c r="F91" s="1675"/>
      <c r="G91" s="3075"/>
      <c r="H91" s="3076"/>
      <c r="I91" s="3077"/>
      <c r="J91" s="3078"/>
      <c r="K91" s="3078"/>
      <c r="L91" s="3078"/>
      <c r="M91" s="3078"/>
      <c r="N91" s="3078"/>
    </row>
    <row r="92" spans="1:37" ht="24.75">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19"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3275</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19" t="str">
        <f>IFERROR(ROUNDDOWN($F$93*I94/2,4),"——")</f>
        <v>——</v>
      </c>
      <c r="I94" s="3069">
        <v>0.26</v>
      </c>
      <c r="J94" s="1912">
        <f t="shared" si="28"/>
        <v>0</v>
      </c>
      <c r="K94" s="1912">
        <f t="shared" si="29"/>
        <v>0</v>
      </c>
      <c r="L94" s="1912">
        <v>0</v>
      </c>
      <c r="M94" s="1912">
        <f t="shared" si="30"/>
        <v>0</v>
      </c>
      <c r="N94" s="1912">
        <f t="shared" si="30"/>
        <v>0</v>
      </c>
    </row>
    <row r="95" spans="1:37" ht="36">
      <c r="A95" s="3071" t="s">
        <v>3271</v>
      </c>
      <c r="B95" s="3072">
        <f>估价对象房地状况!C19</f>
        <v>0</v>
      </c>
      <c r="C95" s="1887"/>
      <c r="D95" s="2310">
        <f t="shared" si="31"/>
        <v>0</v>
      </c>
      <c r="E95" s="3085"/>
      <c r="F95" s="1675"/>
      <c r="G95" s="3075"/>
      <c r="H95" s="3119"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3276</v>
      </c>
      <c r="B96" s="3087" t="s">
        <v>3287</v>
      </c>
      <c r="C96" s="1887"/>
      <c r="D96" s="2310">
        <f t="shared" si="31"/>
        <v>0</v>
      </c>
      <c r="E96" s="3085"/>
      <c r="F96" s="1675"/>
      <c r="G96" s="3075"/>
      <c r="H96" s="3119" t="str">
        <f t="shared" si="32"/>
        <v>——</v>
      </c>
      <c r="I96" s="3069">
        <v>0.05</v>
      </c>
      <c r="J96" s="1912">
        <f t="shared" si="28"/>
        <v>0</v>
      </c>
      <c r="K96" s="1912">
        <f t="shared" si="29"/>
        <v>0</v>
      </c>
      <c r="L96" s="1912">
        <v>0</v>
      </c>
      <c r="M96" s="1912">
        <f t="shared" si="30"/>
        <v>0</v>
      </c>
      <c r="N96" s="1912">
        <f t="shared" si="30"/>
        <v>0</v>
      </c>
    </row>
    <row r="97" spans="1:14" ht="24">
      <c r="A97" s="3081" t="s">
        <v>3277</v>
      </c>
      <c r="B97" s="3072">
        <f>估价对象房地状况!C24</f>
        <v>0</v>
      </c>
      <c r="C97" s="1887"/>
      <c r="D97" s="2310">
        <f t="shared" si="31"/>
        <v>0</v>
      </c>
      <c r="E97" s="3085"/>
      <c r="F97" s="1675"/>
      <c r="G97" s="3075"/>
      <c r="H97" s="3119" t="str">
        <f t="shared" si="32"/>
        <v>——</v>
      </c>
      <c r="I97" s="3069">
        <v>0.05</v>
      </c>
      <c r="J97" s="1912">
        <f t="shared" si="28"/>
        <v>0</v>
      </c>
      <c r="K97" s="1912">
        <f t="shared" si="29"/>
        <v>0</v>
      </c>
      <c r="L97" s="1912">
        <v>0</v>
      </c>
      <c r="M97" s="1912">
        <f t="shared" si="30"/>
        <v>0</v>
      </c>
      <c r="N97" s="1912">
        <f t="shared" si="30"/>
        <v>0</v>
      </c>
    </row>
    <row r="98" spans="1:14" ht="24">
      <c r="A98" s="3081" t="s">
        <v>3278</v>
      </c>
      <c r="B98" s="3088" t="s">
        <v>3288</v>
      </c>
      <c r="C98" s="1887"/>
      <c r="D98" s="2310">
        <f t="shared" si="31"/>
        <v>0</v>
      </c>
      <c r="E98" s="3085"/>
      <c r="F98" s="1675"/>
      <c r="G98" s="3075"/>
      <c r="H98" s="3119" t="str">
        <f t="shared" si="32"/>
        <v>——</v>
      </c>
      <c r="I98" s="3069">
        <v>0.06</v>
      </c>
      <c r="J98" s="1912">
        <f t="shared" si="28"/>
        <v>0</v>
      </c>
      <c r="K98" s="1912">
        <f t="shared" si="29"/>
        <v>0</v>
      </c>
      <c r="L98" s="1912">
        <v>0</v>
      </c>
      <c r="M98" s="1912">
        <f t="shared" si="30"/>
        <v>0</v>
      </c>
      <c r="N98" s="1912">
        <f t="shared" si="30"/>
        <v>0</v>
      </c>
    </row>
    <row r="99" spans="1:14" ht="25.5">
      <c r="A99" s="3081" t="s">
        <v>3279</v>
      </c>
      <c r="B99" s="3072" t="str">
        <f>估价对象房地状况!C21</f>
        <v>估价对象所在区域公共配套设施齐备情况</v>
      </c>
      <c r="C99" s="1887"/>
      <c r="D99" s="2310">
        <f t="shared" si="31"/>
        <v>0</v>
      </c>
      <c r="E99" s="3085"/>
      <c r="F99" s="1675"/>
      <c r="G99" s="3075"/>
      <c r="H99" s="3119" t="str">
        <f t="shared" si="32"/>
        <v>——</v>
      </c>
      <c r="I99" s="3069">
        <v>0.06</v>
      </c>
      <c r="J99" s="1912">
        <f t="shared" si="28"/>
        <v>0</v>
      </c>
      <c r="K99" s="1912">
        <f t="shared" si="29"/>
        <v>0</v>
      </c>
      <c r="L99" s="1912">
        <v>0</v>
      </c>
      <c r="M99" s="1912">
        <f t="shared" si="30"/>
        <v>0</v>
      </c>
      <c r="N99" s="1912">
        <f t="shared" si="30"/>
        <v>0</v>
      </c>
    </row>
    <row r="100" spans="1:14" ht="25.5">
      <c r="A100" s="3081" t="s">
        <v>3280</v>
      </c>
      <c r="B100" s="3072" t="str">
        <f>估价对象房地状况!C22</f>
        <v>估价对象所在区域基础设施水平</v>
      </c>
      <c r="C100" s="1887"/>
      <c r="D100" s="2310">
        <f t="shared" si="31"/>
        <v>0</v>
      </c>
      <c r="E100" s="3085"/>
      <c r="F100" s="1675"/>
      <c r="G100" s="3075"/>
      <c r="H100" s="3119" t="str">
        <f t="shared" si="32"/>
        <v>——</v>
      </c>
      <c r="I100" s="3069">
        <v>0.09</v>
      </c>
      <c r="J100" s="1912">
        <f t="shared" si="28"/>
        <v>0</v>
      </c>
      <c r="K100" s="1912">
        <f t="shared" si="29"/>
        <v>0</v>
      </c>
      <c r="L100" s="1912">
        <v>0</v>
      </c>
      <c r="M100" s="1912">
        <f t="shared" si="30"/>
        <v>0</v>
      </c>
      <c r="N100" s="1912">
        <f t="shared" si="30"/>
        <v>0</v>
      </c>
    </row>
    <row r="101" spans="1:14" ht="26.25" thickBot="1">
      <c r="A101" s="3082" t="s">
        <v>3281</v>
      </c>
      <c r="B101" s="3089" t="str">
        <f>估价对象房地状况!C20</f>
        <v>区域自然环境：；人文环境；综合评价环境状况一般</v>
      </c>
      <c r="C101" s="1887"/>
      <c r="D101" s="2310">
        <f t="shared" si="31"/>
        <v>0</v>
      </c>
      <c r="E101" s="3086"/>
      <c r="F101" s="1675"/>
      <c r="G101" s="3075"/>
      <c r="H101" s="3119" t="str">
        <f t="shared" si="32"/>
        <v>——</v>
      </c>
      <c r="I101" s="3070">
        <v>7.0000000000000007E-2</v>
      </c>
      <c r="J101" s="1912">
        <f t="shared" si="28"/>
        <v>0</v>
      </c>
      <c r="K101" s="1912">
        <f t="shared" si="29"/>
        <v>0</v>
      </c>
      <c r="L101" s="1912">
        <v>0</v>
      </c>
      <c r="M101" s="1912">
        <f t="shared" si="30"/>
        <v>0</v>
      </c>
      <c r="N101" s="1912">
        <f t="shared" si="30"/>
        <v>0</v>
      </c>
    </row>
    <row r="103" spans="1:14">
      <c r="A103" s="3343" t="s">
        <v>3296</v>
      </c>
      <c r="B103" s="3343"/>
      <c r="C103" s="3343"/>
      <c r="D103" s="3343"/>
      <c r="E103" s="3343"/>
      <c r="F103" s="3343"/>
      <c r="G103" s="3343"/>
      <c r="H103" s="3343"/>
      <c r="I103" s="3343"/>
      <c r="J103" s="3343"/>
      <c r="K103" s="1667"/>
      <c r="L103" s="1667"/>
      <c r="M103" s="1667"/>
      <c r="N103" s="1667"/>
    </row>
    <row r="104" spans="1:14">
      <c r="A104" s="3344" t="s">
        <v>3297</v>
      </c>
      <c r="B104" s="3344" t="s">
        <v>3298</v>
      </c>
      <c r="C104" s="3091" t="s">
        <v>3299</v>
      </c>
      <c r="D104" s="3092"/>
      <c r="E104" s="3092"/>
      <c r="F104" s="3092"/>
      <c r="G104" s="3092"/>
      <c r="H104" s="3092"/>
      <c r="I104" s="3092"/>
      <c r="J104" s="3093"/>
      <c r="K104" s="3094"/>
      <c r="L104" s="3094"/>
      <c r="M104" s="3094"/>
      <c r="N104" s="3094"/>
    </row>
    <row r="105" spans="1:14">
      <c r="A105" s="3344"/>
      <c r="B105" s="3344"/>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330"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3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3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3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3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31"/>
      <c r="B111" s="3095" t="s">
        <v>3270</v>
      </c>
      <c r="C111" s="3096">
        <f>$I$3</f>
        <v>6</v>
      </c>
      <c r="D111" s="3096">
        <f t="shared" ref="D111:M111" si="33">$I$3</f>
        <v>6</v>
      </c>
      <c r="E111" s="3096">
        <f t="shared" si="33"/>
        <v>6</v>
      </c>
      <c r="F111" s="3096">
        <f t="shared" si="33"/>
        <v>6</v>
      </c>
      <c r="G111" s="3096">
        <f t="shared" si="33"/>
        <v>6</v>
      </c>
      <c r="H111" s="3096">
        <f t="shared" si="33"/>
        <v>6</v>
      </c>
      <c r="I111" s="3096">
        <f t="shared" si="33"/>
        <v>6</v>
      </c>
      <c r="J111" s="3096">
        <f t="shared" si="33"/>
        <v>6</v>
      </c>
      <c r="K111" s="3096">
        <f t="shared" si="33"/>
        <v>6</v>
      </c>
      <c r="L111" s="3096">
        <f t="shared" si="33"/>
        <v>6</v>
      </c>
      <c r="M111" s="3096">
        <f t="shared" si="33"/>
        <v>6</v>
      </c>
      <c r="N111" s="3096">
        <f>$I$3</f>
        <v>6</v>
      </c>
    </row>
    <row r="112" spans="1:14">
      <c r="A112" s="3332"/>
      <c r="B112" s="3095">
        <v>6</v>
      </c>
      <c r="C112" s="3090">
        <f>(-0.5556*(C111^2)-0.2719*C111+8944)*(10^(-4))</f>
        <v>0.8922367000000001</v>
      </c>
      <c r="D112" s="3090">
        <f>(-0.5556*(D111^2)-0.2719*D111+8944)*(10^(-4))</f>
        <v>0.8922367000000001</v>
      </c>
      <c r="E112" s="3090">
        <f>(-0.7912*(E111^2)-11.3794*E111+8482)*(10^(-4))</f>
        <v>0.83852404000000014</v>
      </c>
      <c r="F112" s="3090">
        <f t="shared" ref="F112:I112" si="34">(-0.7912*(F111^2)-11.3794*F111+8482)*(10^(-4))</f>
        <v>0.83852404000000014</v>
      </c>
      <c r="G112" s="3090">
        <f t="shared" si="34"/>
        <v>0.83852404000000014</v>
      </c>
      <c r="H112" s="3090">
        <f t="shared" si="34"/>
        <v>0.83852404000000014</v>
      </c>
      <c r="I112" s="3090">
        <f t="shared" si="34"/>
        <v>0.83852404000000014</v>
      </c>
      <c r="J112" s="3090">
        <f>(-0.989*(J111^2)-63.78*J111+7771)*(10^(-4))</f>
        <v>0.73527160000000003</v>
      </c>
      <c r="K112" s="3090">
        <f t="shared" ref="K112:N112" si="35">(-0.989*(K111^2)-63.78*K111+7771)*(10^(-4))</f>
        <v>0.73527160000000003</v>
      </c>
      <c r="L112" s="3090">
        <f t="shared" si="35"/>
        <v>0.73527160000000003</v>
      </c>
      <c r="M112" s="3090">
        <f t="shared" si="35"/>
        <v>0.73527160000000003</v>
      </c>
      <c r="N112" s="3090">
        <f t="shared" si="35"/>
        <v>0.73527160000000003</v>
      </c>
    </row>
    <row r="113" spans="1:14">
      <c r="A113" s="3333" t="s">
        <v>3313</v>
      </c>
      <c r="B113" s="3333"/>
      <c r="C113" s="3333"/>
      <c r="D113" s="3333"/>
      <c r="E113" s="3333"/>
      <c r="F113" s="3333"/>
      <c r="G113" s="3333"/>
      <c r="H113" s="3333"/>
      <c r="I113" s="3333"/>
      <c r="J113" s="333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3314</v>
      </c>
      <c r="B116" s="3115">
        <f>G3</f>
        <v>0</v>
      </c>
      <c r="C116" s="3100" t="s">
        <v>3315</v>
      </c>
      <c r="D116" s="3101">
        <f>SUMPRODUCT((A118:A122=F116)*(B117:M117=H116)*B118:M122)</f>
        <v>0.94899999999999995</v>
      </c>
      <c r="E116" s="162" t="s">
        <v>3316</v>
      </c>
      <c r="F116" s="3102" t="str">
        <f>E2</f>
        <v>商业</v>
      </c>
      <c r="G116" s="162" t="s">
        <v>3317</v>
      </c>
      <c r="H116" s="3102" t="str">
        <f>G2</f>
        <v>六级</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6">I118</f>
        <v>0.84860000000000002</v>
      </c>
      <c r="K118" s="3090">
        <f t="shared" si="36"/>
        <v>0.84860000000000002</v>
      </c>
      <c r="L118" s="3090">
        <f t="shared" si="36"/>
        <v>0.84860000000000002</v>
      </c>
      <c r="M118" s="3110">
        <f t="shared" si="36"/>
        <v>0.84860000000000002</v>
      </c>
      <c r="N118" s="3098"/>
    </row>
    <row r="119" spans="1:14">
      <c r="A119" s="3058" t="s">
        <v>3331</v>
      </c>
      <c r="B119" s="3090">
        <f>ROUND(0.993-0.0112*B116,4)</f>
        <v>0.99299999999999999</v>
      </c>
      <c r="C119" s="3090">
        <f>B119</f>
        <v>0.99299999999999999</v>
      </c>
      <c r="D119" s="3090">
        <f>ROUND(0.9415-0.0142*B116,4)</f>
        <v>0.9415</v>
      </c>
      <c r="E119" s="3090">
        <f t="shared" ref="E119:H120" si="37">D119</f>
        <v>0.9415</v>
      </c>
      <c r="F119" s="3090">
        <f t="shared" si="37"/>
        <v>0.9415</v>
      </c>
      <c r="G119" s="3090">
        <f t="shared" si="37"/>
        <v>0.9415</v>
      </c>
      <c r="H119" s="3090">
        <f t="shared" si="37"/>
        <v>0.9415</v>
      </c>
      <c r="I119" s="3090">
        <f>ROUND(0.838-0.0182*B116,4)</f>
        <v>0.83799999999999997</v>
      </c>
      <c r="J119" s="3090">
        <f t="shared" si="36"/>
        <v>0.83799999999999997</v>
      </c>
      <c r="K119" s="3090">
        <f t="shared" si="36"/>
        <v>0.83799999999999997</v>
      </c>
      <c r="L119" s="3090">
        <f t="shared" si="36"/>
        <v>0.83799999999999997</v>
      </c>
      <c r="M119" s="3110">
        <f t="shared" si="36"/>
        <v>0.83799999999999997</v>
      </c>
      <c r="N119" s="3098"/>
    </row>
    <row r="120" spans="1:14">
      <c r="A120" s="3058" t="s">
        <v>3332</v>
      </c>
      <c r="B120" s="3090">
        <f>ROUND(0.9448-0.0115*B116,4)</f>
        <v>0.94479999999999997</v>
      </c>
      <c r="C120" s="3090">
        <f>B120</f>
        <v>0.94479999999999997</v>
      </c>
      <c r="D120" s="3090">
        <f>ROUND(0.937-0.0145*B116,4)</f>
        <v>0.93700000000000006</v>
      </c>
      <c r="E120" s="3090">
        <f t="shared" si="37"/>
        <v>0.93700000000000006</v>
      </c>
      <c r="F120" s="3090">
        <f t="shared" si="37"/>
        <v>0.93700000000000006</v>
      </c>
      <c r="G120" s="3090">
        <f t="shared" si="37"/>
        <v>0.93700000000000006</v>
      </c>
      <c r="H120" s="3090">
        <f t="shared" si="37"/>
        <v>0.93700000000000006</v>
      </c>
      <c r="I120" s="3090">
        <f>ROUND(0.7965-0.0185*B116,4)</f>
        <v>0.79649999999999999</v>
      </c>
      <c r="J120" s="3090">
        <f t="shared" si="36"/>
        <v>0.79649999999999999</v>
      </c>
      <c r="K120" s="3090">
        <f t="shared" si="36"/>
        <v>0.79649999999999999</v>
      </c>
      <c r="L120" s="3090">
        <f t="shared" si="36"/>
        <v>0.79649999999999999</v>
      </c>
      <c r="M120" s="3110">
        <f t="shared" si="36"/>
        <v>0.79649999999999999</v>
      </c>
      <c r="N120" s="3098"/>
    </row>
    <row r="121" spans="1:14" ht="13.5" thickBot="1">
      <c r="A121" s="3111" t="s">
        <v>3333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6"/>
        <v>0.59050000000000002</v>
      </c>
      <c r="K121" s="3112">
        <f t="shared" si="36"/>
        <v>0.59050000000000002</v>
      </c>
      <c r="L121" s="3112">
        <f t="shared" si="36"/>
        <v>0.59050000000000002</v>
      </c>
      <c r="M121" s="3113">
        <f t="shared" si="36"/>
        <v>0.59050000000000002</v>
      </c>
      <c r="N121" s="3098"/>
    </row>
    <row r="122" spans="1:14">
      <c r="A122" s="3114" t="s">
        <v>2614</v>
      </c>
      <c r="B122" s="3090">
        <f>ROUND(0.9404-0.0106*B116,4)</f>
        <v>0.94040000000000001</v>
      </c>
      <c r="C122" s="3090">
        <f>B122</f>
        <v>0.94040000000000001</v>
      </c>
      <c r="D122" s="3090">
        <f>ROUND(0.8955-0.0135*B116,4)</f>
        <v>0.89549999999999996</v>
      </c>
      <c r="E122" s="3090">
        <f t="shared" ref="E122:H122" si="38">D122</f>
        <v>0.89549999999999996</v>
      </c>
      <c r="F122" s="3090">
        <f t="shared" si="38"/>
        <v>0.89549999999999996</v>
      </c>
      <c r="G122" s="3090">
        <f t="shared" si="38"/>
        <v>0.89549999999999996</v>
      </c>
      <c r="H122" s="3090">
        <f t="shared" si="38"/>
        <v>0.89549999999999996</v>
      </c>
      <c r="I122" s="3090">
        <f>ROUND(0.7632-0.0166*B116,4)</f>
        <v>0.76319999999999999</v>
      </c>
      <c r="J122" s="3090">
        <f t="shared" si="36"/>
        <v>0.76319999999999999</v>
      </c>
      <c r="K122" s="3090">
        <f t="shared" si="36"/>
        <v>0.76319999999999999</v>
      </c>
      <c r="L122" s="3090">
        <f t="shared" si="36"/>
        <v>0.76319999999999999</v>
      </c>
      <c r="M122" s="3110">
        <f t="shared" si="36"/>
        <v>0.76319999999999999</v>
      </c>
      <c r="N122" s="3098"/>
    </row>
  </sheetData>
  <sheetProtection algorithmName="SHA-512" hashValue="31HmgGLdC9p1ED2N3bSeTsp1ty9IfNt5c0fvdViAeDuqQgU+QqV3yqsliTDp3WrqYGuO8wDt9xnj9cYMkoxMTQ==" saltValue="H3BF6ebk0dRAbW/Bcmc+hg==" spinCount="100000"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E40" zoomScale="70" zoomScaleNormal="70" zoomScaleSheetLayoutView="70" workbookViewId="0">
      <selection activeCell="L77" sqref="L77:L7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19.79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29477</v>
      </c>
      <c r="C2" s="1289" t="s">
        <v>805</v>
      </c>
      <c r="D2" s="1289"/>
      <c r="E2" s="1295"/>
      <c r="F2" s="1296"/>
      <c r="G2" s="2479"/>
      <c r="H2" s="2469"/>
      <c r="I2" s="2469"/>
      <c r="J2" s="2469"/>
      <c r="K2" s="2470"/>
      <c r="L2" s="2469"/>
      <c r="M2" s="2469"/>
    </row>
    <row r="3" spans="1:37" ht="18" customHeight="1" thickBot="1">
      <c r="A3" s="1297" t="s">
        <v>806</v>
      </c>
      <c r="B3" s="1298">
        <f ca="1">IF(ISERROR(B2*10000/F43),0,ROUND(B2*10000/F43,0))</f>
        <v>16853</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2703</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2700</v>
      </c>
      <c r="D6" s="147" t="s">
        <v>2109</v>
      </c>
      <c r="E6" s="294" t="s">
        <v>696</v>
      </c>
      <c r="F6" s="295">
        <f ca="1">INDIRECT("'数据-取费表'!u"&amp;$G$1)</f>
        <v>30000000</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1</v>
      </c>
      <c r="G7" s="1292"/>
      <c r="H7" s="296"/>
      <c r="I7" s="3352"/>
      <c r="J7" s="298"/>
      <c r="K7" s="299"/>
      <c r="L7" s="294" t="s">
        <v>697</v>
      </c>
      <c r="M7" s="295">
        <f ca="1">F7</f>
        <v>1</v>
      </c>
    </row>
    <row r="8" spans="1:37" ht="18" customHeight="1">
      <c r="A8" s="296"/>
      <c r="B8" s="3352"/>
      <c r="C8" s="298"/>
      <c r="D8" s="299"/>
      <c r="E8" s="294" t="s">
        <v>698</v>
      </c>
      <c r="F8" s="295">
        <f ca="1">INDIRECT("'数据-取费表'!ai"&amp;$G$1)</f>
        <v>1</v>
      </c>
      <c r="G8" s="1292"/>
      <c r="H8" s="296"/>
      <c r="I8" s="3352"/>
      <c r="J8" s="298"/>
      <c r="K8" s="299"/>
      <c r="L8" s="294" t="s">
        <v>698</v>
      </c>
      <c r="M8" s="295">
        <f ca="1">INDIRECT("'数据-取费表'!ai"&amp;$G$1)</f>
        <v>1</v>
      </c>
    </row>
    <row r="9" spans="1:37" ht="18" customHeight="1">
      <c r="A9" s="296"/>
      <c r="B9" s="3353"/>
      <c r="C9" s="298"/>
      <c r="D9" s="299"/>
      <c r="E9" s="294" t="s">
        <v>699</v>
      </c>
      <c r="F9" s="304">
        <f ca="1">INDIRECT("'数据-取费表'!w"&amp;$G$1)</f>
        <v>0.1</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3</v>
      </c>
      <c r="D10" s="150" t="s">
        <v>2117</v>
      </c>
      <c r="E10" s="305" t="s">
        <v>701</v>
      </c>
      <c r="F10" s="1053" t="s">
        <v>3419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10584</v>
      </c>
      <c r="D13" s="1018" t="s">
        <v>705</v>
      </c>
      <c r="E13" s="1018" t="s">
        <v>706</v>
      </c>
      <c r="F13" s="1019">
        <f ca="1">INDIRECT("'数据-取费表'!y"&amp;$G$1)</f>
        <v>0.79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8746</v>
      </c>
      <c r="D14" s="1257" t="s">
        <v>708</v>
      </c>
      <c r="E14" s="1255"/>
      <c r="F14" s="311"/>
      <c r="G14" s="1292"/>
      <c r="H14" s="928" t="s">
        <v>398</v>
      </c>
      <c r="I14" s="294" t="s">
        <v>709</v>
      </c>
      <c r="J14" s="21">
        <f ca="1">C29</f>
        <v>13397</v>
      </c>
      <c r="K14" s="12"/>
      <c r="L14" s="759"/>
      <c r="M14" s="760"/>
    </row>
    <row r="15" spans="1:37" s="1304" customFormat="1" ht="18" customHeight="1" thickBot="1">
      <c r="A15" s="928" t="s">
        <v>399</v>
      </c>
      <c r="B15" s="294" t="s">
        <v>710</v>
      </c>
      <c r="C15" s="21">
        <f ca="1">ROUND(C14*F15,0)</f>
        <v>437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67</v>
      </c>
      <c r="K16" s="1024" t="s">
        <v>715</v>
      </c>
      <c r="L16" s="1025"/>
      <c r="M16" s="1009"/>
    </row>
    <row r="17" spans="1:37" s="1304" customFormat="1" ht="18" customHeight="1">
      <c r="A17" s="928" t="s">
        <v>681</v>
      </c>
      <c r="B17" s="294" t="s">
        <v>716</v>
      </c>
      <c r="C17" s="21">
        <f ca="1">ROUND(F17*(F43+INDIRECT("'数据-取费表'!S"&amp;$G$1))/10000,0)</f>
        <v>350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9708</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194</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66.989999999999995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307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-67</v>
      </c>
      <c r="K25" s="1032" t="s">
        <v>753</v>
      </c>
      <c r="L25" s="1033"/>
      <c r="M25" s="1034"/>
    </row>
    <row r="26" spans="1:37">
      <c r="A26" s="928" t="s">
        <v>397</v>
      </c>
      <c r="B26" s="294" t="s">
        <v>754</v>
      </c>
      <c r="C26" s="21">
        <f ca="1">ROUND((C19+C20)*F26,0)</f>
        <v>1980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13397</v>
      </c>
      <c r="D29" s="1029"/>
      <c r="E29" s="1027"/>
      <c r="F29" s="1030"/>
      <c r="G29" s="1303"/>
      <c r="H29" s="325" t="s">
        <v>396</v>
      </c>
      <c r="I29" s="326" t="s">
        <v>768</v>
      </c>
      <c r="J29" s="327">
        <f ca="1">ROUND(J26/(1+F40)^F41,0)</f>
        <v>0</v>
      </c>
      <c r="K29" s="328" t="s">
        <v>769</v>
      </c>
      <c r="L29" s="329"/>
      <c r="M29" s="330">
        <f ca="1">INDIRECT("'数据-取费表'!k"&amp;$G$1)</f>
        <v>17491.149999999998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590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452.57</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144</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308.57</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66.989999999999995</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15.88</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ROUND(C5*F38,2)</f>
        <v>54.06</v>
      </c>
      <c r="D38" s="1029" t="s">
        <v>748</v>
      </c>
      <c r="E38" s="1027" t="s">
        <v>744</v>
      </c>
      <c r="F38" s="1023">
        <f ca="1">INDIRECT("'数据-取费表'!Am"&amp;$G$1)</f>
        <v>0.02</v>
      </c>
      <c r="G38" s="1292"/>
      <c r="H38" s="2474"/>
      <c r="I38" s="1305"/>
      <c r="J38" s="1306"/>
      <c r="K38" s="2472"/>
      <c r="L38" s="2474"/>
      <c r="M38" s="2474"/>
    </row>
    <row r="39" spans="1:18" ht="24.6" customHeight="1" thickTop="1">
      <c r="A39" s="1016" t="s">
        <v>394</v>
      </c>
      <c r="B39" s="1031" t="s">
        <v>772</v>
      </c>
      <c r="C39" s="302">
        <f ca="1">C5-C30</f>
        <v>2113</v>
      </c>
      <c r="D39" s="1032" t="s">
        <v>773</v>
      </c>
      <c r="E39" s="1033"/>
      <c r="F39" s="1034"/>
      <c r="G39" s="1292"/>
      <c r="H39" s="2474"/>
      <c r="I39" s="1305"/>
      <c r="J39" s="1306"/>
      <c r="K39" s="2472"/>
      <c r="L39" s="2474"/>
      <c r="M39" s="2474"/>
    </row>
    <row r="40" spans="1:18" ht="18" customHeight="1">
      <c r="A40" s="291" t="s">
        <v>395</v>
      </c>
      <c r="B40" s="292" t="s">
        <v>774</v>
      </c>
      <c r="C40" s="293">
        <f ca="1">ROUND(C39*(1-((1+F42)/(1+F40))^F41)/(F40-F42),0)</f>
        <v>28151</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19.79</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16094</v>
      </c>
      <c r="D43" s="328" t="s">
        <v>777</v>
      </c>
      <c r="E43" s="329" t="s">
        <v>778</v>
      </c>
      <c r="F43" s="330">
        <f ca="1">INDIRECT("'数据-取费表'!k"&amp;$G$1)</f>
        <v>17491.149999999998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-29098</v>
      </c>
      <c r="D46" s="1313" t="str">
        <f>C2</f>
        <v>万元</v>
      </c>
      <c r="E46" s="1307"/>
      <c r="F46" s="1307"/>
      <c r="I46" s="1314" t="s">
        <v>810</v>
      </c>
      <c r="J46" s="1315"/>
      <c r="K46" s="1316"/>
      <c r="L46" s="1317">
        <f ca="1">IF(M47="住宅",0,IF(L48&gt;J51,L60,J60))</f>
        <v>1326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3420</v>
      </c>
      <c r="K47" s="1323" t="s">
        <v>816</v>
      </c>
      <c r="L47" s="1324">
        <f ca="1">INDIRECT("'数据-取费表'!d"&amp;$G$1)</f>
        <v>40</v>
      </c>
      <c r="M47" s="1288" t="str">
        <f>IF(ISNUMBER(FIND("住宅",C1)),"住宅","非住宅")</f>
        <v>非住宅</v>
      </c>
      <c r="O47" s="1325" t="s">
        <v>403</v>
      </c>
      <c r="P47" s="1326" t="s">
        <v>817</v>
      </c>
      <c r="Q47" s="1327">
        <f ca="1">C40+J29</f>
        <v>28151</v>
      </c>
      <c r="R47" s="1327" t="s">
        <v>818</v>
      </c>
    </row>
    <row r="48" spans="1:18" s="1292" customFormat="1" ht="28.5" thickBot="1">
      <c r="A48" s="1047" t="s">
        <v>438</v>
      </c>
      <c r="B48" s="292" t="s">
        <v>692</v>
      </c>
      <c r="C48" s="1268">
        <f ca="1">C49+C53+C55</f>
        <v>0</v>
      </c>
      <c r="D48" s="1049"/>
      <c r="E48" s="1050"/>
      <c r="F48" s="908"/>
      <c r="G48" s="681"/>
      <c r="H48" s="682"/>
      <c r="I48" s="1328" t="s">
        <v>819</v>
      </c>
      <c r="J48" s="1329" t="s">
        <v>3421</v>
      </c>
      <c r="K48" s="1330" t="s">
        <v>820</v>
      </c>
      <c r="L48" s="1331">
        <f ca="1">INDIRECT("'数据-取费表'!f"&amp;$G$1)</f>
        <v>19.79</v>
      </c>
      <c r="O48" s="1325" t="s">
        <v>404</v>
      </c>
      <c r="P48" s="1326" t="s">
        <v>821</v>
      </c>
      <c r="Q48" s="1327">
        <f ca="1">J60</f>
        <v>1326</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2011</v>
      </c>
      <c r="K49" s="1330" t="s">
        <v>824</v>
      </c>
      <c r="L49" s="1333"/>
      <c r="O49" s="1334" t="s">
        <v>405</v>
      </c>
      <c r="P49" s="1326" t="s">
        <v>825</v>
      </c>
      <c r="Q49" s="1327">
        <f ca="1">C29</f>
        <v>13397</v>
      </c>
      <c r="R49" s="1327" t="s">
        <v>818</v>
      </c>
    </row>
    <row r="50" spans="1:18" s="1292" customFormat="1" ht="13.5" thickBot="1">
      <c r="A50" s="922"/>
      <c r="B50" s="925"/>
      <c r="C50" s="1055"/>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0.45400000000000001</v>
      </c>
      <c r="R50" s="1327"/>
    </row>
    <row r="51" spans="1:18" s="1292" customFormat="1" ht="13.5" thickBot="1">
      <c r="A51" s="923"/>
      <c r="B51" s="925"/>
      <c r="C51" s="926"/>
      <c r="D51" s="899"/>
      <c r="E51" s="927" t="s">
        <v>698</v>
      </c>
      <c r="F51" s="295">
        <f ca="1">F8</f>
        <v>1</v>
      </c>
      <c r="I51" s="1338" t="s">
        <v>829</v>
      </c>
      <c r="J51" s="1331">
        <f>IF(J49="",J50,J49+J50-YEAR('数据-取费表'!B2))</f>
        <v>47</v>
      </c>
      <c r="K51" s="1339" t="s">
        <v>830</v>
      </c>
      <c r="L51" s="1340">
        <f ca="1">ROUND(-PV(INDIRECT("'数据-取费表'!h"&amp;$G$1),J51,(C39-C13*C76),0),0)</f>
        <v>22049</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19.79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19.79</v>
      </c>
      <c r="K53" s="3349" t="s">
        <v>837</v>
      </c>
      <c r="L53" s="3350"/>
      <c r="O53" s="1325" t="s">
        <v>409</v>
      </c>
      <c r="P53" s="1326" t="s">
        <v>838</v>
      </c>
      <c r="Q53" s="1327">
        <f ca="1">Q47+Q48</f>
        <v>29477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0.45400000000000001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10584</v>
      </c>
      <c r="D56" s="1352"/>
      <c r="E56" s="1353"/>
      <c r="F56" s="1345"/>
      <c r="I56" s="1354" t="s">
        <v>842</v>
      </c>
      <c r="J56" s="1355"/>
      <c r="K56" s="1328" t="s">
        <v>843</v>
      </c>
      <c r="L56" s="1331" t="str">
        <f ca="1">IF(L48&lt;J51,"——",L48-J53)</f>
        <v>——</v>
      </c>
      <c r="O56" s="1325" t="s">
        <v>403</v>
      </c>
      <c r="P56" s="1326" t="s">
        <v>817</v>
      </c>
      <c r="Q56" s="1327">
        <f ca="1">C40+J29</f>
        <v>28151</v>
      </c>
      <c r="R56" s="1327" t="s">
        <v>818</v>
      </c>
    </row>
    <row r="57" spans="1:18" s="1292" customFormat="1" ht="24.75" thickBot="1">
      <c r="A57" s="1356"/>
      <c r="B57" s="896" t="s">
        <v>767</v>
      </c>
      <c r="C57" s="230">
        <f ca="1">C29</f>
        <v>13397</v>
      </c>
      <c r="D57" s="1357"/>
      <c r="E57" s="1358"/>
      <c r="F57" s="1359"/>
      <c r="I57" s="1360" t="s">
        <v>844</v>
      </c>
      <c r="J57" s="1361">
        <f ca="1">IF(OR(M47="住宅",J51&lt;L48,J56="是"),"——",J51-L48)</f>
        <v>27.21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83</v>
      </c>
      <c r="D58" s="906" t="s">
        <v>715</v>
      </c>
      <c r="E58" s="907"/>
      <c r="F58" s="908"/>
      <c r="I58" s="1360" t="s">
        <v>848</v>
      </c>
      <c r="J58" s="1362">
        <f ca="1">IF(J55&lt;0.4,0.4,J55)</f>
        <v>0.45400000000000001</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6082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1326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f ca="1">Q56+Q57</f>
        <v>28151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66.989999999999995</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15.88</v>
      </c>
      <c r="D65" s="910" t="s">
        <v>743</v>
      </c>
      <c r="E65" s="896" t="s">
        <v>744</v>
      </c>
      <c r="F65" s="321">
        <f t="shared" ca="1" si="0"/>
        <v>1.5E-3</v>
      </c>
      <c r="I65" s="1367" t="s">
        <v>867</v>
      </c>
      <c r="J65" s="610">
        <v>40</v>
      </c>
      <c r="K65" s="610">
        <v>30</v>
      </c>
      <c r="L65" s="610">
        <v>50</v>
      </c>
      <c r="M65" s="1369">
        <v>0.02</v>
      </c>
      <c r="O65" s="1325" t="s">
        <v>403</v>
      </c>
      <c r="P65" s="1326" t="s">
        <v>868</v>
      </c>
      <c r="Q65" s="1327">
        <f ca="1">C40+J29</f>
        <v>28151</v>
      </c>
      <c r="R65" s="1327" t="s">
        <v>818</v>
      </c>
    </row>
    <row r="66" spans="1:18" s="1292" customFormat="1" ht="16.5" thickBot="1">
      <c r="A66" s="928" t="s">
        <v>793</v>
      </c>
      <c r="B66" s="896" t="s">
        <v>728</v>
      </c>
      <c r="C66" s="21">
        <f ca="1">ROUND(C48*F66,2)</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-83</v>
      </c>
      <c r="D67" s="909" t="s">
        <v>753</v>
      </c>
      <c r="E67" s="914"/>
      <c r="F67" s="915"/>
      <c r="O67" s="1334" t="s">
        <v>405</v>
      </c>
      <c r="P67" s="1326" t="s">
        <v>850</v>
      </c>
      <c r="Q67" s="1370">
        <f ca="1">L51</f>
        <v>22049</v>
      </c>
      <c r="R67" s="1327" t="s">
        <v>870</v>
      </c>
    </row>
    <row r="68" spans="1:18" s="1292" customFormat="1" ht="16.5" thickBot="1">
      <c r="A68" s="893" t="s">
        <v>395</v>
      </c>
      <c r="B68" s="894" t="s">
        <v>774</v>
      </c>
      <c r="C68" s="293">
        <f ca="1">ROUND(C67*(1-((1+F70)/(1+F68))^F69)/(F68-F70),0)</f>
        <v>-947</v>
      </c>
      <c r="D68" s="911" t="s">
        <v>758</v>
      </c>
      <c r="E68" s="896" t="s">
        <v>759</v>
      </c>
      <c r="F68" s="304">
        <f ca="1">F40</f>
        <v>0.06</v>
      </c>
      <c r="O68" s="1334" t="s">
        <v>406</v>
      </c>
      <c r="P68" s="1371" t="s">
        <v>871</v>
      </c>
      <c r="Q68" s="1327">
        <f ca="1">ROUND(Q69-Q70*Q71,0)</f>
        <v>1319</v>
      </c>
      <c r="R68" s="1327" t="s">
        <v>414</v>
      </c>
    </row>
    <row r="69" spans="1:18" s="1292" customFormat="1" ht="13.5" thickBot="1">
      <c r="A69" s="897"/>
      <c r="B69" s="898"/>
      <c r="C69" s="298"/>
      <c r="D69" s="916" t="s">
        <v>762</v>
      </c>
      <c r="E69" s="896" t="s">
        <v>763</v>
      </c>
      <c r="F69" s="324">
        <f ca="1">F41</f>
        <v>19.79</v>
      </c>
      <c r="O69" s="1334" t="s">
        <v>411</v>
      </c>
      <c r="P69" s="1371" t="s">
        <v>872</v>
      </c>
      <c r="Q69" s="1327">
        <f ca="1">C39</f>
        <v>2113</v>
      </c>
      <c r="R69" s="1327" t="s">
        <v>818</v>
      </c>
    </row>
    <row r="70" spans="1:18" s="1292" customFormat="1" ht="13.5" thickBot="1">
      <c r="A70" s="900"/>
      <c r="B70" s="901"/>
      <c r="C70" s="302"/>
      <c r="D70" s="912"/>
      <c r="E70" s="896" t="s">
        <v>766</v>
      </c>
      <c r="F70" s="991"/>
      <c r="O70" s="1334" t="s">
        <v>412</v>
      </c>
      <c r="P70" s="1371" t="s">
        <v>873</v>
      </c>
      <c r="Q70" s="1327">
        <f ca="1">C13</f>
        <v>10584</v>
      </c>
      <c r="R70" s="1327" t="s">
        <v>818</v>
      </c>
    </row>
    <row r="71" spans="1:18" s="1292" customFormat="1" ht="13.5" thickBot="1">
      <c r="A71" s="917" t="s">
        <v>396</v>
      </c>
      <c r="B71" s="918" t="s">
        <v>776</v>
      </c>
      <c r="C71" s="327">
        <f ca="1">ROUND(C68*10000/F71,0)</f>
        <v>-541</v>
      </c>
      <c r="D71" s="919" t="s">
        <v>777</v>
      </c>
      <c r="E71" s="920" t="s">
        <v>778</v>
      </c>
      <c r="F71" s="330">
        <f ca="1">F43</f>
        <v>17491.149999999998</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794</v>
      </c>
      <c r="D75" s="1292"/>
      <c r="E75" s="1292"/>
      <c r="F75" s="1292"/>
      <c r="K75" s="1309"/>
      <c r="L75" s="1292"/>
      <c r="O75" s="1325" t="s">
        <v>409</v>
      </c>
      <c r="P75" s="1326" t="s">
        <v>838</v>
      </c>
      <c r="Q75" s="1327">
        <f ca="1">Q65+Q66</f>
        <v>28151</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0.624</v>
      </c>
    </row>
    <row r="83" spans="2:3">
      <c r="B83" s="265" t="s">
        <v>803</v>
      </c>
      <c r="C83" s="266">
        <f ca="1">ROUND(C13/C40,3)</f>
        <v>0.376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47088-F849-4E97-AF19-D8E84ECDBABB}">
  <dimension ref="A1"/>
  <sheetViews>
    <sheetView workbookViewId="0">
      <selection activeCell="O108" sqref="O108"/>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1" t="s">
        <v>694</v>
      </c>
      <c r="C6" s="1011">
        <f ca="1">ROUND(F6*F8*F7*(1-F9),0)</f>
        <v>0</v>
      </c>
      <c r="D6" s="147" t="s">
        <v>2106</v>
      </c>
      <c r="E6" s="294" t="s">
        <v>696</v>
      </c>
      <c r="F6" s="295">
        <f ca="1">INDIRECT("'数据-取费表'!u"&amp;$G$1)</f>
        <v>0</v>
      </c>
      <c r="G6" s="1292"/>
      <c r="H6" s="1006" t="s">
        <v>398</v>
      </c>
      <c r="I6" s="3351" t="s">
        <v>694</v>
      </c>
      <c r="J6" s="293">
        <f ca="1">ROUND(M6*M8*M7*(1-M9),0)</f>
        <v>0</v>
      </c>
      <c r="K6" s="1284" t="s">
        <v>2107</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t="e">
        <f ca="1">ROUND((C68-C40)/10000,4)</f>
        <v>#DIV/0!</v>
      </c>
      <c r="D45" s="3130" t="s">
        <v>3354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15" customHeight="1">
      <c r="A2" s="1293" t="s">
        <v>2317</v>
      </c>
      <c r="B2" s="2595" t="e">
        <f>IF(D2="——",C40,C40+E2)</f>
        <v>#DIV/0!</v>
      </c>
      <c r="C2" s="2596" t="s">
        <v>2318</v>
      </c>
      <c r="D2" s="3138" t="s">
        <v>3360</v>
      </c>
      <c r="E2" s="3139"/>
      <c r="F2" s="2598"/>
      <c r="G2" s="2599"/>
      <c r="H2" s="2600"/>
      <c r="I2" s="2601"/>
      <c r="J2" s="3360" t="s">
        <v>2319</v>
      </c>
      <c r="K2" s="3361"/>
      <c r="L2" s="2602" t="s">
        <v>2320</v>
      </c>
      <c r="M2" s="2602" t="s">
        <v>2321</v>
      </c>
      <c r="N2" s="2602" t="s">
        <v>2322</v>
      </c>
      <c r="O2" s="2602" t="s">
        <v>2323</v>
      </c>
      <c r="P2" s="2602" t="s">
        <v>2324</v>
      </c>
      <c r="Q2" s="2603" t="s">
        <v>2325</v>
      </c>
      <c r="R2" s="2604" t="s">
        <v>2326</v>
      </c>
      <c r="S2" s="2593"/>
      <c r="T2" s="2593"/>
      <c r="U2" s="2593"/>
      <c r="V2" s="2601"/>
    </row>
    <row r="3" spans="1:22" s="2605" customFormat="1" ht="13.15" customHeight="1">
      <c r="A3" s="2606" t="s">
        <v>2327</v>
      </c>
      <c r="B3" s="2607" t="e">
        <f>ROUND(B2*10000/B4,0)</f>
        <v>#DIV/0!</v>
      </c>
      <c r="C3" s="2596" t="s">
        <v>2328</v>
      </c>
      <c r="D3" s="2596"/>
      <c r="E3" s="2597"/>
      <c r="F3" s="2598"/>
      <c r="G3" s="2599"/>
      <c r="H3" s="2600"/>
      <c r="I3" s="2601"/>
      <c r="J3" s="3362" t="s">
        <v>2329</v>
      </c>
      <c r="K3" s="3363"/>
      <c r="L3" s="2608"/>
      <c r="M3" s="2608"/>
      <c r="N3" s="2608"/>
      <c r="O3" s="2608"/>
      <c r="P3" s="2608"/>
      <c r="Q3" s="2609"/>
      <c r="R3" s="2610">
        <f>SUM(L3:Q3)</f>
        <v>0</v>
      </c>
      <c r="S3" s="2593"/>
      <c r="T3" s="2593"/>
      <c r="U3" s="2593"/>
      <c r="V3" s="2601"/>
    </row>
    <row r="4" spans="1:22" s="2605" customFormat="1" ht="13.15" customHeight="1">
      <c r="A4" s="2611" t="s">
        <v>2330</v>
      </c>
      <c r="B4" s="2612"/>
      <c r="C4" s="2596"/>
      <c r="D4" s="2596"/>
      <c r="E4" s="2597"/>
      <c r="F4" s="2598"/>
      <c r="G4" s="2599"/>
      <c r="H4" s="2600"/>
      <c r="I4" s="2601"/>
      <c r="J4" s="3362" t="s">
        <v>2331</v>
      </c>
      <c r="K4" s="3363"/>
      <c r="L4" s="2613"/>
      <c r="M4" s="2613"/>
      <c r="N4" s="2613"/>
      <c r="O4" s="2613"/>
      <c r="P4" s="2613"/>
      <c r="Q4" s="2614"/>
      <c r="R4" s="2615">
        <f>SUM(L4:Q4)</f>
        <v>0</v>
      </c>
      <c r="S4" s="2593"/>
      <c r="T4" s="2593"/>
      <c r="U4" s="2593"/>
      <c r="V4" s="2601"/>
    </row>
    <row r="5" spans="1:22" s="2605" customFormat="1" ht="13.15"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15" customHeight="1" thickBot="1">
      <c r="A6" s="3368" t="s">
        <v>2335</v>
      </c>
      <c r="B6" s="3369"/>
      <c r="C6" s="3370"/>
      <c r="D6" s="2622"/>
      <c r="E6" s="2623"/>
      <c r="F6" s="2624"/>
      <c r="G6" s="2625"/>
      <c r="H6" s="2600"/>
      <c r="I6" s="2601"/>
      <c r="J6" s="3354">
        <v>1</v>
      </c>
      <c r="K6" s="3355"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15" customHeight="1">
      <c r="A7" s="2628" t="s">
        <v>2345</v>
      </c>
      <c r="B7" s="2629"/>
      <c r="C7" s="2630"/>
      <c r="D7" s="2631">
        <f>SUM(D9,D10,D11,D17,0)</f>
        <v>0</v>
      </c>
      <c r="E7" s="2632" t="e">
        <f>E9+E10+E11+E17</f>
        <v>#DIV/0!</v>
      </c>
      <c r="F7" s="2633"/>
      <c r="G7" s="2634"/>
      <c r="H7" s="2600"/>
      <c r="I7" s="2601"/>
      <c r="J7" s="3354"/>
      <c r="K7" s="3356"/>
      <c r="L7" s="2635" t="s">
        <v>2346</v>
      </c>
      <c r="M7" s="2636"/>
      <c r="N7" s="2612"/>
      <c r="O7" s="2637"/>
      <c r="P7" s="2637"/>
      <c r="Q7" s="2638">
        <v>365</v>
      </c>
      <c r="R7" s="2639">
        <f>ROUND(M7*N7*O7*P7*Q7/10000,0)</f>
        <v>0</v>
      </c>
      <c r="S7" s="2593"/>
      <c r="T7" s="2593" t="s">
        <v>2347</v>
      </c>
      <c r="U7" s="2593"/>
      <c r="V7" s="2601"/>
    </row>
    <row r="8" spans="1:22" s="2605" customFormat="1" ht="13.15" customHeight="1">
      <c r="A8" s="2640" t="s">
        <v>2348</v>
      </c>
      <c r="B8" s="3371" t="s">
        <v>2349</v>
      </c>
      <c r="C8" s="3372"/>
      <c r="D8" s="2641" t="s">
        <v>2350</v>
      </c>
      <c r="E8" s="2642" t="s">
        <v>2351</v>
      </c>
      <c r="F8" s="2643" t="s">
        <v>2352</v>
      </c>
      <c r="G8" s="2644"/>
      <c r="H8" s="2600"/>
      <c r="I8" s="2601"/>
      <c r="J8" s="3354"/>
      <c r="K8" s="3356"/>
      <c r="L8" s="2635" t="s">
        <v>2353</v>
      </c>
      <c r="M8" s="2636"/>
      <c r="N8" s="2612"/>
      <c r="O8" s="2637"/>
      <c r="P8" s="2637"/>
      <c r="Q8" s="2638">
        <v>365</v>
      </c>
      <c r="R8" s="2639">
        <f t="shared" ref="R8:R13" si="0">ROUND(M8*N8*O8*P8*Q8/10000,0)</f>
        <v>0</v>
      </c>
      <c r="S8" s="2593"/>
      <c r="T8" s="2593" t="s">
        <v>2354</v>
      </c>
      <c r="U8" s="2593"/>
      <c r="V8" s="2601"/>
    </row>
    <row r="9" spans="1:22" s="2605" customFormat="1" ht="13.15" customHeight="1">
      <c r="A9" s="2640">
        <v>1</v>
      </c>
      <c r="B9" s="3371" t="s">
        <v>2355</v>
      </c>
      <c r="C9" s="3372"/>
      <c r="D9" s="2641">
        <f>ROUND(D6*E9,0)</f>
        <v>0</v>
      </c>
      <c r="E9" s="2645"/>
      <c r="F9" s="2646" t="s">
        <v>2356</v>
      </c>
      <c r="G9" s="2625"/>
      <c r="H9" s="2600"/>
      <c r="I9" s="2601"/>
      <c r="J9" s="3354"/>
      <c r="K9" s="3356"/>
      <c r="L9" s="2635" t="s">
        <v>2357</v>
      </c>
      <c r="M9" s="2636"/>
      <c r="N9" s="2612"/>
      <c r="O9" s="2637"/>
      <c r="P9" s="2637"/>
      <c r="Q9" s="2638">
        <v>365</v>
      </c>
      <c r="R9" s="2639">
        <f t="shared" si="0"/>
        <v>0</v>
      </c>
      <c r="S9" s="2593"/>
      <c r="T9" s="2593"/>
      <c r="U9" s="2593"/>
      <c r="V9" s="2601"/>
    </row>
    <row r="10" spans="1:22" s="2605" customFormat="1" ht="13.15" customHeight="1">
      <c r="A10" s="2640">
        <v>2</v>
      </c>
      <c r="B10" s="3371" t="s">
        <v>2358</v>
      </c>
      <c r="C10" s="3372"/>
      <c r="D10" s="2641">
        <f>ROUND(D6*E10,0)</f>
        <v>0</v>
      </c>
      <c r="E10" s="2645"/>
      <c r="F10" s="2646" t="s">
        <v>2359</v>
      </c>
      <c r="G10" s="2625"/>
      <c r="H10" s="2600"/>
      <c r="I10" s="2601"/>
      <c r="J10" s="3354"/>
      <c r="K10" s="3356"/>
      <c r="L10" s="2635" t="s">
        <v>2360</v>
      </c>
      <c r="M10" s="2636"/>
      <c r="N10" s="2612"/>
      <c r="O10" s="2637"/>
      <c r="P10" s="2637"/>
      <c r="Q10" s="2638">
        <v>365</v>
      </c>
      <c r="R10" s="2639">
        <f t="shared" si="0"/>
        <v>0</v>
      </c>
      <c r="S10" s="2593"/>
      <c r="T10" s="2593"/>
      <c r="U10" s="2593"/>
      <c r="V10" s="2601"/>
    </row>
    <row r="11" spans="1:22" s="2605" customFormat="1" ht="13.15" customHeight="1">
      <c r="A11" s="2640">
        <v>3</v>
      </c>
      <c r="B11" s="3371" t="s">
        <v>2361</v>
      </c>
      <c r="C11" s="3372"/>
      <c r="D11" s="2641">
        <f>D12+D14+D15+D16</f>
        <v>0</v>
      </c>
      <c r="E11" s="2647" t="e">
        <f>D11/D6</f>
        <v>#DIV/0!</v>
      </c>
      <c r="F11" s="2643"/>
      <c r="G11" s="2644"/>
      <c r="H11" s="2600"/>
      <c r="I11" s="2601"/>
      <c r="J11" s="3354"/>
      <c r="K11" s="3356"/>
      <c r="L11" s="2635" t="s">
        <v>2362</v>
      </c>
      <c r="M11" s="2636"/>
      <c r="N11" s="2612"/>
      <c r="O11" s="2637"/>
      <c r="P11" s="2637"/>
      <c r="Q11" s="2638">
        <v>365</v>
      </c>
      <c r="R11" s="2639">
        <f t="shared" si="0"/>
        <v>0</v>
      </c>
      <c r="S11" s="2593"/>
      <c r="T11" s="2593"/>
      <c r="U11" s="2593"/>
      <c r="V11" s="2601"/>
    </row>
    <row r="12" spans="1:22" s="2605" customFormat="1" ht="13.15" customHeight="1">
      <c r="A12" s="2648" t="s">
        <v>2363</v>
      </c>
      <c r="B12" s="3364" t="s">
        <v>2364</v>
      </c>
      <c r="C12" s="3365"/>
      <c r="D12" s="2649">
        <f>ROUND(D13*1.2%*(1-30%),0)</f>
        <v>0</v>
      </c>
      <c r="E12" s="2650">
        <v>1.2E-2</v>
      </c>
      <c r="F12" s="2643" t="s">
        <v>2365</v>
      </c>
      <c r="G12" s="2644"/>
      <c r="H12" s="2600"/>
      <c r="I12" s="2601"/>
      <c r="J12" s="3354"/>
      <c r="K12" s="3356"/>
      <c r="L12" s="2635" t="s">
        <v>2366</v>
      </c>
      <c r="M12" s="2636"/>
      <c r="N12" s="2612"/>
      <c r="O12" s="2637"/>
      <c r="P12" s="2637"/>
      <c r="Q12" s="2638">
        <v>365</v>
      </c>
      <c r="R12" s="2639">
        <f t="shared" si="0"/>
        <v>0</v>
      </c>
      <c r="S12" s="2593"/>
      <c r="T12" s="2593"/>
      <c r="U12" s="2593"/>
      <c r="V12" s="2601"/>
    </row>
    <row r="13" spans="1:22" s="2605" customFormat="1" ht="13.15" customHeight="1">
      <c r="A13" s="2648"/>
      <c r="B13" s="2651"/>
      <c r="C13" s="2652" t="s">
        <v>2367</v>
      </c>
      <c r="D13" s="2653"/>
      <c r="E13" s="2654"/>
      <c r="F13" s="2643"/>
      <c r="G13" s="2644"/>
      <c r="H13" s="2600"/>
      <c r="I13" s="2601"/>
      <c r="J13" s="3354"/>
      <c r="K13" s="3356"/>
      <c r="L13" s="2635" t="s">
        <v>2368</v>
      </c>
      <c r="M13" s="2636"/>
      <c r="N13" s="2612"/>
      <c r="O13" s="2637"/>
      <c r="P13" s="2637"/>
      <c r="Q13" s="2638">
        <v>365</v>
      </c>
      <c r="R13" s="2639">
        <f t="shared" si="0"/>
        <v>0</v>
      </c>
      <c r="S13" s="2593"/>
      <c r="T13" s="2593"/>
      <c r="U13" s="2593"/>
      <c r="V13" s="2601"/>
    </row>
    <row r="14" spans="1:22" s="2605" customFormat="1" ht="13.15" customHeight="1">
      <c r="A14" s="2648" t="s">
        <v>2369</v>
      </c>
      <c r="B14" s="3364" t="s">
        <v>2370</v>
      </c>
      <c r="C14" s="3365"/>
      <c r="D14" s="2649">
        <f>ROUND(E14*B5/10000,0)</f>
        <v>0</v>
      </c>
      <c r="E14" s="2638"/>
      <c r="F14" s="2643" t="s">
        <v>2371</v>
      </c>
      <c r="G14" s="2644"/>
      <c r="H14" s="2600"/>
      <c r="I14" s="2601"/>
      <c r="J14" s="3354"/>
      <c r="K14" s="3357"/>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2373</v>
      </c>
      <c r="B15" s="3364" t="s">
        <v>2374</v>
      </c>
      <c r="C15" s="3365"/>
      <c r="D15" s="2649">
        <f>ROUND(D6*E15,0)</f>
        <v>0</v>
      </c>
      <c r="E15" s="2650">
        <v>5.5E-2</v>
      </c>
      <c r="F15" s="2643" t="s">
        <v>2375</v>
      </c>
      <c r="G15" s="2625"/>
      <c r="H15" s="2600"/>
      <c r="I15" s="2601"/>
      <c r="J15" s="3354">
        <v>2</v>
      </c>
      <c r="K15" s="3355"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15" customHeight="1">
      <c r="A16" s="2648" t="s">
        <v>2382</v>
      </c>
      <c r="B16" s="3364" t="s">
        <v>2383</v>
      </c>
      <c r="C16" s="3365"/>
      <c r="D16" s="2660">
        <f>D6*E16</f>
        <v>0</v>
      </c>
      <c r="E16" s="2661"/>
      <c r="F16" s="2646" t="s">
        <v>2384</v>
      </c>
      <c r="G16" s="2625"/>
      <c r="H16" s="2600"/>
      <c r="I16" s="2601"/>
      <c r="J16" s="3354"/>
      <c r="K16" s="3356"/>
      <c r="L16" s="2635" t="s">
        <v>2385</v>
      </c>
      <c r="M16" s="2636"/>
      <c r="N16" s="2636"/>
      <c r="O16" s="2637"/>
      <c r="P16" s="2638">
        <v>365</v>
      </c>
      <c r="Q16" s="2612"/>
      <c r="R16" s="2659">
        <f>ROUND(M16*N16*O16*P16/10000,0)</f>
        <v>0</v>
      </c>
      <c r="S16" s="2593"/>
      <c r="T16" s="2593"/>
      <c r="U16" s="2593"/>
      <c r="V16" s="2601"/>
    </row>
    <row r="17" spans="1:22" s="2605" customFormat="1" ht="13.15" customHeight="1" thickBot="1">
      <c r="A17" s="2662">
        <v>4</v>
      </c>
      <c r="B17" s="3366" t="s">
        <v>2386</v>
      </c>
      <c r="C17" s="3367"/>
      <c r="D17" s="2663">
        <f>ROUND(D6*E17,0)</f>
        <v>0</v>
      </c>
      <c r="E17" s="2664"/>
      <c r="F17" s="2665" t="s">
        <v>2387</v>
      </c>
      <c r="G17" s="2625"/>
      <c r="H17" s="2600"/>
      <c r="I17" s="2601"/>
      <c r="J17" s="3354"/>
      <c r="K17" s="3356"/>
      <c r="L17" s="2635" t="s">
        <v>2388</v>
      </c>
      <c r="M17" s="2636"/>
      <c r="N17" s="2636"/>
      <c r="O17" s="2637"/>
      <c r="P17" s="2638">
        <v>365</v>
      </c>
      <c r="Q17" s="2612"/>
      <c r="R17" s="2659">
        <f>ROUND(M17*N17*O17*P17/10000,0)</f>
        <v>0</v>
      </c>
      <c r="S17" s="2593"/>
      <c r="T17" s="2593"/>
      <c r="U17" s="2593"/>
      <c r="V17" s="2601"/>
    </row>
    <row r="18" spans="1:22" s="2605" customFormat="1" ht="13.15" customHeight="1" thickBot="1">
      <c r="A18" s="2628" t="s">
        <v>2389</v>
      </c>
      <c r="B18" s="2629"/>
      <c r="C18" s="2629"/>
      <c r="D18" s="2666">
        <f>ROUND(D6*E18,0)</f>
        <v>0</v>
      </c>
      <c r="E18" s="2667"/>
      <c r="F18" s="2668" t="s">
        <v>2390</v>
      </c>
      <c r="G18" s="2625"/>
      <c r="H18" s="2600"/>
      <c r="I18" s="2601"/>
      <c r="J18" s="3354"/>
      <c r="K18" s="3356"/>
      <c r="L18" s="2635" t="s">
        <v>2391</v>
      </c>
      <c r="M18" s="2636"/>
      <c r="N18" s="2636"/>
      <c r="O18" s="2637"/>
      <c r="P18" s="2638">
        <v>365</v>
      </c>
      <c r="Q18" s="2612"/>
      <c r="R18" s="2659">
        <f>ROUND(M18*N18*O18*P18/10000,0)</f>
        <v>0</v>
      </c>
      <c r="S18" s="2593"/>
      <c r="T18" s="2593"/>
      <c r="U18" s="2593"/>
      <c r="V18" s="2601"/>
    </row>
    <row r="19" spans="1:22" s="2605" customFormat="1" ht="13.15" customHeight="1" thickBot="1">
      <c r="A19" s="2669" t="s">
        <v>2392</v>
      </c>
      <c r="B19" s="2623"/>
      <c r="C19" s="2623"/>
      <c r="D19" s="2623"/>
      <c r="E19" s="2623"/>
      <c r="F19" s="2624"/>
      <c r="G19" s="2644"/>
      <c r="H19" s="2600"/>
      <c r="I19" s="2601"/>
      <c r="J19" s="3354"/>
      <c r="K19" s="3357"/>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4">
        <v>3</v>
      </c>
      <c r="K20" s="3355"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15" customHeight="1">
      <c r="A21" s="2628"/>
      <c r="B21" s="2629"/>
      <c r="C21" s="2674" t="s">
        <v>2401</v>
      </c>
      <c r="D21" s="2675" t="s">
        <v>2402</v>
      </c>
      <c r="E21" s="2676" t="s">
        <v>2403</v>
      </c>
      <c r="F21" s="2672"/>
      <c r="G21" s="2644"/>
      <c r="H21" s="2600"/>
      <c r="I21" s="2601"/>
      <c r="J21" s="3354"/>
      <c r="K21" s="3356"/>
      <c r="L21" s="2635" t="s">
        <v>2404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2405</v>
      </c>
      <c r="D22" s="2679" t="s">
        <v>2406</v>
      </c>
      <c r="E22" s="2680" t="s">
        <v>2407</v>
      </c>
      <c r="F22" s="2672"/>
      <c r="G22" s="2593"/>
      <c r="H22" s="2600"/>
      <c r="I22" s="2601"/>
      <c r="J22" s="3354"/>
      <c r="K22" s="3356"/>
      <c r="L22" s="2635" t="s">
        <v>2408</v>
      </c>
      <c r="M22" s="2636"/>
      <c r="N22" s="2636"/>
      <c r="O22" s="2637"/>
      <c r="P22" s="2638">
        <v>365</v>
      </c>
      <c r="Q22" s="2612"/>
      <c r="R22" s="2677">
        <f>ROUND(M22*N22*O22*P22/10000,0)</f>
        <v>0</v>
      </c>
      <c r="S22" s="2593"/>
      <c r="T22" s="2593"/>
      <c r="U22" s="2593"/>
      <c r="V22" s="2601"/>
    </row>
    <row r="23" spans="1:22" s="2605" customFormat="1" ht="13.15" customHeight="1">
      <c r="A23" s="2681">
        <v>1</v>
      </c>
      <c r="B23" s="2682" t="s">
        <v>2409</v>
      </c>
      <c r="C23" s="2683">
        <f>D6</f>
        <v>0</v>
      </c>
      <c r="D23" s="2684">
        <f>C23*(1+D24)</f>
        <v>0</v>
      </c>
      <c r="E23" s="2685">
        <f>D23*(1+E24)</f>
        <v>0</v>
      </c>
      <c r="F23" s="2686"/>
      <c r="G23" s="2687"/>
      <c r="H23" s="2600"/>
      <c r="I23" s="2601"/>
      <c r="J23" s="3354"/>
      <c r="K23" s="3356"/>
      <c r="L23" s="2635" t="s">
        <v>2410</v>
      </c>
      <c r="M23" s="2636"/>
      <c r="N23" s="2636"/>
      <c r="O23" s="2637"/>
      <c r="P23" s="2638">
        <v>365</v>
      </c>
      <c r="Q23" s="2612"/>
      <c r="R23" s="2677">
        <f>ROUND(M23*N23*O23*P23/10000,0)</f>
        <v>0</v>
      </c>
      <c r="S23" s="2593"/>
      <c r="T23" s="2593"/>
      <c r="U23" s="2593"/>
      <c r="V23" s="2601"/>
    </row>
    <row r="24" spans="1:22" s="2605" customFormat="1" ht="13.15" customHeight="1">
      <c r="A24" s="2688"/>
      <c r="B24" s="2689" t="s">
        <v>2411</v>
      </c>
      <c r="C24" s="2690"/>
      <c r="D24" s="2691"/>
      <c r="E24" s="2692"/>
      <c r="F24" s="2693"/>
      <c r="G24" s="2687"/>
      <c r="H24" s="2600"/>
      <c r="I24" s="2601"/>
      <c r="J24" s="3354"/>
      <c r="K24" s="3357"/>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15" customHeight="1">
      <c r="A26" s="2681">
        <v>2</v>
      </c>
      <c r="B26" s="2682" t="s">
        <v>2413</v>
      </c>
      <c r="C26" s="2683">
        <f>D7</f>
        <v>0</v>
      </c>
      <c r="D26" s="2684">
        <f>D23*D27</f>
        <v>0</v>
      </c>
      <c r="E26" s="2685">
        <f>E23*E27</f>
        <v>0</v>
      </c>
      <c r="F26" s="2686"/>
      <c r="G26" s="2687"/>
      <c r="H26" s="2600"/>
      <c r="I26" s="2601"/>
      <c r="J26" s="3358">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15" customHeight="1">
      <c r="A27" s="2688"/>
      <c r="B27" s="2689" t="s">
        <v>2419</v>
      </c>
      <c r="C27" s="2706" t="e">
        <f>E7</f>
        <v>#DIV/0!</v>
      </c>
      <c r="D27" s="2691"/>
      <c r="E27" s="2692"/>
      <c r="F27" s="2693"/>
      <c r="G27" s="2687"/>
      <c r="H27" s="2707"/>
      <c r="I27" s="2699"/>
      <c r="J27" s="335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15"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15" customHeight="1">
      <c r="A32" s="2681">
        <v>4</v>
      </c>
      <c r="B32" s="2682" t="s">
        <v>2427</v>
      </c>
      <c r="C32" s="2683">
        <f>C23-C26-C29</f>
        <v>0</v>
      </c>
      <c r="D32" s="2684">
        <f>D23-D26-D29</f>
        <v>0</v>
      </c>
      <c r="E32" s="2685">
        <f>E23-E26-E29</f>
        <v>0</v>
      </c>
      <c r="F32" s="2686"/>
      <c r="G32" s="2593"/>
      <c r="H32" s="2600"/>
      <c r="I32" s="2601"/>
      <c r="J32" s="3360" t="s">
        <v>2319</v>
      </c>
      <c r="K32" s="3361"/>
      <c r="L32" s="2602" t="s">
        <v>2320</v>
      </c>
      <c r="M32" s="2602" t="s">
        <v>2321</v>
      </c>
      <c r="N32" s="2602" t="s">
        <v>2322</v>
      </c>
      <c r="O32" s="2602" t="s">
        <v>2323</v>
      </c>
      <c r="P32" s="2602" t="s">
        <v>2324</v>
      </c>
      <c r="Q32" s="2603" t="s">
        <v>2325</v>
      </c>
      <c r="R32" s="2722" t="s">
        <v>2326</v>
      </c>
      <c r="S32" s="2593"/>
      <c r="T32" s="2593"/>
      <c r="U32" s="2593"/>
      <c r="V32" s="2699"/>
    </row>
    <row r="33" spans="1:23" s="2605" customFormat="1" ht="13.15" customHeight="1">
      <c r="A33" s="2681"/>
      <c r="B33" s="2682"/>
      <c r="C33" s="2683"/>
      <c r="D33" s="2723"/>
      <c r="E33" s="2724"/>
      <c r="F33" s="2686"/>
      <c r="G33" s="2593"/>
      <c r="H33" s="2707"/>
      <c r="I33" s="2699"/>
      <c r="J33" s="3362" t="s">
        <v>2329</v>
      </c>
      <c r="K33" s="3363"/>
      <c r="L33" s="2608"/>
      <c r="M33" s="2608"/>
      <c r="N33" s="2608"/>
      <c r="O33" s="2608"/>
      <c r="P33" s="2608"/>
      <c r="Q33" s="2609"/>
      <c r="R33" s="2725">
        <f>SUM(L33:Q33)</f>
        <v>0</v>
      </c>
      <c r="S33" s="2593"/>
      <c r="T33" s="2593"/>
      <c r="U33" s="2593"/>
      <c r="V33" s="2601"/>
    </row>
    <row r="34" spans="1:23" s="2605" customFormat="1" ht="13.15" customHeight="1">
      <c r="A34" s="2681">
        <v>5</v>
      </c>
      <c r="B34" s="2682" t="s">
        <v>2428</v>
      </c>
      <c r="C34" s="2726"/>
      <c r="D34" s="2727"/>
      <c r="E34" s="2728"/>
      <c r="F34" s="2686"/>
      <c r="G34" s="2593"/>
      <c r="H34" s="2707"/>
      <c r="I34" s="2699"/>
      <c r="J34" s="3362" t="s">
        <v>2331</v>
      </c>
      <c r="K34" s="336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15" customHeight="1" thickBot="1">
      <c r="A36" s="2681">
        <v>7</v>
      </c>
      <c r="B36" s="2735" t="s">
        <v>2430</v>
      </c>
      <c r="C36" s="2736"/>
      <c r="D36" s="2737"/>
      <c r="E36" s="2738"/>
      <c r="F36" s="2739">
        <f>C36+D36+E36</f>
        <v>0</v>
      </c>
      <c r="G36" s="2593"/>
      <c r="H36" s="2600"/>
      <c r="I36" s="2601"/>
      <c r="J36" s="3354">
        <v>1</v>
      </c>
      <c r="K36" s="3355" t="s">
        <v>2431</v>
      </c>
      <c r="L36" s="2626"/>
      <c r="M36" s="2627"/>
      <c r="N36" s="2627"/>
      <c r="O36" s="2627"/>
      <c r="P36" s="2627"/>
      <c r="Q36" s="2627"/>
      <c r="R36" s="2610" t="s">
        <v>2343</v>
      </c>
      <c r="S36" s="2593"/>
      <c r="T36" s="2593" t="s">
        <v>2344</v>
      </c>
      <c r="U36" s="2593"/>
      <c r="V36" s="2601"/>
    </row>
    <row r="37" spans="1:23" s="2605" customFormat="1" ht="13.15" customHeight="1">
      <c r="A37" s="2681"/>
      <c r="B37" s="2682"/>
      <c r="C37" s="2682"/>
      <c r="D37" s="2682"/>
      <c r="E37" s="2682"/>
      <c r="F37" s="2686"/>
      <c r="G37" s="2593"/>
      <c r="H37" s="2600"/>
      <c r="I37" s="2601"/>
      <c r="J37" s="3354"/>
      <c r="K37" s="3356"/>
      <c r="L37" s="2635"/>
      <c r="M37" s="2636"/>
      <c r="N37" s="2612"/>
      <c r="O37" s="2637"/>
      <c r="P37" s="2637"/>
      <c r="Q37" s="2638"/>
      <c r="R37" s="2639"/>
      <c r="S37" s="2593"/>
      <c r="T37" s="2593" t="s">
        <v>2347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4"/>
      <c r="K38" s="3356"/>
      <c r="L38" s="2635"/>
      <c r="M38" s="2636"/>
      <c r="N38" s="2612"/>
      <c r="O38" s="2637"/>
      <c r="P38" s="2637"/>
      <c r="Q38" s="2638"/>
      <c r="R38" s="2639"/>
      <c r="S38" s="2593"/>
      <c r="T38" s="2593" t="s">
        <v>2354</v>
      </c>
      <c r="U38" s="2593"/>
      <c r="V38" s="2601"/>
    </row>
    <row r="39" spans="1:23" s="2605" customFormat="1" ht="13.15" customHeight="1">
      <c r="A39" s="2681">
        <v>9</v>
      </c>
      <c r="B39" s="2682" t="s">
        <v>2432</v>
      </c>
      <c r="C39" s="2649" t="e">
        <f>C38</f>
        <v>#DIV/0!</v>
      </c>
      <c r="D39" s="2682">
        <f>D38/(1+D34)^C36</f>
        <v>0</v>
      </c>
      <c r="E39" s="2682">
        <f>E38/(1+E34)^(C36+D36)</f>
        <v>0</v>
      </c>
      <c r="F39" s="2686"/>
      <c r="G39" s="2601"/>
      <c r="H39" s="2600"/>
      <c r="I39" s="2601"/>
      <c r="J39" s="3354"/>
      <c r="K39" s="3356"/>
      <c r="L39" s="2635"/>
      <c r="M39" s="2636"/>
      <c r="N39" s="2612"/>
      <c r="O39" s="2637"/>
      <c r="P39" s="2637"/>
      <c r="Q39" s="2638"/>
      <c r="R39" s="2639"/>
      <c r="S39" s="2593"/>
      <c r="T39" s="2593"/>
      <c r="U39" s="2593"/>
      <c r="V39" s="2601"/>
    </row>
    <row r="40" spans="1:23" s="2605" customFormat="1" ht="13.15" customHeight="1">
      <c r="A40" s="2740">
        <v>10</v>
      </c>
      <c r="B40" s="2682" t="s">
        <v>2433</v>
      </c>
      <c r="C40" s="2741" t="e">
        <f>C39+D39+E39</f>
        <v>#DIV/0!</v>
      </c>
      <c r="D40" s="2742"/>
      <c r="E40" s="2742"/>
      <c r="F40" s="2743"/>
      <c r="G40" s="2593"/>
      <c r="H40" s="2600"/>
      <c r="I40" s="2601"/>
      <c r="J40" s="3354"/>
      <c r="K40" s="3357"/>
      <c r="L40" s="2655" t="s">
        <v>2372</v>
      </c>
      <c r="M40" s="2656"/>
      <c r="N40" s="2656"/>
      <c r="O40" s="2657"/>
      <c r="P40" s="2657"/>
      <c r="Q40" s="2658"/>
      <c r="R40" s="2604">
        <f>SUM(R37:R39)</f>
        <v>0</v>
      </c>
      <c r="S40" s="2593"/>
      <c r="T40" s="2593"/>
      <c r="U40" s="2593"/>
      <c r="V40" s="2601"/>
    </row>
    <row r="41" spans="1:23" s="2605" customFormat="1" ht="13.15"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8">
        <v>3</v>
      </c>
      <c r="K42" s="2701" t="s">
        <v>2414</v>
      </c>
      <c r="L42" s="2702"/>
      <c r="M42" s="2703"/>
      <c r="N42" s="2704" t="s">
        <v>2415</v>
      </c>
      <c r="O42" s="2704" t="s">
        <v>2416</v>
      </c>
      <c r="P42" s="2705" t="s">
        <v>2417</v>
      </c>
      <c r="Q42" s="2705" t="s">
        <v>2418</v>
      </c>
      <c r="R42" s="2610" t="s">
        <v>2343</v>
      </c>
      <c r="S42" s="2644"/>
      <c r="T42" s="2644"/>
      <c r="U42" s="2593"/>
      <c r="V42" s="2601"/>
    </row>
    <row r="43" spans="1:23" ht="13.15" customHeight="1">
      <c r="A43" s="2605"/>
      <c r="B43" s="2605"/>
      <c r="C43" s="2605"/>
      <c r="D43" s="2605"/>
      <c r="E43" s="2605"/>
      <c r="F43" s="2605"/>
      <c r="I43" s="2588"/>
      <c r="J43" s="335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29477</v>
      </c>
      <c r="C2" s="1729" t="s">
        <v>1651</v>
      </c>
      <c r="D2" s="1730" t="s">
        <v>1652</v>
      </c>
      <c r="E2" s="2393">
        <f>SUM(E6:E13)</f>
        <v>17491.149999999998</v>
      </c>
      <c r="F2" s="2480"/>
      <c r="G2" s="459"/>
      <c r="H2" s="459"/>
      <c r="I2" s="459"/>
      <c r="J2" s="459"/>
      <c r="K2" s="459"/>
      <c r="L2" s="459"/>
      <c r="M2" s="459"/>
      <c r="N2" s="459"/>
      <c r="O2" s="459"/>
      <c r="P2" s="459"/>
      <c r="Q2" s="459"/>
      <c r="R2" s="459"/>
      <c r="S2" s="459"/>
    </row>
    <row r="3" spans="1:22" ht="15.75">
      <c r="A3" s="1728" t="s">
        <v>686</v>
      </c>
      <c r="B3" s="2387">
        <f ca="1">ROUND(B2*10000/E2,0)</f>
        <v>16853</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3" t="s">
        <v>1654</v>
      </c>
      <c r="C5" s="3374"/>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29477</v>
      </c>
      <c r="C6" s="1729" t="s">
        <v>1651</v>
      </c>
      <c r="D6" s="2480"/>
      <c r="E6" s="2392">
        <f>IF(OR(A6=0,F6="否"),0,'数据-取费表'!K6+'数据-取费表'!S6)</f>
        <v>17491.149999999998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17491.149999999998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3" t="s">
        <v>1667</v>
      </c>
      <c r="D4" s="3394"/>
      <c r="E4" s="3395" t="s">
        <v>1668</v>
      </c>
      <c r="F4" s="3396"/>
      <c r="G4" s="3393" t="s">
        <v>1669</v>
      </c>
      <c r="H4" s="3394"/>
      <c r="I4" s="3393" t="s">
        <v>1670</v>
      </c>
      <c r="J4" s="3394"/>
      <c r="K4" s="1744" t="s">
        <v>1671</v>
      </c>
      <c r="L4" s="2487"/>
      <c r="M4" s="2488"/>
      <c r="N4" s="2488"/>
      <c r="O4" s="2488"/>
      <c r="P4" s="3397" t="s">
        <v>1672</v>
      </c>
      <c r="Q4" s="3398"/>
      <c r="R4" s="3403" t="s">
        <v>1668</v>
      </c>
      <c r="S4" s="3404"/>
      <c r="T4" s="3403" t="s">
        <v>1669</v>
      </c>
      <c r="U4" s="3404"/>
      <c r="V4" s="3379" t="s">
        <v>1670</v>
      </c>
      <c r="W4" s="3379"/>
      <c r="X4" s="1265"/>
      <c r="Y4" s="3403" t="s">
        <v>1672</v>
      </c>
      <c r="Z4" s="3404"/>
      <c r="AA4" s="3390" t="s">
        <v>1668</v>
      </c>
      <c r="AB4" s="3390" t="s">
        <v>1669</v>
      </c>
      <c r="AC4" s="3390" t="s">
        <v>1670</v>
      </c>
    </row>
    <row r="5" spans="1:29" ht="15">
      <c r="A5" s="348"/>
      <c r="B5" s="349"/>
      <c r="C5" s="3411" t="s">
        <v>1673</v>
      </c>
      <c r="D5" s="3412"/>
      <c r="E5" s="3418" t="s">
        <v>1674</v>
      </c>
      <c r="F5" s="3419"/>
      <c r="G5" s="3411" t="s">
        <v>1675</v>
      </c>
      <c r="H5" s="3412"/>
      <c r="I5" s="3411" t="s">
        <v>1676</v>
      </c>
      <c r="J5" s="3412"/>
      <c r="K5" s="1745"/>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1745"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45610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3" t="s">
        <v>1680</v>
      </c>
      <c r="Q7" s="3415"/>
      <c r="R7" s="664" t="s">
        <v>20</v>
      </c>
      <c r="S7" s="665">
        <f t="shared" ref="S7:S15" si="0">F7</f>
        <v>0</v>
      </c>
      <c r="T7" s="664" t="s">
        <v>20</v>
      </c>
      <c r="U7" s="665">
        <f t="shared" ref="U7:U15" si="1">H7</f>
        <v>0</v>
      </c>
      <c r="V7" s="664" t="s">
        <v>20</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3" t="s">
        <v>1683</v>
      </c>
      <c r="Q8" s="3414"/>
      <c r="R8" s="664" t="s">
        <v>20</v>
      </c>
      <c r="S8" s="665">
        <f t="shared" si="0"/>
        <v>100</v>
      </c>
      <c r="T8" s="664" t="s">
        <v>20</v>
      </c>
      <c r="U8" s="665">
        <f t="shared" si="1"/>
        <v>100</v>
      </c>
      <c r="V8" s="664" t="s">
        <v>20</v>
      </c>
      <c r="W8" s="665">
        <f t="shared" si="2"/>
        <v>100</v>
      </c>
      <c r="X8" s="666"/>
      <c r="Y8" s="3413" t="s">
        <v>1683</v>
      </c>
      <c r="Z8" s="341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9"/>
      <c r="Q11" s="530" t="str">
        <f t="shared" si="6"/>
        <v>容积率</v>
      </c>
      <c r="R11" s="664" t="s">
        <v>18</v>
      </c>
      <c r="S11" s="665" t="e">
        <f t="shared" si="0"/>
        <v>#N/A</v>
      </c>
      <c r="T11" s="664" t="s">
        <v>18</v>
      </c>
      <c r="U11" s="665" t="e">
        <f t="shared" si="1"/>
        <v>#N/A</v>
      </c>
      <c r="V11" s="664" t="s">
        <v>18</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9"/>
      <c r="Q12" s="530">
        <f t="shared" si="6"/>
        <v>111</v>
      </c>
      <c r="R12" s="664" t="s">
        <v>18</v>
      </c>
      <c r="S12" s="665">
        <f t="shared" si="0"/>
        <v>100</v>
      </c>
      <c r="T12" s="664" t="s">
        <v>18</v>
      </c>
      <c r="U12" s="665">
        <f t="shared" si="1"/>
        <v>100</v>
      </c>
      <c r="V12" s="664" t="s">
        <v>18</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9"/>
      <c r="Q13" s="530">
        <f t="shared" si="6"/>
        <v>111</v>
      </c>
      <c r="R13" s="664" t="s">
        <v>18</v>
      </c>
      <c r="S13" s="665">
        <f t="shared" si="0"/>
        <v>100</v>
      </c>
      <c r="T13" s="664" t="s">
        <v>18</v>
      </c>
      <c r="U13" s="665">
        <f t="shared" si="1"/>
        <v>100</v>
      </c>
      <c r="V13" s="664" t="s">
        <v>18</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9"/>
      <c r="Q14" s="530">
        <f t="shared" si="6"/>
        <v>111</v>
      </c>
      <c r="R14" s="664" t="s">
        <v>18</v>
      </c>
      <c r="S14" s="665">
        <f t="shared" si="0"/>
        <v>100</v>
      </c>
      <c r="T14" s="664" t="s">
        <v>18</v>
      </c>
      <c r="U14" s="665">
        <f t="shared" si="1"/>
        <v>100</v>
      </c>
      <c r="V14" s="664" t="s">
        <v>18</v>
      </c>
      <c r="W14" s="665">
        <f t="shared" si="2"/>
        <v>100</v>
      </c>
      <c r="X14" s="666"/>
      <c r="Y14" s="323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7" t="s">
        <v>1691</v>
      </c>
      <c r="Q15" s="1263" t="str">
        <f t="shared" si="6"/>
        <v>居住社区成熟度</v>
      </c>
      <c r="R15" s="667" t="s">
        <v>18</v>
      </c>
      <c r="S15" s="668">
        <f t="shared" si="0"/>
        <v>100</v>
      </c>
      <c r="T15" s="667" t="s">
        <v>18</v>
      </c>
      <c r="U15" s="668">
        <f t="shared" si="1"/>
        <v>100</v>
      </c>
      <c r="V15" s="667" t="s">
        <v>18</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8"/>
      <c r="Q16" s="1263"/>
      <c r="R16" s="667"/>
      <c r="S16" s="668"/>
      <c r="T16" s="667"/>
      <c r="U16" s="668"/>
      <c r="V16" s="667"/>
      <c r="W16" s="668"/>
      <c r="X16" s="1265"/>
      <c r="Y16" s="338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8"/>
      <c r="Q17" s="1263" t="str">
        <f>B17</f>
        <v>交通便捷度</v>
      </c>
      <c r="R17" s="667" t="s">
        <v>18</v>
      </c>
      <c r="S17" s="668">
        <f>F17</f>
        <v>100</v>
      </c>
      <c r="T17" s="667" t="s">
        <v>18</v>
      </c>
      <c r="U17" s="668">
        <f>H17</f>
        <v>100</v>
      </c>
      <c r="V17" s="667" t="s">
        <v>18</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8"/>
      <c r="Q18" s="1263"/>
      <c r="R18" s="667"/>
      <c r="S18" s="668"/>
      <c r="T18" s="667"/>
      <c r="U18" s="668"/>
      <c r="V18" s="667"/>
      <c r="W18" s="668"/>
      <c r="X18" s="1265"/>
      <c r="Y18" s="338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8"/>
      <c r="Q19" s="1263" t="str">
        <f>B19</f>
        <v>公共配套设施</v>
      </c>
      <c r="R19" s="667" t="s">
        <v>18</v>
      </c>
      <c r="S19" s="668">
        <f>F19</f>
        <v>100</v>
      </c>
      <c r="T19" s="667" t="s">
        <v>18</v>
      </c>
      <c r="U19" s="668">
        <f>H19</f>
        <v>100</v>
      </c>
      <c r="V19" s="667" t="s">
        <v>18</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8"/>
      <c r="Q20" s="1263"/>
      <c r="R20" s="667"/>
      <c r="S20" s="668"/>
      <c r="T20" s="667"/>
      <c r="U20" s="668"/>
      <c r="V20" s="667"/>
      <c r="W20" s="668"/>
      <c r="X20" s="1265"/>
      <c r="Y20" s="338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8"/>
      <c r="Q22" s="1263"/>
      <c r="R22" s="667"/>
      <c r="S22" s="668"/>
      <c r="T22" s="667"/>
      <c r="U22" s="668"/>
      <c r="V22" s="667"/>
      <c r="W22" s="668"/>
      <c r="X22" s="1265"/>
      <c r="Y22" s="338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8"/>
      <c r="Q23" s="1263" t="str">
        <f>B23</f>
        <v>自然及人文环境</v>
      </c>
      <c r="R23" s="667" t="s">
        <v>18</v>
      </c>
      <c r="S23" s="668">
        <f>F23</f>
        <v>100</v>
      </c>
      <c r="T23" s="667" t="s">
        <v>18</v>
      </c>
      <c r="U23" s="668">
        <f>H23</f>
        <v>100</v>
      </c>
      <c r="V23" s="667" t="s">
        <v>18</v>
      </c>
      <c r="W23" s="668">
        <f>J23</f>
        <v>100</v>
      </c>
      <c r="X23" s="1265"/>
      <c r="Y23" s="338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8"/>
      <c r="Q24" s="1263"/>
      <c r="R24" s="667"/>
      <c r="S24" s="668"/>
      <c r="T24" s="667"/>
      <c r="U24" s="668"/>
      <c r="V24" s="667"/>
      <c r="W24" s="668"/>
      <c r="X24" s="1265"/>
      <c r="Y24" s="338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8"/>
      <c r="Q26" s="1263" t="str">
        <f t="shared" si="11"/>
        <v>朝向</v>
      </c>
      <c r="R26" s="667" t="s">
        <v>18</v>
      </c>
      <c r="S26" s="668">
        <f t="shared" si="12"/>
        <v>100</v>
      </c>
      <c r="T26" s="667" t="s">
        <v>18</v>
      </c>
      <c r="U26" s="668">
        <f t="shared" si="13"/>
        <v>100</v>
      </c>
      <c r="V26" s="667" t="s">
        <v>18</v>
      </c>
      <c r="W26" s="668">
        <f t="shared" si="14"/>
        <v>100</v>
      </c>
      <c r="X26" s="1265"/>
      <c r="Y26" s="338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8"/>
      <c r="Q27" s="530">
        <f t="shared" si="11"/>
        <v>111</v>
      </c>
      <c r="R27" s="664" t="s">
        <v>18</v>
      </c>
      <c r="S27" s="665">
        <f t="shared" si="12"/>
        <v>100</v>
      </c>
      <c r="T27" s="664" t="s">
        <v>18</v>
      </c>
      <c r="U27" s="665">
        <f t="shared" si="13"/>
        <v>100</v>
      </c>
      <c r="V27" s="664" t="s">
        <v>18</v>
      </c>
      <c r="W27" s="665">
        <f t="shared" si="14"/>
        <v>100</v>
      </c>
      <c r="X27" s="666"/>
      <c r="Y27" s="338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8"/>
      <c r="Q28" s="1263">
        <f t="shared" si="11"/>
        <v>111</v>
      </c>
      <c r="R28" s="667" t="s">
        <v>18</v>
      </c>
      <c r="S28" s="668">
        <f t="shared" si="12"/>
        <v>100</v>
      </c>
      <c r="T28" s="667" t="s">
        <v>18</v>
      </c>
      <c r="U28" s="668">
        <f t="shared" si="13"/>
        <v>100</v>
      </c>
      <c r="V28" s="667" t="s">
        <v>18</v>
      </c>
      <c r="W28" s="668">
        <f t="shared" si="14"/>
        <v>100</v>
      </c>
      <c r="X28" s="1265"/>
      <c r="Y28" s="338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8"/>
      <c r="Q29" s="1263">
        <f t="shared" si="11"/>
        <v>111</v>
      </c>
      <c r="R29" s="667" t="s">
        <v>18</v>
      </c>
      <c r="S29" s="668">
        <f t="shared" si="12"/>
        <v>100</v>
      </c>
      <c r="T29" s="667" t="s">
        <v>18</v>
      </c>
      <c r="U29" s="668">
        <f t="shared" si="13"/>
        <v>100</v>
      </c>
      <c r="V29" s="667" t="s">
        <v>18</v>
      </c>
      <c r="W29" s="668">
        <f t="shared" si="14"/>
        <v>100</v>
      </c>
      <c r="X29" s="1265"/>
      <c r="Y29" s="338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8"/>
      <c r="Q30" s="1263">
        <f t="shared" si="11"/>
        <v>111</v>
      </c>
      <c r="R30" s="667" t="s">
        <v>18</v>
      </c>
      <c r="S30" s="668">
        <f t="shared" si="12"/>
        <v>100</v>
      </c>
      <c r="T30" s="667" t="s">
        <v>18</v>
      </c>
      <c r="U30" s="668">
        <f t="shared" si="13"/>
        <v>100</v>
      </c>
      <c r="V30" s="667" t="s">
        <v>18</v>
      </c>
      <c r="W30" s="668">
        <f t="shared" si="14"/>
        <v>100</v>
      </c>
      <c r="X30" s="1265"/>
      <c r="Y30" s="338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8"/>
      <c r="Q31" s="1263">
        <f t="shared" si="11"/>
        <v>111</v>
      </c>
      <c r="R31" s="667" t="s">
        <v>18</v>
      </c>
      <c r="S31" s="668">
        <f t="shared" si="12"/>
        <v>100</v>
      </c>
      <c r="T31" s="667" t="s">
        <v>18</v>
      </c>
      <c r="U31" s="668">
        <f t="shared" si="13"/>
        <v>100</v>
      </c>
      <c r="V31" s="667" t="s">
        <v>18</v>
      </c>
      <c r="W31" s="668">
        <f t="shared" si="14"/>
        <v>100</v>
      </c>
      <c r="X31" s="1265"/>
      <c r="Y31" s="338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2" t="s">
        <v>1696</v>
      </c>
      <c r="Q32" s="1263" t="str">
        <f t="shared" si="11"/>
        <v>建筑类型</v>
      </c>
      <c r="R32" s="667" t="s">
        <v>18</v>
      </c>
      <c r="S32" s="668">
        <f t="shared" si="12"/>
        <v>100</v>
      </c>
      <c r="T32" s="667" t="s">
        <v>18</v>
      </c>
      <c r="U32" s="668">
        <f t="shared" si="13"/>
        <v>100</v>
      </c>
      <c r="V32" s="667" t="s">
        <v>18</v>
      </c>
      <c r="W32" s="668">
        <f t="shared" si="14"/>
        <v>100</v>
      </c>
      <c r="X32" s="1265"/>
      <c r="Y32" s="338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3"/>
      <c r="Q33" s="531" t="str">
        <f t="shared" si="11"/>
        <v>项目建筑规模</v>
      </c>
      <c r="R33" s="669" t="s">
        <v>18</v>
      </c>
      <c r="S33" s="670" t="e">
        <f t="shared" si="12"/>
        <v>#N/A</v>
      </c>
      <c r="T33" s="669" t="s">
        <v>18</v>
      </c>
      <c r="U33" s="670" t="e">
        <f t="shared" si="13"/>
        <v>#N/A</v>
      </c>
      <c r="V33" s="669" t="s">
        <v>18</v>
      </c>
      <c r="W33" s="670" t="e">
        <f t="shared" si="14"/>
        <v>#N/A</v>
      </c>
      <c r="X33" s="671"/>
      <c r="Y33" s="338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3"/>
      <c r="Q34" s="1263" t="str">
        <f t="shared" si="11"/>
        <v>建筑结构</v>
      </c>
      <c r="R34" s="667" t="s">
        <v>18</v>
      </c>
      <c r="S34" s="668">
        <f t="shared" si="12"/>
        <v>100</v>
      </c>
      <c r="T34" s="667" t="s">
        <v>18</v>
      </c>
      <c r="U34" s="668">
        <f t="shared" si="13"/>
        <v>100</v>
      </c>
      <c r="V34" s="667" t="s">
        <v>18</v>
      </c>
      <c r="W34" s="668">
        <f t="shared" si="14"/>
        <v>100</v>
      </c>
      <c r="X34" s="1265"/>
      <c r="Y34" s="338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3"/>
      <c r="Q35" s="1263" t="str">
        <f t="shared" si="11"/>
        <v>建筑品质</v>
      </c>
      <c r="R35" s="667" t="s">
        <v>18</v>
      </c>
      <c r="S35" s="668">
        <f t="shared" si="12"/>
        <v>100</v>
      </c>
      <c r="T35" s="667" t="s">
        <v>18</v>
      </c>
      <c r="U35" s="668">
        <f t="shared" si="13"/>
        <v>100</v>
      </c>
      <c r="V35" s="667" t="s">
        <v>18</v>
      </c>
      <c r="W35" s="668">
        <f t="shared" si="14"/>
        <v>100</v>
      </c>
      <c r="X35" s="1265"/>
      <c r="Y35" s="338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3"/>
      <c r="Q36" s="1263" t="str">
        <f t="shared" si="11"/>
        <v>公共部分装修</v>
      </c>
      <c r="R36" s="667" t="s">
        <v>18</v>
      </c>
      <c r="S36" s="668">
        <f t="shared" si="12"/>
        <v>100</v>
      </c>
      <c r="T36" s="667" t="s">
        <v>18</v>
      </c>
      <c r="U36" s="668">
        <f t="shared" si="13"/>
        <v>100</v>
      </c>
      <c r="V36" s="667" t="s">
        <v>18</v>
      </c>
      <c r="W36" s="668">
        <f t="shared" si="14"/>
        <v>100</v>
      </c>
      <c r="X36" s="1265"/>
      <c r="Y36" s="338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3"/>
      <c r="Q37" s="530" t="str">
        <f t="shared" si="11"/>
        <v>成新度</v>
      </c>
      <c r="R37" s="664" t="s">
        <v>18</v>
      </c>
      <c r="S37" s="665" t="e">
        <f t="shared" si="12"/>
        <v>#N/A</v>
      </c>
      <c r="T37" s="664" t="s">
        <v>18</v>
      </c>
      <c r="U37" s="665" t="e">
        <f t="shared" si="13"/>
        <v>#N/A</v>
      </c>
      <c r="V37" s="664" t="s">
        <v>18</v>
      </c>
      <c r="W37" s="665" t="e">
        <f t="shared" si="14"/>
        <v>#N/A</v>
      </c>
      <c r="X37" s="666"/>
      <c r="Y37" s="338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3" t="s">
        <v>1696</v>
      </c>
      <c r="Q38" s="1263" t="str">
        <f t="shared" si="11"/>
        <v>物业管理</v>
      </c>
      <c r="R38" s="667" t="s">
        <v>18</v>
      </c>
      <c r="S38" s="668">
        <f t="shared" si="12"/>
        <v>100</v>
      </c>
      <c r="T38" s="667" t="s">
        <v>18</v>
      </c>
      <c r="U38" s="668">
        <f t="shared" si="13"/>
        <v>100</v>
      </c>
      <c r="V38" s="667" t="s">
        <v>18</v>
      </c>
      <c r="W38" s="668">
        <f t="shared" si="14"/>
        <v>100</v>
      </c>
      <c r="X38" s="1265"/>
      <c r="Y38" s="338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3"/>
      <c r="Q39" s="1263" t="str">
        <f t="shared" si="11"/>
        <v>市政基础设施</v>
      </c>
      <c r="R39" s="667" t="s">
        <v>18</v>
      </c>
      <c r="S39" s="668">
        <f t="shared" si="12"/>
        <v>100</v>
      </c>
      <c r="T39" s="667" t="s">
        <v>18</v>
      </c>
      <c r="U39" s="668">
        <f t="shared" si="13"/>
        <v>100</v>
      </c>
      <c r="V39" s="667" t="s">
        <v>18</v>
      </c>
      <c r="W39" s="668">
        <f t="shared" si="14"/>
        <v>100</v>
      </c>
      <c r="X39" s="1265"/>
      <c r="Y39" s="338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3"/>
      <c r="Q40" s="1263" t="str">
        <f t="shared" si="11"/>
        <v>房型</v>
      </c>
      <c r="R40" s="667" t="s">
        <v>18</v>
      </c>
      <c r="S40" s="668">
        <f t="shared" si="12"/>
        <v>100</v>
      </c>
      <c r="T40" s="667" t="s">
        <v>18</v>
      </c>
      <c r="U40" s="668">
        <f t="shared" si="13"/>
        <v>100</v>
      </c>
      <c r="V40" s="667" t="s">
        <v>18</v>
      </c>
      <c r="W40" s="668">
        <f t="shared" si="14"/>
        <v>100</v>
      </c>
      <c r="X40" s="1265"/>
      <c r="Y40" s="338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3"/>
      <c r="Q41" s="531" t="str">
        <f t="shared" si="11"/>
        <v>单套/主力户型建筑面积</v>
      </c>
      <c r="R41" s="669" t="s">
        <v>18</v>
      </c>
      <c r="S41" s="670">
        <f t="shared" si="12"/>
        <v>100</v>
      </c>
      <c r="T41" s="669" t="s">
        <v>18</v>
      </c>
      <c r="U41" s="670">
        <f t="shared" si="13"/>
        <v>100</v>
      </c>
      <c r="V41" s="669" t="s">
        <v>18</v>
      </c>
      <c r="W41" s="670">
        <f t="shared" si="14"/>
        <v>100</v>
      </c>
      <c r="X41" s="671"/>
      <c r="Y41" s="338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3"/>
      <c r="Q42" s="1263" t="str">
        <f t="shared" si="11"/>
        <v>内部装修</v>
      </c>
      <c r="R42" s="667" t="s">
        <v>18</v>
      </c>
      <c r="S42" s="668">
        <f t="shared" si="12"/>
        <v>100</v>
      </c>
      <c r="T42" s="667" t="s">
        <v>18</v>
      </c>
      <c r="U42" s="668">
        <f t="shared" si="13"/>
        <v>100</v>
      </c>
      <c r="V42" s="667" t="s">
        <v>18</v>
      </c>
      <c r="W42" s="668">
        <f t="shared" si="14"/>
        <v>100</v>
      </c>
      <c r="X42" s="1265"/>
      <c r="Y42" s="338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3"/>
      <c r="Q43" s="1263" t="str">
        <f t="shared" si="11"/>
        <v>内部装修维护情况</v>
      </c>
      <c r="R43" s="667" t="s">
        <v>18</v>
      </c>
      <c r="S43" s="668">
        <f t="shared" si="12"/>
        <v>100</v>
      </c>
      <c r="T43" s="667" t="s">
        <v>18</v>
      </c>
      <c r="U43" s="668">
        <f t="shared" si="13"/>
        <v>100</v>
      </c>
      <c r="V43" s="667" t="s">
        <v>18</v>
      </c>
      <c r="W43" s="668">
        <f t="shared" si="14"/>
        <v>100</v>
      </c>
      <c r="X43" s="1265"/>
      <c r="Y43" s="338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3"/>
      <c r="Q44" s="530">
        <f t="shared" si="11"/>
        <v>111</v>
      </c>
      <c r="R44" s="664" t="s">
        <v>18</v>
      </c>
      <c r="S44" s="665">
        <f t="shared" si="12"/>
        <v>100</v>
      </c>
      <c r="T44" s="664" t="s">
        <v>18</v>
      </c>
      <c r="U44" s="665">
        <f t="shared" si="13"/>
        <v>100</v>
      </c>
      <c r="V44" s="664" t="s">
        <v>18</v>
      </c>
      <c r="W44" s="665">
        <f t="shared" si="14"/>
        <v>100</v>
      </c>
      <c r="X44" s="666"/>
      <c r="Y44" s="338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3"/>
      <c r="Q45" s="1263">
        <f t="shared" si="11"/>
        <v>111</v>
      </c>
      <c r="R45" s="667" t="s">
        <v>18</v>
      </c>
      <c r="S45" s="668">
        <f t="shared" si="12"/>
        <v>100</v>
      </c>
      <c r="T45" s="667" t="s">
        <v>18</v>
      </c>
      <c r="U45" s="668">
        <f t="shared" si="13"/>
        <v>100</v>
      </c>
      <c r="V45" s="667" t="s">
        <v>18</v>
      </c>
      <c r="W45" s="668">
        <f t="shared" si="14"/>
        <v>100</v>
      </c>
      <c r="X45" s="1265"/>
      <c r="Y45" s="338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4"/>
      <c r="Q46" s="1263">
        <f t="shared" si="11"/>
        <v>111</v>
      </c>
      <c r="R46" s="667" t="s">
        <v>17</v>
      </c>
      <c r="S46" s="668">
        <f t="shared" si="12"/>
        <v>100</v>
      </c>
      <c r="T46" s="667" t="s">
        <v>17</v>
      </c>
      <c r="U46" s="668">
        <f t="shared" si="13"/>
        <v>100</v>
      </c>
      <c r="V46" s="667" t="s">
        <v>17</v>
      </c>
      <c r="W46" s="668">
        <f t="shared" si="14"/>
        <v>100</v>
      </c>
      <c r="X46" s="1265"/>
      <c r="Y46" s="338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估价对象为北京市房地产，为所有。根据《国有土地使用证》[]，估价对象（分摊）出让国有建设用地使用权面积为0平方米，建筑面积为17491.15平方米。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估价对象为北京市房地产,为开发建设的，该项目尚在开发建设中。根据《国有土地使用证》[]，估价对象（分摊）出让国有建设用地使用权面积为0平方米，规划建筑面积为17491.15平方米。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2024年11月14日（评估专业人员实地查勘之日）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17491.149999999998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79"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79"/>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79"/>
      <c r="AC6" s="3392"/>
    </row>
    <row r="7" spans="1:29" s="102" customFormat="1" ht="15.75" thickBot="1">
      <c r="A7" s="352" t="s">
        <v>1679</v>
      </c>
      <c r="B7" s="353"/>
      <c r="C7" s="354">
        <f>'数据-取费表'!B2</f>
        <v>45610</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9"/>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7" t="s">
        <v>1691</v>
      </c>
      <c r="Q15" s="1263" t="str">
        <f t="shared" si="6"/>
        <v>商业繁华度</v>
      </c>
      <c r="R15" s="667" t="s">
        <v>14</v>
      </c>
      <c r="S15" s="668">
        <f t="shared" si="0"/>
        <v>100</v>
      </c>
      <c r="T15" s="667" t="s">
        <v>14</v>
      </c>
      <c r="U15" s="668">
        <f t="shared" si="1"/>
        <v>100</v>
      </c>
      <c r="V15" s="667" t="s">
        <v>14</v>
      </c>
      <c r="W15" s="668">
        <f t="shared" si="2"/>
        <v>100</v>
      </c>
      <c r="X15" s="1265"/>
      <c r="Y15" s="338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8"/>
      <c r="Q16" s="1263"/>
      <c r="R16" s="667"/>
      <c r="S16" s="668"/>
      <c r="T16" s="667"/>
      <c r="U16" s="668"/>
      <c r="V16" s="667"/>
      <c r="W16" s="668"/>
      <c r="X16" s="1265"/>
      <c r="Y16" s="338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8"/>
      <c r="Q18" s="1263"/>
      <c r="R18" s="667"/>
      <c r="S18" s="668"/>
      <c r="T18" s="667"/>
      <c r="U18" s="668"/>
      <c r="V18" s="667"/>
      <c r="W18" s="668"/>
      <c r="X18" s="1265"/>
      <c r="Y18" s="338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8"/>
      <c r="Q20" s="1263"/>
      <c r="R20" s="667"/>
      <c r="S20" s="668"/>
      <c r="T20" s="667"/>
      <c r="U20" s="668"/>
      <c r="V20" s="667"/>
      <c r="W20" s="668"/>
      <c r="X20" s="1265"/>
      <c r="Y20" s="338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8"/>
      <c r="Q22" s="1263"/>
      <c r="R22" s="667"/>
      <c r="S22" s="668"/>
      <c r="T22" s="667"/>
      <c r="U22" s="668"/>
      <c r="V22" s="667"/>
      <c r="W22" s="668"/>
      <c r="X22" s="1265"/>
      <c r="Y22" s="338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8"/>
      <c r="Q23" s="1263" t="str">
        <f>B23</f>
        <v>自然及人文环境</v>
      </c>
      <c r="R23" s="667" t="s">
        <v>14</v>
      </c>
      <c r="S23" s="668">
        <f>F23</f>
        <v>100</v>
      </c>
      <c r="T23" s="667" t="s">
        <v>14</v>
      </c>
      <c r="U23" s="668">
        <f>H23</f>
        <v>100</v>
      </c>
      <c r="V23" s="667" t="s">
        <v>14</v>
      </c>
      <c r="W23" s="668">
        <f>J23</f>
        <v>100</v>
      </c>
      <c r="X23" s="1265"/>
      <c r="Y23" s="338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8"/>
      <c r="Q24" s="1263"/>
      <c r="R24" s="667"/>
      <c r="S24" s="668"/>
      <c r="T24" s="667"/>
      <c r="U24" s="668"/>
      <c r="V24" s="667"/>
      <c r="W24" s="668"/>
      <c r="X24" s="1265"/>
      <c r="Y24" s="338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8"/>
      <c r="Q25" s="1263" t="str">
        <f t="shared" ref="Q25:Q46" si="11">B25</f>
        <v>临街状况</v>
      </c>
      <c r="R25" s="667" t="s">
        <v>14</v>
      </c>
      <c r="S25" s="668">
        <f>F25</f>
        <v>100</v>
      </c>
      <c r="T25" s="667" t="s">
        <v>14</v>
      </c>
      <c r="U25" s="668">
        <f>H25</f>
        <v>100</v>
      </c>
      <c r="V25" s="667" t="s">
        <v>14</v>
      </c>
      <c r="W25" s="668">
        <f>J25</f>
        <v>100</v>
      </c>
      <c r="X25" s="1265"/>
      <c r="Y25" s="338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8"/>
      <c r="Q26" s="1263" t="str">
        <f t="shared" si="11"/>
        <v>平面位置/可视性</v>
      </c>
      <c r="R26" s="667" t="s">
        <v>14</v>
      </c>
      <c r="S26" s="668">
        <f>F26</f>
        <v>100</v>
      </c>
      <c r="T26" s="667" t="s">
        <v>14</v>
      </c>
      <c r="U26" s="668">
        <f>H26</f>
        <v>100</v>
      </c>
      <c r="V26" s="667" t="s">
        <v>14</v>
      </c>
      <c r="W26" s="668">
        <f>J26</f>
        <v>100</v>
      </c>
      <c r="X26" s="1265"/>
      <c r="Y26" s="338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8"/>
      <c r="Q27" s="530" t="str">
        <f t="shared" si="11"/>
        <v>人流量</v>
      </c>
      <c r="R27" s="664" t="s">
        <v>14</v>
      </c>
      <c r="S27" s="665">
        <f>F27</f>
        <v>100</v>
      </c>
      <c r="T27" s="664" t="s">
        <v>14</v>
      </c>
      <c r="U27" s="665">
        <f>H27</f>
        <v>100</v>
      </c>
      <c r="V27" s="664" t="s">
        <v>14</v>
      </c>
      <c r="W27" s="665">
        <f>J27</f>
        <v>100</v>
      </c>
      <c r="X27" s="666"/>
      <c r="Y27" s="338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8"/>
      <c r="Q29" s="1263">
        <f t="shared" si="11"/>
        <v>111</v>
      </c>
      <c r="R29" s="667" t="s">
        <v>14</v>
      </c>
      <c r="S29" s="668">
        <f t="shared" si="12"/>
        <v>100</v>
      </c>
      <c r="T29" s="667" t="s">
        <v>14</v>
      </c>
      <c r="U29" s="668">
        <f t="shared" si="13"/>
        <v>100</v>
      </c>
      <c r="V29" s="667" t="s">
        <v>14</v>
      </c>
      <c r="W29" s="668">
        <f t="shared" si="14"/>
        <v>100</v>
      </c>
      <c r="X29" s="1265"/>
      <c r="Y29" s="338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2" t="s">
        <v>1696</v>
      </c>
      <c r="Q32" s="1263" t="str">
        <f t="shared" si="11"/>
        <v>商业类型</v>
      </c>
      <c r="R32" s="667" t="s">
        <v>14</v>
      </c>
      <c r="S32" s="668">
        <f t="shared" si="12"/>
        <v>100</v>
      </c>
      <c r="T32" s="667" t="s">
        <v>14</v>
      </c>
      <c r="U32" s="668">
        <f t="shared" si="13"/>
        <v>100</v>
      </c>
      <c r="V32" s="667" t="s">
        <v>14</v>
      </c>
      <c r="W32" s="668">
        <f t="shared" si="14"/>
        <v>100</v>
      </c>
      <c r="X32" s="1265"/>
      <c r="Y32" s="338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3"/>
      <c r="Q33" s="531" t="str">
        <f t="shared" si="11"/>
        <v>项目建筑规模</v>
      </c>
      <c r="R33" s="669" t="s">
        <v>14</v>
      </c>
      <c r="S33" s="670" t="e">
        <f t="shared" si="12"/>
        <v>#N/A</v>
      </c>
      <c r="T33" s="669" t="s">
        <v>14</v>
      </c>
      <c r="U33" s="670" t="e">
        <f t="shared" si="13"/>
        <v>#N/A</v>
      </c>
      <c r="V33" s="669" t="s">
        <v>14</v>
      </c>
      <c r="W33" s="670" t="e">
        <f t="shared" si="14"/>
        <v>#N/A</v>
      </c>
      <c r="X33" s="671"/>
      <c r="Y33" s="338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3"/>
      <c r="Q34" s="1263" t="str">
        <f t="shared" si="11"/>
        <v>建筑结构</v>
      </c>
      <c r="R34" s="667" t="s">
        <v>14</v>
      </c>
      <c r="S34" s="668">
        <f t="shared" si="12"/>
        <v>100</v>
      </c>
      <c r="T34" s="667" t="s">
        <v>14</v>
      </c>
      <c r="U34" s="668">
        <f t="shared" si="13"/>
        <v>100</v>
      </c>
      <c r="V34" s="667" t="s">
        <v>14</v>
      </c>
      <c r="W34" s="668">
        <f t="shared" si="14"/>
        <v>100</v>
      </c>
      <c r="X34" s="1265"/>
      <c r="Y34" s="338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3"/>
      <c r="Q35" s="1263" t="str">
        <f t="shared" si="11"/>
        <v>公共部分装修</v>
      </c>
      <c r="R35" s="667" t="s">
        <v>14</v>
      </c>
      <c r="S35" s="668">
        <f t="shared" si="12"/>
        <v>100</v>
      </c>
      <c r="T35" s="667" t="s">
        <v>14</v>
      </c>
      <c r="U35" s="668">
        <f t="shared" si="13"/>
        <v>100</v>
      </c>
      <c r="V35" s="667" t="s">
        <v>14</v>
      </c>
      <c r="W35" s="668">
        <f t="shared" si="14"/>
        <v>100</v>
      </c>
      <c r="X35" s="1265"/>
      <c r="Y35" s="338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3"/>
      <c r="Q36" s="1263" t="str">
        <f t="shared" si="11"/>
        <v>成新度</v>
      </c>
      <c r="R36" s="667" t="s">
        <v>14</v>
      </c>
      <c r="S36" s="668" t="e">
        <f t="shared" si="12"/>
        <v>#N/A</v>
      </c>
      <c r="T36" s="667" t="s">
        <v>14</v>
      </c>
      <c r="U36" s="668" t="e">
        <f t="shared" si="13"/>
        <v>#N/A</v>
      </c>
      <c r="V36" s="667" t="s">
        <v>14</v>
      </c>
      <c r="W36" s="668" t="e">
        <f t="shared" si="14"/>
        <v>#N/A</v>
      </c>
      <c r="X36" s="1265"/>
      <c r="Y36" s="338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3"/>
      <c r="Q37" s="530" t="str">
        <f t="shared" si="11"/>
        <v>市政基础设施</v>
      </c>
      <c r="R37" s="664" t="s">
        <v>14</v>
      </c>
      <c r="S37" s="665">
        <f t="shared" si="12"/>
        <v>100</v>
      </c>
      <c r="T37" s="664" t="s">
        <v>14</v>
      </c>
      <c r="U37" s="665">
        <f t="shared" si="13"/>
        <v>100</v>
      </c>
      <c r="V37" s="664" t="s">
        <v>14</v>
      </c>
      <c r="W37" s="665">
        <f t="shared" si="14"/>
        <v>100</v>
      </c>
      <c r="X37" s="666"/>
      <c r="Y37" s="338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3" t="s">
        <v>1696</v>
      </c>
      <c r="Q38" s="1263" t="str">
        <f t="shared" si="11"/>
        <v>业态</v>
      </c>
      <c r="R38" s="667" t="s">
        <v>14</v>
      </c>
      <c r="S38" s="668">
        <f t="shared" si="12"/>
        <v>100</v>
      </c>
      <c r="T38" s="667" t="s">
        <v>14</v>
      </c>
      <c r="U38" s="668">
        <f t="shared" si="13"/>
        <v>100</v>
      </c>
      <c r="V38" s="667" t="s">
        <v>14</v>
      </c>
      <c r="W38" s="668">
        <f t="shared" si="14"/>
        <v>100</v>
      </c>
      <c r="X38" s="1265"/>
      <c r="Y38" s="338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3"/>
      <c r="Q39" s="1263" t="str">
        <f t="shared" si="11"/>
        <v>层高</v>
      </c>
      <c r="R39" s="667" t="s">
        <v>14</v>
      </c>
      <c r="S39" s="668">
        <f t="shared" si="12"/>
        <v>100</v>
      </c>
      <c r="T39" s="667" t="s">
        <v>14</v>
      </c>
      <c r="U39" s="668">
        <f t="shared" si="13"/>
        <v>100</v>
      </c>
      <c r="V39" s="667" t="s">
        <v>14</v>
      </c>
      <c r="W39" s="668">
        <f t="shared" si="14"/>
        <v>100</v>
      </c>
      <c r="X39" s="1265"/>
      <c r="Y39" s="338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3"/>
      <c r="Q40" s="1263" t="str">
        <f t="shared" si="11"/>
        <v>单套建筑面积</v>
      </c>
      <c r="R40" s="667" t="s">
        <v>14</v>
      </c>
      <c r="S40" s="668">
        <f t="shared" si="12"/>
        <v>100</v>
      </c>
      <c r="T40" s="667" t="s">
        <v>14</v>
      </c>
      <c r="U40" s="668">
        <f t="shared" si="13"/>
        <v>100</v>
      </c>
      <c r="V40" s="667" t="s">
        <v>14</v>
      </c>
      <c r="W40" s="668">
        <f t="shared" si="14"/>
        <v>100</v>
      </c>
      <c r="X40" s="1265"/>
      <c r="Y40" s="338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3"/>
      <c r="Q41" s="531" t="str">
        <f t="shared" si="11"/>
        <v>进深比</v>
      </c>
      <c r="R41" s="669" t="s">
        <v>14</v>
      </c>
      <c r="S41" s="670">
        <f t="shared" si="12"/>
        <v>100</v>
      </c>
      <c r="T41" s="669" t="s">
        <v>14</v>
      </c>
      <c r="U41" s="670">
        <f t="shared" si="13"/>
        <v>100</v>
      </c>
      <c r="V41" s="669" t="s">
        <v>14</v>
      </c>
      <c r="W41" s="670">
        <f t="shared" si="14"/>
        <v>100</v>
      </c>
      <c r="X41" s="671"/>
      <c r="Y41" s="338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3"/>
      <c r="Q42" s="1263" t="str">
        <f t="shared" si="11"/>
        <v>内部装修</v>
      </c>
      <c r="R42" s="667" t="s">
        <v>14</v>
      </c>
      <c r="S42" s="668">
        <f t="shared" si="12"/>
        <v>100</v>
      </c>
      <c r="T42" s="667" t="s">
        <v>14</v>
      </c>
      <c r="U42" s="668">
        <f t="shared" si="13"/>
        <v>100</v>
      </c>
      <c r="V42" s="667" t="s">
        <v>14</v>
      </c>
      <c r="W42" s="668">
        <f t="shared" si="14"/>
        <v>100</v>
      </c>
      <c r="X42" s="1265"/>
      <c r="Y42" s="338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3"/>
      <c r="Q43" s="1263" t="str">
        <f t="shared" si="11"/>
        <v>内部装修维护情况</v>
      </c>
      <c r="R43" s="667" t="s">
        <v>14</v>
      </c>
      <c r="S43" s="668">
        <f t="shared" si="12"/>
        <v>100</v>
      </c>
      <c r="T43" s="667" t="s">
        <v>14</v>
      </c>
      <c r="U43" s="668">
        <f t="shared" si="13"/>
        <v>100</v>
      </c>
      <c r="V43" s="667" t="s">
        <v>14</v>
      </c>
      <c r="W43" s="668">
        <f t="shared" si="14"/>
        <v>100</v>
      </c>
      <c r="X43" s="1265"/>
      <c r="Y43" s="338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3"/>
      <c r="Q44" s="530">
        <f t="shared" si="11"/>
        <v>111</v>
      </c>
      <c r="R44" s="664" t="s">
        <v>14</v>
      </c>
      <c r="S44" s="665">
        <f t="shared" si="12"/>
        <v>100</v>
      </c>
      <c r="T44" s="664" t="s">
        <v>14</v>
      </c>
      <c r="U44" s="665">
        <f t="shared" si="13"/>
        <v>100</v>
      </c>
      <c r="V44" s="664" t="s">
        <v>14</v>
      </c>
      <c r="W44" s="665">
        <f t="shared" si="14"/>
        <v>100</v>
      </c>
      <c r="X44" s="666"/>
      <c r="Y44" s="338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3"/>
      <c r="Q45" s="1263">
        <f t="shared" si="11"/>
        <v>111</v>
      </c>
      <c r="R45" s="667" t="s">
        <v>14</v>
      </c>
      <c r="S45" s="668">
        <f t="shared" si="12"/>
        <v>100</v>
      </c>
      <c r="T45" s="667" t="s">
        <v>14</v>
      </c>
      <c r="U45" s="668">
        <f t="shared" si="13"/>
        <v>100</v>
      </c>
      <c r="V45" s="667" t="s">
        <v>14</v>
      </c>
      <c r="W45" s="668">
        <f t="shared" si="14"/>
        <v>100</v>
      </c>
      <c r="X45" s="1265"/>
      <c r="Y45" s="338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17491.149999999998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426" t="s">
        <v>1775</v>
      </c>
      <c r="Q4" s="3427"/>
      <c r="R4" s="3430" t="s">
        <v>1771</v>
      </c>
      <c r="S4" s="3431"/>
      <c r="T4" s="3430" t="s">
        <v>1772</v>
      </c>
      <c r="U4" s="3431"/>
      <c r="V4" s="3432" t="s">
        <v>1773</v>
      </c>
      <c r="W4" s="3432"/>
      <c r="X4" s="1809"/>
      <c r="Y4" s="3430" t="s">
        <v>1775</v>
      </c>
      <c r="Z4" s="3431"/>
      <c r="AA4" s="3434" t="s">
        <v>1771</v>
      </c>
      <c r="AB4" s="3434" t="s">
        <v>1772</v>
      </c>
      <c r="AC4" s="3423" t="s">
        <v>1773</v>
      </c>
    </row>
    <row r="5" spans="1:29" ht="15">
      <c r="A5" s="348"/>
      <c r="B5" s="349"/>
      <c r="C5" s="3411" t="s">
        <v>1673</v>
      </c>
      <c r="D5" s="3412"/>
      <c r="E5" s="3418" t="s">
        <v>1674</v>
      </c>
      <c r="F5" s="3419"/>
      <c r="G5" s="3411" t="s">
        <v>1675</v>
      </c>
      <c r="H5" s="3412"/>
      <c r="I5" s="3411" t="s">
        <v>1676</v>
      </c>
      <c r="J5" s="3412"/>
      <c r="K5" s="537"/>
      <c r="L5" s="2487"/>
      <c r="M5" s="2488"/>
      <c r="N5" s="2488"/>
      <c r="O5" s="2488"/>
      <c r="P5" s="3428"/>
      <c r="Q5" s="3400"/>
      <c r="R5" s="3405"/>
      <c r="S5" s="3406"/>
      <c r="T5" s="3405"/>
      <c r="U5" s="3406"/>
      <c r="V5" s="3379"/>
      <c r="W5" s="3379"/>
      <c r="X5" s="1265"/>
      <c r="Y5" s="3405"/>
      <c r="Z5" s="3406"/>
      <c r="AA5" s="3391"/>
      <c r="AB5" s="3391"/>
      <c r="AC5" s="3424"/>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29"/>
      <c r="Q6" s="3402"/>
      <c r="R6" s="3405"/>
      <c r="S6" s="3406"/>
      <c r="T6" s="3407"/>
      <c r="U6" s="3408"/>
      <c r="V6" s="3379"/>
      <c r="W6" s="3379"/>
      <c r="X6" s="1265"/>
      <c r="Y6" s="3407"/>
      <c r="Z6" s="3408"/>
      <c r="AA6" s="3392"/>
      <c r="AB6" s="3392"/>
      <c r="AC6" s="3425"/>
    </row>
    <row r="7" spans="1:29" s="102" customFormat="1" ht="15.75" thickBot="1">
      <c r="A7" s="352" t="s">
        <v>1679</v>
      </c>
      <c r="B7" s="353"/>
      <c r="C7" s="354">
        <f>'数据-取费表'!B2</f>
        <v>45610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3" t="s">
        <v>1683</v>
      </c>
      <c r="Q8" s="3414"/>
      <c r="R8" s="664" t="s">
        <v>14</v>
      </c>
      <c r="S8" s="665">
        <f t="shared" si="0"/>
        <v>100</v>
      </c>
      <c r="T8" s="664" t="s">
        <v>14</v>
      </c>
      <c r="U8" s="665">
        <f t="shared" si="1"/>
        <v>100</v>
      </c>
      <c r="V8" s="664" t="s">
        <v>14</v>
      </c>
      <c r="W8" s="665">
        <f t="shared" si="2"/>
        <v>100</v>
      </c>
      <c r="X8" s="666"/>
      <c r="Y8" s="3413" t="s">
        <v>1683</v>
      </c>
      <c r="Z8" s="341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9"/>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7" t="s">
        <v>1691</v>
      </c>
      <c r="Q15" s="1263" t="str">
        <f t="shared" si="6"/>
        <v>办公集聚程度</v>
      </c>
      <c r="R15" s="667" t="s">
        <v>14</v>
      </c>
      <c r="S15" s="668">
        <f t="shared" si="0"/>
        <v>100</v>
      </c>
      <c r="T15" s="667" t="s">
        <v>14</v>
      </c>
      <c r="U15" s="668">
        <f t="shared" si="1"/>
        <v>100</v>
      </c>
      <c r="V15" s="667" t="s">
        <v>14</v>
      </c>
      <c r="W15" s="668">
        <f t="shared" si="2"/>
        <v>100</v>
      </c>
      <c r="X15" s="1265"/>
      <c r="Y15" s="338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8"/>
      <c r="Q16" s="1263"/>
      <c r="R16" s="667"/>
      <c r="S16" s="668"/>
      <c r="T16" s="667"/>
      <c r="U16" s="668"/>
      <c r="V16" s="667"/>
      <c r="W16" s="668"/>
      <c r="X16" s="1265"/>
      <c r="Y16" s="338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8"/>
      <c r="Q18" s="1263"/>
      <c r="R18" s="667"/>
      <c r="S18" s="668"/>
      <c r="T18" s="667"/>
      <c r="U18" s="668"/>
      <c r="V18" s="667"/>
      <c r="W18" s="668"/>
      <c r="X18" s="1265"/>
      <c r="Y18" s="338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8"/>
      <c r="Q20" s="1263"/>
      <c r="R20" s="667"/>
      <c r="S20" s="668"/>
      <c r="T20" s="667"/>
      <c r="U20" s="668"/>
      <c r="V20" s="667"/>
      <c r="W20" s="668"/>
      <c r="X20" s="1265"/>
      <c r="Y20" s="338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8"/>
      <c r="Q22" s="1263"/>
      <c r="R22" s="667"/>
      <c r="S22" s="668"/>
      <c r="T22" s="667"/>
      <c r="U22" s="668"/>
      <c r="V22" s="667"/>
      <c r="W22" s="668"/>
      <c r="X22" s="1265"/>
      <c r="Y22" s="338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8"/>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8"/>
      <c r="Q24" s="1263"/>
      <c r="R24" s="667"/>
      <c r="S24" s="668"/>
      <c r="T24" s="667"/>
      <c r="U24" s="668"/>
      <c r="V24" s="667"/>
      <c r="W24" s="668"/>
      <c r="X24" s="1265"/>
      <c r="Y24" s="338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8"/>
      <c r="Q25" s="1263" t="str">
        <f>B25</f>
        <v>毗邻道路的类型与等级</v>
      </c>
      <c r="R25" s="667" t="s">
        <v>14</v>
      </c>
      <c r="S25" s="668">
        <f>F25</f>
        <v>100</v>
      </c>
      <c r="T25" s="667" t="s">
        <v>14</v>
      </c>
      <c r="U25" s="668">
        <f>H25</f>
        <v>100</v>
      </c>
      <c r="V25" s="667" t="s">
        <v>14</v>
      </c>
      <c r="W25" s="668">
        <f>J25</f>
        <v>100</v>
      </c>
      <c r="X25" s="1265"/>
      <c r="Y25" s="338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8"/>
      <c r="Q26" s="1263"/>
      <c r="R26" s="667"/>
      <c r="S26" s="668"/>
      <c r="T26" s="667"/>
      <c r="U26" s="668"/>
      <c r="V26" s="667"/>
      <c r="W26" s="668"/>
      <c r="X26" s="1265"/>
      <c r="Y26" s="338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8"/>
      <c r="Q27" s="1263" t="str">
        <f t="shared" ref="Q27:Q47" si="11">B27</f>
        <v>楼层</v>
      </c>
      <c r="R27" s="667" t="s">
        <v>14</v>
      </c>
      <c r="S27" s="668">
        <f>F27</f>
        <v>100</v>
      </c>
      <c r="T27" s="667" t="s">
        <v>14</v>
      </c>
      <c r="U27" s="668">
        <f>H27</f>
        <v>100</v>
      </c>
      <c r="V27" s="667" t="s">
        <v>14</v>
      </c>
      <c r="W27" s="668">
        <f>J27</f>
        <v>100</v>
      </c>
      <c r="X27" s="1265"/>
      <c r="Y27" s="338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8"/>
      <c r="Q28" s="530" t="str">
        <f t="shared" si="11"/>
        <v>朝向</v>
      </c>
      <c r="R28" s="664" t="s">
        <v>14</v>
      </c>
      <c r="S28" s="665">
        <f>F28</f>
        <v>100</v>
      </c>
      <c r="T28" s="664" t="s">
        <v>14</v>
      </c>
      <c r="U28" s="665">
        <f>H28</f>
        <v>100</v>
      </c>
      <c r="V28" s="664" t="s">
        <v>14</v>
      </c>
      <c r="W28" s="665">
        <f>J28</f>
        <v>100</v>
      </c>
      <c r="X28" s="666"/>
      <c r="Y28" s="338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8"/>
      <c r="Q29" s="1263">
        <f t="shared" si="11"/>
        <v>111</v>
      </c>
      <c r="R29" s="667" t="s">
        <v>14</v>
      </c>
      <c r="S29" s="668">
        <f t="shared" ref="S29:S47" si="12">F29</f>
        <v>100</v>
      </c>
      <c r="T29" s="667" t="s">
        <v>14</v>
      </c>
      <c r="U29" s="668">
        <f t="shared" ref="U29:U47" si="13">H29</f>
        <v>100</v>
      </c>
      <c r="V29" s="667" t="s">
        <v>14</v>
      </c>
      <c r="W29" s="668">
        <f t="shared" ref="W29:W47" si="14">J29</f>
        <v>100</v>
      </c>
      <c r="X29" s="1265"/>
      <c r="Y29" s="338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8"/>
      <c r="Q32" s="1263">
        <f t="shared" si="11"/>
        <v>111</v>
      </c>
      <c r="R32" s="667" t="s">
        <v>14</v>
      </c>
      <c r="S32" s="668">
        <f t="shared" si="12"/>
        <v>100</v>
      </c>
      <c r="T32" s="667" t="s">
        <v>14</v>
      </c>
      <c r="U32" s="668">
        <f t="shared" si="13"/>
        <v>100</v>
      </c>
      <c r="V32" s="667" t="s">
        <v>14</v>
      </c>
      <c r="W32" s="668">
        <f t="shared" si="14"/>
        <v>100</v>
      </c>
      <c r="X32" s="1265"/>
      <c r="Y32" s="338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2" t="s">
        <v>1696</v>
      </c>
      <c r="Q33" s="1263" t="str">
        <f t="shared" si="11"/>
        <v>建筑类型</v>
      </c>
      <c r="R33" s="667" t="s">
        <v>14</v>
      </c>
      <c r="S33" s="668">
        <f t="shared" si="12"/>
        <v>100</v>
      </c>
      <c r="T33" s="667" t="s">
        <v>14</v>
      </c>
      <c r="U33" s="668">
        <f t="shared" si="13"/>
        <v>100</v>
      </c>
      <c r="V33" s="667" t="s">
        <v>14</v>
      </c>
      <c r="W33" s="668">
        <f t="shared" si="14"/>
        <v>100</v>
      </c>
      <c r="X33" s="1265"/>
      <c r="Y33" s="338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3"/>
      <c r="Q34" s="531" t="str">
        <f t="shared" si="11"/>
        <v>项目建筑规模</v>
      </c>
      <c r="R34" s="669" t="s">
        <v>14</v>
      </c>
      <c r="S34" s="670" t="e">
        <f t="shared" si="12"/>
        <v>#N/A</v>
      </c>
      <c r="T34" s="669" t="s">
        <v>14</v>
      </c>
      <c r="U34" s="670" t="e">
        <f t="shared" si="13"/>
        <v>#N/A</v>
      </c>
      <c r="V34" s="669" t="s">
        <v>14</v>
      </c>
      <c r="W34" s="670" t="e">
        <f t="shared" si="14"/>
        <v>#N/A</v>
      </c>
      <c r="X34" s="671"/>
      <c r="Y34" s="338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3"/>
      <c r="Q35" s="1263" t="str">
        <f t="shared" si="11"/>
        <v>建筑结构</v>
      </c>
      <c r="R35" s="667" t="s">
        <v>14</v>
      </c>
      <c r="S35" s="668">
        <f t="shared" si="12"/>
        <v>100</v>
      </c>
      <c r="T35" s="667" t="s">
        <v>14</v>
      </c>
      <c r="U35" s="668">
        <f t="shared" si="13"/>
        <v>100</v>
      </c>
      <c r="V35" s="667" t="s">
        <v>14</v>
      </c>
      <c r="W35" s="668">
        <f t="shared" si="14"/>
        <v>100</v>
      </c>
      <c r="X35" s="1265"/>
      <c r="Y35" s="338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3"/>
      <c r="Q36" s="1263" t="str">
        <f t="shared" si="11"/>
        <v>公共部分装修</v>
      </c>
      <c r="R36" s="667" t="s">
        <v>14</v>
      </c>
      <c r="S36" s="668">
        <f t="shared" si="12"/>
        <v>100</v>
      </c>
      <c r="T36" s="667" t="s">
        <v>14</v>
      </c>
      <c r="U36" s="668">
        <f t="shared" si="13"/>
        <v>100</v>
      </c>
      <c r="V36" s="667" t="s">
        <v>14</v>
      </c>
      <c r="W36" s="668">
        <f t="shared" si="14"/>
        <v>100</v>
      </c>
      <c r="X36" s="1265"/>
      <c r="Y36" s="338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3"/>
      <c r="Q37" s="1263" t="str">
        <f t="shared" si="11"/>
        <v>成新度</v>
      </c>
      <c r="R37" s="667" t="s">
        <v>14</v>
      </c>
      <c r="S37" s="668" t="e">
        <f t="shared" si="12"/>
        <v>#N/A</v>
      </c>
      <c r="T37" s="667" t="s">
        <v>14</v>
      </c>
      <c r="U37" s="668" t="e">
        <f t="shared" si="13"/>
        <v>#N/A</v>
      </c>
      <c r="V37" s="667" t="s">
        <v>14</v>
      </c>
      <c r="W37" s="668" t="e">
        <f t="shared" si="14"/>
        <v>#N/A</v>
      </c>
      <c r="X37" s="1265"/>
      <c r="Y37" s="338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3"/>
      <c r="Q38" s="530" t="str">
        <f t="shared" si="11"/>
        <v>写字楼等级</v>
      </c>
      <c r="R38" s="664" t="s">
        <v>14</v>
      </c>
      <c r="S38" s="665">
        <f t="shared" si="12"/>
        <v>100</v>
      </c>
      <c r="T38" s="664" t="s">
        <v>14</v>
      </c>
      <c r="U38" s="665">
        <f t="shared" si="13"/>
        <v>100</v>
      </c>
      <c r="V38" s="664" t="s">
        <v>14</v>
      </c>
      <c r="W38" s="665">
        <f t="shared" si="14"/>
        <v>100</v>
      </c>
      <c r="X38" s="666"/>
      <c r="Y38" s="338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3" t="s">
        <v>1696</v>
      </c>
      <c r="Q39" s="1263" t="str">
        <f t="shared" si="11"/>
        <v>物业管理</v>
      </c>
      <c r="R39" s="667" t="s">
        <v>14</v>
      </c>
      <c r="S39" s="668">
        <f t="shared" si="12"/>
        <v>100</v>
      </c>
      <c r="T39" s="667" t="s">
        <v>14</v>
      </c>
      <c r="U39" s="668">
        <f t="shared" si="13"/>
        <v>100</v>
      </c>
      <c r="V39" s="667" t="s">
        <v>14</v>
      </c>
      <c r="W39" s="668">
        <f t="shared" si="14"/>
        <v>100</v>
      </c>
      <c r="X39" s="1265"/>
      <c r="Y39" s="338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3"/>
      <c r="Q40" s="1263" t="str">
        <f t="shared" si="11"/>
        <v>市政基础设施</v>
      </c>
      <c r="R40" s="667" t="s">
        <v>14</v>
      </c>
      <c r="S40" s="668">
        <f t="shared" si="12"/>
        <v>100</v>
      </c>
      <c r="T40" s="667" t="s">
        <v>14</v>
      </c>
      <c r="U40" s="668">
        <f t="shared" si="13"/>
        <v>100</v>
      </c>
      <c r="V40" s="667" t="s">
        <v>14</v>
      </c>
      <c r="W40" s="668">
        <f t="shared" si="14"/>
        <v>100</v>
      </c>
      <c r="X40" s="1265"/>
      <c r="Y40" s="338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3"/>
      <c r="Q41" s="1263" t="str">
        <f t="shared" si="11"/>
        <v>层高</v>
      </c>
      <c r="R41" s="667" t="s">
        <v>14</v>
      </c>
      <c r="S41" s="668">
        <f t="shared" si="12"/>
        <v>100</v>
      </c>
      <c r="T41" s="667" t="s">
        <v>14</v>
      </c>
      <c r="U41" s="668">
        <f t="shared" si="13"/>
        <v>100</v>
      </c>
      <c r="V41" s="667" t="s">
        <v>14</v>
      </c>
      <c r="W41" s="668">
        <f t="shared" si="14"/>
        <v>100</v>
      </c>
      <c r="X41" s="1265"/>
      <c r="Y41" s="338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3"/>
      <c r="Q42" s="531" t="str">
        <f t="shared" si="11"/>
        <v>单套建筑面积</v>
      </c>
      <c r="R42" s="669" t="s">
        <v>14</v>
      </c>
      <c r="S42" s="670">
        <f t="shared" si="12"/>
        <v>100</v>
      </c>
      <c r="T42" s="669" t="s">
        <v>14</v>
      </c>
      <c r="U42" s="670">
        <f t="shared" si="13"/>
        <v>100</v>
      </c>
      <c r="V42" s="669" t="s">
        <v>14</v>
      </c>
      <c r="W42" s="670">
        <f t="shared" si="14"/>
        <v>100</v>
      </c>
      <c r="X42" s="671"/>
      <c r="Y42" s="338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3"/>
      <c r="Q43" s="1263" t="str">
        <f t="shared" si="11"/>
        <v>内部装修</v>
      </c>
      <c r="R43" s="667" t="s">
        <v>14</v>
      </c>
      <c r="S43" s="668">
        <f t="shared" si="12"/>
        <v>100</v>
      </c>
      <c r="T43" s="667" t="s">
        <v>14</v>
      </c>
      <c r="U43" s="668">
        <f t="shared" si="13"/>
        <v>100</v>
      </c>
      <c r="V43" s="667" t="s">
        <v>14</v>
      </c>
      <c r="W43" s="668">
        <f t="shared" si="14"/>
        <v>100</v>
      </c>
      <c r="X43" s="1265"/>
      <c r="Y43" s="338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3"/>
      <c r="Q44" s="1263" t="str">
        <f t="shared" si="11"/>
        <v>内部装修维护情况</v>
      </c>
      <c r="R44" s="667" t="s">
        <v>14</v>
      </c>
      <c r="S44" s="668">
        <f t="shared" si="12"/>
        <v>100</v>
      </c>
      <c r="T44" s="667" t="s">
        <v>14</v>
      </c>
      <c r="U44" s="668">
        <f t="shared" si="13"/>
        <v>100</v>
      </c>
      <c r="V44" s="667" t="s">
        <v>14</v>
      </c>
      <c r="W44" s="668">
        <f t="shared" si="14"/>
        <v>100</v>
      </c>
      <c r="X44" s="1265"/>
      <c r="Y44" s="338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3"/>
      <c r="Q45" s="530">
        <f t="shared" si="11"/>
        <v>111</v>
      </c>
      <c r="R45" s="664" t="s">
        <v>14</v>
      </c>
      <c r="S45" s="665">
        <f t="shared" si="12"/>
        <v>100</v>
      </c>
      <c r="T45" s="664" t="s">
        <v>14</v>
      </c>
      <c r="U45" s="665">
        <f t="shared" si="13"/>
        <v>100</v>
      </c>
      <c r="V45" s="664" t="s">
        <v>14</v>
      </c>
      <c r="W45" s="665">
        <f t="shared" si="14"/>
        <v>100</v>
      </c>
      <c r="X45" s="666"/>
      <c r="Y45" s="338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4"/>
      <c r="Q47" s="1263">
        <f t="shared" si="11"/>
        <v>111</v>
      </c>
      <c r="R47" s="667" t="s">
        <v>14</v>
      </c>
      <c r="S47" s="668">
        <f t="shared" si="12"/>
        <v>100</v>
      </c>
      <c r="T47" s="667" t="s">
        <v>14</v>
      </c>
      <c r="U47" s="668">
        <f t="shared" si="13"/>
        <v>100</v>
      </c>
      <c r="V47" s="667" t="s">
        <v>14</v>
      </c>
      <c r="W47" s="668">
        <f t="shared" si="14"/>
        <v>100</v>
      </c>
      <c r="X47" s="1265"/>
      <c r="Y47" s="338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9" t="str">
        <f>A48</f>
        <v>成交单价（元/平方米）</v>
      </c>
      <c r="Q48" s="3378"/>
      <c r="R48" s="3379">
        <f>E48</f>
        <v>0</v>
      </c>
      <c r="S48" s="3379"/>
      <c r="T48" s="3379">
        <f>G48</f>
        <v>0</v>
      </c>
      <c r="U48" s="3379"/>
      <c r="V48" s="3379">
        <f>I48</f>
        <v>0</v>
      </c>
      <c r="W48" s="337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9" t="str">
        <f>A49</f>
        <v>比较价值（元/平方米）</v>
      </c>
      <c r="Q49" s="337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17491.149999999998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860"/>
      <c r="M5" s="861"/>
      <c r="N5" s="861"/>
      <c r="O5" s="861"/>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860"/>
      <c r="M6" s="861"/>
      <c r="N6" s="861"/>
      <c r="O6" s="861"/>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45610</v>
      </c>
      <c r="D7" s="355">
        <v>100</v>
      </c>
      <c r="E7" s="356"/>
      <c r="F7" s="357">
        <f>SUMIF(52:52,YEAR(E7)&amp;"-"&amp;MONTH(E7),53:53)</f>
        <v>0</v>
      </c>
      <c r="G7" s="356"/>
      <c r="H7" s="355">
        <f>SUMIF(52:52,YEAR(G7)&amp;"-"&amp;MONTH(G7),53:53)</f>
        <v>0</v>
      </c>
      <c r="I7" s="356"/>
      <c r="J7" s="355">
        <f>SUMIF(52:52,YEAR(I7)&amp;"-"&amp;MONTH(I7),53:53)</f>
        <v>0</v>
      </c>
      <c r="K7" s="38"/>
      <c r="L7" s="862"/>
      <c r="M7" s="863"/>
      <c r="N7" s="863"/>
      <c r="O7" s="863"/>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3" t="s">
        <v>1683</v>
      </c>
      <c r="Q8" s="3414"/>
      <c r="R8" s="664" t="s">
        <v>14</v>
      </c>
      <c r="S8" s="665">
        <f t="shared" si="0"/>
        <v>100</v>
      </c>
      <c r="T8" s="664" t="s">
        <v>14</v>
      </c>
      <c r="U8" s="665">
        <f t="shared" si="1"/>
        <v>100</v>
      </c>
      <c r="V8" s="664" t="s">
        <v>14</v>
      </c>
      <c r="W8" s="665">
        <f t="shared" si="2"/>
        <v>100</v>
      </c>
      <c r="X8" s="666"/>
      <c r="Y8" s="3413" t="s">
        <v>1683</v>
      </c>
      <c r="Z8" s="341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8"/>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1"/>
      <c r="Q16" s="1263"/>
      <c r="R16" s="667"/>
      <c r="S16" s="668"/>
      <c r="T16" s="667"/>
      <c r="U16" s="668"/>
      <c r="V16" s="667"/>
      <c r="W16" s="668"/>
      <c r="X16" s="1265"/>
      <c r="Y16" s="338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1"/>
      <c r="Q18" s="1263"/>
      <c r="R18" s="667"/>
      <c r="S18" s="668"/>
      <c r="T18" s="667"/>
      <c r="U18" s="668"/>
      <c r="V18" s="667"/>
      <c r="W18" s="668"/>
      <c r="X18" s="1265"/>
      <c r="Y18" s="338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1"/>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1"/>
      <c r="Q20" s="1263"/>
      <c r="R20" s="667"/>
      <c r="S20" s="668"/>
      <c r="T20" s="667"/>
      <c r="U20" s="668"/>
      <c r="V20" s="667"/>
      <c r="W20" s="668"/>
      <c r="X20" s="1265"/>
      <c r="Y20" s="338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1"/>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1"/>
      <c r="Q22" s="1263"/>
      <c r="R22" s="667"/>
      <c r="S22" s="668"/>
      <c r="T22" s="667"/>
      <c r="U22" s="668"/>
      <c r="V22" s="667"/>
      <c r="W22" s="668"/>
      <c r="X22" s="1265"/>
      <c r="Y22" s="338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1"/>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1"/>
      <c r="Q24" s="1263"/>
      <c r="R24" s="667"/>
      <c r="S24" s="668"/>
      <c r="T24" s="667"/>
      <c r="U24" s="668"/>
      <c r="V24" s="667"/>
      <c r="W24" s="668"/>
      <c r="X24" s="1265"/>
      <c r="Y24" s="338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1"/>
      <c r="Q25" s="1263">
        <f>B25</f>
        <v>111</v>
      </c>
      <c r="R25" s="667" t="s">
        <v>14</v>
      </c>
      <c r="S25" s="668">
        <f>F25</f>
        <v>100</v>
      </c>
      <c r="T25" s="667" t="s">
        <v>14</v>
      </c>
      <c r="U25" s="668">
        <f>H25</f>
        <v>100</v>
      </c>
      <c r="V25" s="667" t="s">
        <v>14</v>
      </c>
      <c r="W25" s="668">
        <f>J25</f>
        <v>100</v>
      </c>
      <c r="X25" s="1265"/>
      <c r="Y25" s="338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1"/>
      <c r="Q26" s="1263">
        <f t="shared" ref="Q26:Q40" si="11">B26</f>
        <v>111</v>
      </c>
      <c r="R26" s="667" t="s">
        <v>14</v>
      </c>
      <c r="S26" s="668">
        <f>F26</f>
        <v>100</v>
      </c>
      <c r="T26" s="667" t="s">
        <v>14</v>
      </c>
      <c r="U26" s="668">
        <f>H26</f>
        <v>100</v>
      </c>
      <c r="V26" s="667" t="s">
        <v>14</v>
      </c>
      <c r="W26" s="668">
        <f>J26</f>
        <v>100</v>
      </c>
      <c r="X26" s="1265"/>
      <c r="Y26" s="338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1"/>
      <c r="Q27" s="530">
        <f t="shared" si="11"/>
        <v>111</v>
      </c>
      <c r="R27" s="664" t="s">
        <v>14</v>
      </c>
      <c r="S27" s="665">
        <f>F27</f>
        <v>100</v>
      </c>
      <c r="T27" s="664" t="s">
        <v>14</v>
      </c>
      <c r="U27" s="665">
        <f>H27</f>
        <v>100</v>
      </c>
      <c r="V27" s="664" t="s">
        <v>14</v>
      </c>
      <c r="W27" s="665">
        <f>J27</f>
        <v>100</v>
      </c>
      <c r="X27" s="666"/>
      <c r="Y27" s="338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1"/>
      <c r="Q28" s="1263">
        <f t="shared" si="11"/>
        <v>111</v>
      </c>
      <c r="R28" s="667" t="s">
        <v>14</v>
      </c>
      <c r="S28" s="668">
        <f t="shared" ref="S28:S40" si="12">F28</f>
        <v>100</v>
      </c>
      <c r="T28" s="667" t="s">
        <v>14</v>
      </c>
      <c r="U28" s="668">
        <f t="shared" ref="U28:U40" si="13">H28</f>
        <v>100</v>
      </c>
      <c r="V28" s="667" t="s">
        <v>14</v>
      </c>
      <c r="W28" s="668">
        <f t="shared" ref="W28:W40" si="14">J28</f>
        <v>100</v>
      </c>
      <c r="X28" s="1265"/>
      <c r="Y28" s="338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5" t="s">
        <v>1696</v>
      </c>
      <c r="Q29" s="1263" t="str">
        <f t="shared" si="11"/>
        <v>建筑类型</v>
      </c>
      <c r="R29" s="667" t="s">
        <v>14</v>
      </c>
      <c r="S29" s="668">
        <f t="shared" si="12"/>
        <v>100</v>
      </c>
      <c r="T29" s="667" t="s">
        <v>14</v>
      </c>
      <c r="U29" s="668">
        <f t="shared" si="13"/>
        <v>100</v>
      </c>
      <c r="V29" s="667" t="s">
        <v>14</v>
      </c>
      <c r="W29" s="668">
        <f t="shared" si="14"/>
        <v>100</v>
      </c>
      <c r="X29" s="1265"/>
      <c r="Y29" s="338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5"/>
      <c r="Q30" s="531" t="str">
        <f t="shared" si="11"/>
        <v>项目建筑规模</v>
      </c>
      <c r="R30" s="669" t="s">
        <v>14</v>
      </c>
      <c r="S30" s="670" t="e">
        <f t="shared" si="12"/>
        <v>#N/A</v>
      </c>
      <c r="T30" s="669" t="s">
        <v>14</v>
      </c>
      <c r="U30" s="670" t="e">
        <f t="shared" si="13"/>
        <v>#N/A</v>
      </c>
      <c r="V30" s="669" t="s">
        <v>14</v>
      </c>
      <c r="W30" s="670" t="e">
        <f t="shared" si="14"/>
        <v>#N/A</v>
      </c>
      <c r="X30" s="671"/>
      <c r="Y30" s="338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5"/>
      <c r="Q31" s="1263" t="str">
        <f t="shared" si="11"/>
        <v>建筑结构</v>
      </c>
      <c r="R31" s="667" t="s">
        <v>14</v>
      </c>
      <c r="S31" s="668">
        <f t="shared" si="12"/>
        <v>100</v>
      </c>
      <c r="T31" s="667" t="s">
        <v>14</v>
      </c>
      <c r="U31" s="668">
        <f t="shared" si="13"/>
        <v>100</v>
      </c>
      <c r="V31" s="667" t="s">
        <v>14</v>
      </c>
      <c r="W31" s="668">
        <f t="shared" si="14"/>
        <v>100</v>
      </c>
      <c r="X31" s="1265"/>
      <c r="Y31" s="338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5"/>
      <c r="Q32" s="1263" t="str">
        <f t="shared" si="11"/>
        <v>公共部分装修</v>
      </c>
      <c r="R32" s="667" t="s">
        <v>14</v>
      </c>
      <c r="S32" s="668">
        <f t="shared" si="12"/>
        <v>100</v>
      </c>
      <c r="T32" s="667" t="s">
        <v>14</v>
      </c>
      <c r="U32" s="668">
        <f t="shared" si="13"/>
        <v>100</v>
      </c>
      <c r="V32" s="667" t="s">
        <v>14</v>
      </c>
      <c r="W32" s="668">
        <f t="shared" si="14"/>
        <v>100</v>
      </c>
      <c r="X32" s="1265"/>
      <c r="Y32" s="338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5"/>
      <c r="Q33" s="1263" t="str">
        <f t="shared" si="11"/>
        <v>成新度</v>
      </c>
      <c r="R33" s="667" t="s">
        <v>14</v>
      </c>
      <c r="S33" s="668" t="e">
        <f t="shared" si="12"/>
        <v>#N/A</v>
      </c>
      <c r="T33" s="667" t="s">
        <v>14</v>
      </c>
      <c r="U33" s="668" t="e">
        <f t="shared" si="13"/>
        <v>#N/A</v>
      </c>
      <c r="V33" s="667" t="s">
        <v>14</v>
      </c>
      <c r="W33" s="668" t="e">
        <f t="shared" si="14"/>
        <v>#N/A</v>
      </c>
      <c r="X33" s="1265"/>
      <c r="Y33" s="338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5"/>
      <c r="Q34" s="530" t="str">
        <f t="shared" si="11"/>
        <v>物业管理</v>
      </c>
      <c r="R34" s="664" t="s">
        <v>14</v>
      </c>
      <c r="S34" s="665">
        <f t="shared" si="12"/>
        <v>100</v>
      </c>
      <c r="T34" s="664" t="s">
        <v>14</v>
      </c>
      <c r="U34" s="665">
        <f t="shared" si="13"/>
        <v>100</v>
      </c>
      <c r="V34" s="664" t="s">
        <v>14</v>
      </c>
      <c r="W34" s="665">
        <f t="shared" si="14"/>
        <v>100</v>
      </c>
      <c r="X34" s="666"/>
      <c r="Y34" s="33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5" t="s">
        <v>1696</v>
      </c>
      <c r="Q35" s="1263" t="str">
        <f t="shared" si="11"/>
        <v>市政基础设施</v>
      </c>
      <c r="R35" s="667" t="s">
        <v>14</v>
      </c>
      <c r="S35" s="668">
        <f t="shared" si="12"/>
        <v>100</v>
      </c>
      <c r="T35" s="667" t="s">
        <v>14</v>
      </c>
      <c r="U35" s="668">
        <f t="shared" si="13"/>
        <v>100</v>
      </c>
      <c r="V35" s="667" t="s">
        <v>14</v>
      </c>
      <c r="W35" s="668">
        <f t="shared" si="14"/>
        <v>100</v>
      </c>
      <c r="X35" s="1265"/>
      <c r="Y35" s="338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5"/>
      <c r="Q36" s="1263" t="str">
        <f t="shared" si="11"/>
        <v>内部装修</v>
      </c>
      <c r="R36" s="667" t="s">
        <v>14</v>
      </c>
      <c r="S36" s="668">
        <f t="shared" si="12"/>
        <v>100</v>
      </c>
      <c r="T36" s="667" t="s">
        <v>14</v>
      </c>
      <c r="U36" s="668">
        <f t="shared" si="13"/>
        <v>100</v>
      </c>
      <c r="V36" s="667" t="s">
        <v>14</v>
      </c>
      <c r="W36" s="668">
        <f t="shared" si="14"/>
        <v>100</v>
      </c>
      <c r="X36" s="1265"/>
      <c r="Y36" s="338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5"/>
      <c r="Q37" s="1263" t="str">
        <f t="shared" si="11"/>
        <v>内部装修状况</v>
      </c>
      <c r="R37" s="667" t="s">
        <v>14</v>
      </c>
      <c r="S37" s="668">
        <f t="shared" si="12"/>
        <v>100</v>
      </c>
      <c r="T37" s="667" t="s">
        <v>14</v>
      </c>
      <c r="U37" s="668">
        <f t="shared" si="13"/>
        <v>100</v>
      </c>
      <c r="V37" s="667" t="s">
        <v>14</v>
      </c>
      <c r="W37" s="668">
        <f t="shared" si="14"/>
        <v>100</v>
      </c>
      <c r="X37" s="1265"/>
      <c r="Y37" s="338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5"/>
      <c r="Q38" s="531">
        <f t="shared" si="11"/>
        <v>111</v>
      </c>
      <c r="R38" s="669" t="s">
        <v>14</v>
      </c>
      <c r="S38" s="670">
        <f t="shared" si="12"/>
        <v>100</v>
      </c>
      <c r="T38" s="669" t="s">
        <v>14</v>
      </c>
      <c r="U38" s="670">
        <f t="shared" si="13"/>
        <v>100</v>
      </c>
      <c r="V38" s="669" t="s">
        <v>14</v>
      </c>
      <c r="W38" s="670">
        <f t="shared" si="14"/>
        <v>100</v>
      </c>
      <c r="X38" s="671"/>
      <c r="Y38" s="338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5"/>
      <c r="Q39" s="1263">
        <f t="shared" si="11"/>
        <v>111</v>
      </c>
      <c r="R39" s="667" t="s">
        <v>14</v>
      </c>
      <c r="S39" s="668">
        <f t="shared" si="12"/>
        <v>100</v>
      </c>
      <c r="T39" s="667" t="s">
        <v>14</v>
      </c>
      <c r="U39" s="668">
        <f t="shared" si="13"/>
        <v>100</v>
      </c>
      <c r="V39" s="667" t="s">
        <v>14</v>
      </c>
      <c r="W39" s="668">
        <f t="shared" si="14"/>
        <v>100</v>
      </c>
      <c r="X39" s="1265"/>
      <c r="Y39" s="338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6"/>
      <c r="Q40" s="1263">
        <f t="shared" si="11"/>
        <v>111</v>
      </c>
      <c r="R40" s="667" t="s">
        <v>14</v>
      </c>
      <c r="S40" s="668">
        <f t="shared" si="12"/>
        <v>100</v>
      </c>
      <c r="T40" s="667" t="s">
        <v>14</v>
      </c>
      <c r="U40" s="668">
        <f t="shared" si="13"/>
        <v>100</v>
      </c>
      <c r="V40" s="667" t="s">
        <v>14</v>
      </c>
      <c r="W40" s="668">
        <f t="shared" si="14"/>
        <v>100</v>
      </c>
      <c r="X40" s="1265"/>
      <c r="Y40" s="338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8" t="str">
        <f>A41</f>
        <v>成交单价（元/平方米）</v>
      </c>
      <c r="Q41" s="3378"/>
      <c r="R41" s="3379">
        <f>E41</f>
        <v>0</v>
      </c>
      <c r="S41" s="3379"/>
      <c r="T41" s="3379">
        <f>G41</f>
        <v>0</v>
      </c>
      <c r="U41" s="3379"/>
      <c r="V41" s="3379">
        <f>I41</f>
        <v>0</v>
      </c>
      <c r="W41" s="337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5" t="str">
        <f>A43</f>
        <v>估价对象XX用房的比较价值（楼面单价，元/平方米）</v>
      </c>
      <c r="Q43" s="3376"/>
      <c r="R43" s="3377" t="e">
        <f>IF(F1="售价",ROUND(IF(D42="简单平均",AVERAGE(R42:V42),R42*F42+T42*H42+V42*J42),0),ROUND(IF(D42="简单平均",AVERAGE(R42:V42),R42*F42+T42*H42+V42*J42),1))</f>
        <v>#DIV/0!</v>
      </c>
      <c r="S43" s="3377"/>
      <c r="T43" s="3377"/>
      <c r="U43" s="3377"/>
      <c r="V43" s="3377"/>
      <c r="W43" s="337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45610</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8"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90"/>
      <c r="M10" s="2491"/>
      <c r="N10" s="2491"/>
      <c r="O10" s="2491"/>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8"/>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1"/>
      <c r="Q15" s="1263"/>
      <c r="R15" s="667"/>
      <c r="S15" s="668"/>
      <c r="T15" s="667"/>
      <c r="U15" s="668"/>
      <c r="V15" s="667"/>
      <c r="W15" s="668"/>
      <c r="X15" s="1265"/>
      <c r="Y15" s="338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1"/>
      <c r="Q17" s="1263"/>
      <c r="R17" s="667"/>
      <c r="S17" s="668"/>
      <c r="T17" s="667"/>
      <c r="U17" s="668"/>
      <c r="V17" s="667"/>
      <c r="W17" s="668"/>
      <c r="X17" s="1265"/>
      <c r="Y17" s="338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1"/>
      <c r="Q19" s="1263"/>
      <c r="R19" s="667"/>
      <c r="S19" s="668"/>
      <c r="T19" s="667"/>
      <c r="U19" s="668"/>
      <c r="V19" s="667"/>
      <c r="W19" s="668"/>
      <c r="X19" s="1265"/>
      <c r="Y19" s="338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1"/>
      <c r="Q21" s="1263"/>
      <c r="R21" s="667"/>
      <c r="S21" s="668"/>
      <c r="T21" s="667"/>
      <c r="U21" s="668"/>
      <c r="V21" s="667"/>
      <c r="W21" s="668"/>
      <c r="X21" s="1265"/>
      <c r="Y21" s="338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1"/>
      <c r="Q24" s="1263">
        <f t="shared" ref="Q24:Q36"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5"/>
      <c r="Q27" s="531" t="str">
        <f t="shared" si="11"/>
        <v>项目停车位配比</v>
      </c>
      <c r="R27" s="669" t="s">
        <v>14</v>
      </c>
      <c r="S27" s="670">
        <f t="shared" si="12"/>
        <v>100</v>
      </c>
      <c r="T27" s="669" t="s">
        <v>14</v>
      </c>
      <c r="U27" s="670">
        <f t="shared" si="13"/>
        <v>100</v>
      </c>
      <c r="V27" s="669" t="s">
        <v>14</v>
      </c>
      <c r="W27" s="670">
        <f t="shared" si="14"/>
        <v>100</v>
      </c>
      <c r="X27" s="671"/>
      <c r="Y27" s="338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5"/>
      <c r="Q28" s="1263" t="str">
        <f t="shared" si="11"/>
        <v>公共部分装修</v>
      </c>
      <c r="R28" s="667" t="s">
        <v>14</v>
      </c>
      <c r="S28" s="668">
        <f t="shared" si="12"/>
        <v>100</v>
      </c>
      <c r="T28" s="667" t="s">
        <v>14</v>
      </c>
      <c r="U28" s="668">
        <f t="shared" si="13"/>
        <v>100</v>
      </c>
      <c r="V28" s="667" t="s">
        <v>14</v>
      </c>
      <c r="W28" s="668">
        <f t="shared" si="14"/>
        <v>100</v>
      </c>
      <c r="X28" s="1265"/>
      <c r="Y28" s="338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5"/>
      <c r="Q29" s="1263" t="str">
        <f t="shared" si="11"/>
        <v>成新率</v>
      </c>
      <c r="R29" s="667" t="s">
        <v>14</v>
      </c>
      <c r="S29" s="668" t="e">
        <f t="shared" si="12"/>
        <v>#N/A</v>
      </c>
      <c r="T29" s="667" t="s">
        <v>14</v>
      </c>
      <c r="U29" s="668" t="e">
        <f t="shared" si="13"/>
        <v>#N/A</v>
      </c>
      <c r="V29" s="667" t="s">
        <v>14</v>
      </c>
      <c r="W29" s="668" t="e">
        <f t="shared" si="14"/>
        <v>#N/A</v>
      </c>
      <c r="X29" s="1265"/>
      <c r="Y29" s="338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5"/>
      <c r="Q30" s="1263" t="str">
        <f t="shared" si="11"/>
        <v>物业等级</v>
      </c>
      <c r="R30" s="667" t="s">
        <v>14</v>
      </c>
      <c r="S30" s="668">
        <f t="shared" si="12"/>
        <v>100</v>
      </c>
      <c r="T30" s="667" t="s">
        <v>14</v>
      </c>
      <c r="U30" s="668">
        <f t="shared" si="13"/>
        <v>100</v>
      </c>
      <c r="V30" s="667" t="s">
        <v>14</v>
      </c>
      <c r="W30" s="668">
        <f t="shared" si="14"/>
        <v>100</v>
      </c>
      <c r="X30" s="1265"/>
      <c r="Y30" s="338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5"/>
      <c r="Q31" s="530" t="str">
        <f t="shared" si="11"/>
        <v>停车位面积</v>
      </c>
      <c r="R31" s="664" t="s">
        <v>14</v>
      </c>
      <c r="S31" s="665" t="e">
        <f t="shared" si="12"/>
        <v>#N/A</v>
      </c>
      <c r="T31" s="664" t="s">
        <v>14</v>
      </c>
      <c r="U31" s="665" t="e">
        <f t="shared" si="13"/>
        <v>#N/A</v>
      </c>
      <c r="V31" s="664" t="s">
        <v>14</v>
      </c>
      <c r="W31" s="665" t="e">
        <f t="shared" si="14"/>
        <v>#N/A</v>
      </c>
      <c r="X31" s="666"/>
      <c r="Y31" s="338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5" t="s">
        <v>1696</v>
      </c>
      <c r="Q32" s="1263" t="str">
        <f t="shared" si="11"/>
        <v>车位类型</v>
      </c>
      <c r="R32" s="667" t="s">
        <v>14</v>
      </c>
      <c r="S32" s="668">
        <f t="shared" si="12"/>
        <v>100</v>
      </c>
      <c r="T32" s="667" t="s">
        <v>14</v>
      </c>
      <c r="U32" s="668">
        <f t="shared" si="13"/>
        <v>100</v>
      </c>
      <c r="V32" s="667" t="s">
        <v>14</v>
      </c>
      <c r="W32" s="668">
        <f t="shared" si="14"/>
        <v>100</v>
      </c>
      <c r="X32" s="1265"/>
      <c r="Y32" s="338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5"/>
      <c r="Q33" s="1263" t="str">
        <f t="shared" si="11"/>
        <v>是否直接入户</v>
      </c>
      <c r="R33" s="667" t="s">
        <v>14</v>
      </c>
      <c r="S33" s="668">
        <f t="shared" si="12"/>
        <v>100</v>
      </c>
      <c r="T33" s="667" t="s">
        <v>14</v>
      </c>
      <c r="U33" s="668">
        <f t="shared" si="13"/>
        <v>100</v>
      </c>
      <c r="V33" s="667" t="s">
        <v>14</v>
      </c>
      <c r="W33" s="668">
        <f t="shared" si="14"/>
        <v>100</v>
      </c>
      <c r="X33" s="1265"/>
      <c r="Y33" s="338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5"/>
      <c r="Q35" s="531">
        <f t="shared" si="11"/>
        <v>111</v>
      </c>
      <c r="R35" s="669" t="s">
        <v>14</v>
      </c>
      <c r="S35" s="670">
        <f t="shared" si="12"/>
        <v>100</v>
      </c>
      <c r="T35" s="669" t="s">
        <v>14</v>
      </c>
      <c r="U35" s="670">
        <f t="shared" si="13"/>
        <v>100</v>
      </c>
      <c r="V35" s="669" t="s">
        <v>14</v>
      </c>
      <c r="W35" s="670">
        <f t="shared" si="14"/>
        <v>100</v>
      </c>
      <c r="X35" s="671"/>
      <c r="Y35" s="338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5"/>
      <c r="Q36" s="1263">
        <f t="shared" si="11"/>
        <v>111</v>
      </c>
      <c r="R36" s="667" t="s">
        <v>14</v>
      </c>
      <c r="S36" s="668">
        <f t="shared" si="12"/>
        <v>100</v>
      </c>
      <c r="T36" s="667" t="s">
        <v>14</v>
      </c>
      <c r="U36" s="668">
        <f t="shared" si="13"/>
        <v>100</v>
      </c>
      <c r="V36" s="667" t="s">
        <v>14</v>
      </c>
      <c r="W36" s="668">
        <f t="shared" si="14"/>
        <v>100</v>
      </c>
      <c r="X36" s="1265"/>
      <c r="Y36" s="3385"/>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5"/>
      <c r="M37" s="2488"/>
      <c r="N37" s="2488"/>
      <c r="O37" s="2488"/>
      <c r="P37" s="3378" t="str">
        <f>A37</f>
        <v>成交单价</v>
      </c>
      <c r="Q37" s="3378"/>
      <c r="R37" s="3379">
        <f>E37</f>
        <v>0</v>
      </c>
      <c r="S37" s="3379"/>
      <c r="T37" s="3379">
        <f>G37</f>
        <v>0</v>
      </c>
      <c r="U37" s="3379"/>
      <c r="V37" s="3379">
        <f>I37</f>
        <v>0</v>
      </c>
      <c r="W37" s="337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5" t="str">
        <f>A39</f>
        <v>估价对象XX用房的比较价值（楼面单价，元/平方米）</v>
      </c>
      <c r="Q39" s="3376"/>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45610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8"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90"/>
      <c r="M10" s="2491"/>
      <c r="N10" s="2491"/>
      <c r="O10" s="2542"/>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8"/>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1"/>
      <c r="Q15" s="1263"/>
      <c r="R15" s="667"/>
      <c r="S15" s="668"/>
      <c r="T15" s="667"/>
      <c r="U15" s="668"/>
      <c r="V15" s="667"/>
      <c r="W15" s="668"/>
      <c r="X15" s="1265"/>
      <c r="Y15" s="338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1"/>
      <c r="Q17" s="1263"/>
      <c r="R17" s="667"/>
      <c r="S17" s="668"/>
      <c r="T17" s="667"/>
      <c r="U17" s="668"/>
      <c r="V17" s="667"/>
      <c r="W17" s="668"/>
      <c r="X17" s="1265"/>
      <c r="Y17" s="338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1"/>
      <c r="Q19" s="1263"/>
      <c r="R19" s="667"/>
      <c r="S19" s="668"/>
      <c r="T19" s="667"/>
      <c r="U19" s="668"/>
      <c r="V19" s="667"/>
      <c r="W19" s="668"/>
      <c r="X19" s="1265"/>
      <c r="Y19" s="338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1"/>
      <c r="Q21" s="1263"/>
      <c r="R21" s="667"/>
      <c r="S21" s="668"/>
      <c r="T21" s="667"/>
      <c r="U21" s="668"/>
      <c r="V21" s="667"/>
      <c r="W21" s="668"/>
      <c r="X21" s="1265"/>
      <c r="Y21" s="338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1"/>
      <c r="Q24" s="1263">
        <f t="shared" ref="Q24:Q34"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5"/>
      <c r="Q27" s="531" t="str">
        <f t="shared" si="11"/>
        <v>成新率</v>
      </c>
      <c r="R27" s="669" t="s">
        <v>14</v>
      </c>
      <c r="S27" s="670" t="e">
        <f t="shared" si="12"/>
        <v>#N/A</v>
      </c>
      <c r="T27" s="669" t="s">
        <v>14</v>
      </c>
      <c r="U27" s="670" t="e">
        <f t="shared" si="13"/>
        <v>#N/A</v>
      </c>
      <c r="V27" s="669" t="s">
        <v>14</v>
      </c>
      <c r="W27" s="670" t="e">
        <f t="shared" si="14"/>
        <v>#N/A</v>
      </c>
      <c r="X27" s="671"/>
      <c r="Y27" s="338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5"/>
      <c r="Q28" s="1263" t="str">
        <f t="shared" si="11"/>
        <v>物业等级</v>
      </c>
      <c r="R28" s="667" t="s">
        <v>14</v>
      </c>
      <c r="S28" s="668">
        <f t="shared" si="12"/>
        <v>100</v>
      </c>
      <c r="T28" s="667" t="s">
        <v>14</v>
      </c>
      <c r="U28" s="668">
        <f t="shared" si="13"/>
        <v>100</v>
      </c>
      <c r="V28" s="667" t="s">
        <v>14</v>
      </c>
      <c r="W28" s="668">
        <f t="shared" si="14"/>
        <v>100</v>
      </c>
      <c r="X28" s="1265"/>
      <c r="Y28" s="338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5"/>
      <c r="Q29" s="1263" t="str">
        <f t="shared" si="11"/>
        <v>有无电梯</v>
      </c>
      <c r="R29" s="667" t="s">
        <v>14</v>
      </c>
      <c r="S29" s="668">
        <f t="shared" si="12"/>
        <v>100</v>
      </c>
      <c r="T29" s="667" t="s">
        <v>14</v>
      </c>
      <c r="U29" s="668">
        <f t="shared" si="13"/>
        <v>100</v>
      </c>
      <c r="V29" s="667" t="s">
        <v>14</v>
      </c>
      <c r="W29" s="668">
        <f t="shared" si="14"/>
        <v>100</v>
      </c>
      <c r="X29" s="1265"/>
      <c r="Y29" s="338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5"/>
      <c r="Q30" s="1263" t="str">
        <f t="shared" si="11"/>
        <v>建筑面积</v>
      </c>
      <c r="R30" s="667" t="s">
        <v>14</v>
      </c>
      <c r="S30" s="668" t="e">
        <f t="shared" si="12"/>
        <v>#N/A</v>
      </c>
      <c r="T30" s="667" t="s">
        <v>14</v>
      </c>
      <c r="U30" s="668" t="e">
        <f t="shared" si="13"/>
        <v>#N/A</v>
      </c>
      <c r="V30" s="667" t="s">
        <v>14</v>
      </c>
      <c r="W30" s="668" t="e">
        <f t="shared" si="14"/>
        <v>#N/A</v>
      </c>
      <c r="X30" s="1265"/>
      <c r="Y30" s="338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5"/>
      <c r="Q31" s="530" t="str">
        <f t="shared" si="11"/>
        <v>是否封闭</v>
      </c>
      <c r="R31" s="664" t="s">
        <v>14</v>
      </c>
      <c r="S31" s="665">
        <f t="shared" si="12"/>
        <v>100</v>
      </c>
      <c r="T31" s="664" t="s">
        <v>14</v>
      </c>
      <c r="U31" s="665">
        <f t="shared" si="13"/>
        <v>100</v>
      </c>
      <c r="V31" s="664" t="s">
        <v>14</v>
      </c>
      <c r="W31" s="665">
        <f t="shared" si="14"/>
        <v>100</v>
      </c>
      <c r="X31" s="666"/>
      <c r="Y31" s="338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5" t="s">
        <v>1696</v>
      </c>
      <c r="Q32" s="1263">
        <f t="shared" si="11"/>
        <v>111</v>
      </c>
      <c r="R32" s="667" t="s">
        <v>14</v>
      </c>
      <c r="S32" s="668">
        <f t="shared" si="12"/>
        <v>100</v>
      </c>
      <c r="T32" s="667" t="s">
        <v>14</v>
      </c>
      <c r="U32" s="668">
        <f t="shared" si="13"/>
        <v>100</v>
      </c>
      <c r="V32" s="667" t="s">
        <v>14</v>
      </c>
      <c r="W32" s="668">
        <f t="shared" si="14"/>
        <v>100</v>
      </c>
      <c r="X32" s="1265"/>
      <c r="Y32" s="338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5"/>
      <c r="Q33" s="1263">
        <f t="shared" si="11"/>
        <v>111</v>
      </c>
      <c r="R33" s="667" t="s">
        <v>14</v>
      </c>
      <c r="S33" s="668">
        <f t="shared" si="12"/>
        <v>100</v>
      </c>
      <c r="T33" s="667" t="s">
        <v>14</v>
      </c>
      <c r="U33" s="668">
        <f t="shared" si="13"/>
        <v>100</v>
      </c>
      <c r="V33" s="667" t="s">
        <v>14</v>
      </c>
      <c r="W33" s="668">
        <f t="shared" si="14"/>
        <v>100</v>
      </c>
      <c r="X33" s="1265"/>
      <c r="Y33" s="338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8" t="str">
        <f>A35</f>
        <v>成交单价（元/平方米）</v>
      </c>
      <c r="Q35" s="3378"/>
      <c r="R35" s="3379">
        <f>E35</f>
        <v>0</v>
      </c>
      <c r="S35" s="3379"/>
      <c r="T35" s="3379">
        <f>G35</f>
        <v>0</v>
      </c>
      <c r="U35" s="3379"/>
      <c r="V35" s="3379">
        <f>I35</f>
        <v>0</v>
      </c>
      <c r="W35" s="337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5" t="str">
        <f>A37</f>
        <v>估价对象XX用房的比较价值（楼面单价，元/平方米）</v>
      </c>
      <c r="Q37" s="3376"/>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45610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3" t="s">
        <v>1683</v>
      </c>
      <c r="Q8" s="3414"/>
      <c r="R8" s="664" t="s">
        <v>14</v>
      </c>
      <c r="S8" s="665">
        <f t="shared" si="0"/>
        <v>0</v>
      </c>
      <c r="T8" s="664" t="s">
        <v>14</v>
      </c>
      <c r="U8" s="665">
        <f t="shared" si="1"/>
        <v>0</v>
      </c>
      <c r="V8" s="664" t="s">
        <v>14</v>
      </c>
      <c r="W8" s="665">
        <f t="shared" si="2"/>
        <v>0</v>
      </c>
      <c r="X8" s="666"/>
      <c r="Y8" s="3413" t="s">
        <v>1683</v>
      </c>
      <c r="Z8" s="341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135</v>
      </c>
      <c r="G10" s="402"/>
      <c r="H10" s="119">
        <f>ROUND(100/'数据-取费表'!G16,0)</f>
        <v>135</v>
      </c>
      <c r="I10" s="402"/>
      <c r="J10" s="119">
        <f>ROUND(100/'数据-取费表'!G16,0)</f>
        <v>135</v>
      </c>
      <c r="K10" s="592"/>
      <c r="L10" s="2490"/>
      <c r="M10" s="2491"/>
      <c r="N10" s="2491"/>
      <c r="O10" s="2542"/>
      <c r="P10" s="3378"/>
      <c r="Q10" s="530" t="str">
        <f t="shared" si="6"/>
        <v>土地使用年限（年）</v>
      </c>
      <c r="R10" s="664" t="s">
        <v>14</v>
      </c>
      <c r="S10" s="665">
        <f t="shared" si="0"/>
        <v>135</v>
      </c>
      <c r="T10" s="664" t="s">
        <v>14</v>
      </c>
      <c r="U10" s="665">
        <f t="shared" si="1"/>
        <v>135</v>
      </c>
      <c r="V10" s="664" t="s">
        <v>14</v>
      </c>
      <c r="W10" s="665">
        <f t="shared" si="2"/>
        <v>135</v>
      </c>
      <c r="X10" s="666"/>
      <c r="Y10" s="3234"/>
      <c r="Z10" s="50" t="str">
        <f t="shared" si="7"/>
        <v>土地使用年限（年）</v>
      </c>
      <c r="AA10" s="50">
        <f t="shared" si="3"/>
        <v>0.7407407407407407</v>
      </c>
      <c r="AB10" s="50">
        <f t="shared" si="4"/>
        <v>0.7407407407407407</v>
      </c>
      <c r="AC10" s="50">
        <f t="shared" si="5"/>
        <v>0.7407407407407407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8"/>
      <c r="Q12" s="530" t="str">
        <f t="shared" si="6"/>
        <v>配建</v>
      </c>
      <c r="R12" s="664" t="s">
        <v>14</v>
      </c>
      <c r="S12" s="665">
        <f t="shared" si="0"/>
        <v>100</v>
      </c>
      <c r="T12" s="664" t="s">
        <v>14</v>
      </c>
      <c r="U12" s="665">
        <f t="shared" si="1"/>
        <v>100</v>
      </c>
      <c r="V12" s="664" t="s">
        <v>14</v>
      </c>
      <c r="W12" s="665">
        <f t="shared" si="2"/>
        <v>100</v>
      </c>
      <c r="X12" s="666"/>
      <c r="Y12" s="32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0" t="s">
        <v>1691</v>
      </c>
      <c r="Q15" s="1263" t="str">
        <f t="shared" si="6"/>
        <v>居住社区成熟度</v>
      </c>
      <c r="R15" s="667" t="s">
        <v>14</v>
      </c>
      <c r="S15" s="668">
        <f t="shared" si="0"/>
        <v>100</v>
      </c>
      <c r="T15" s="667" t="s">
        <v>14</v>
      </c>
      <c r="U15" s="668">
        <f t="shared" si="1"/>
        <v>100</v>
      </c>
      <c r="V15" s="667" t="s">
        <v>14</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1"/>
      <c r="Q17" s="1263" t="str">
        <f>B17</f>
        <v>商业繁华度</v>
      </c>
      <c r="R17" s="667" t="s">
        <v>14</v>
      </c>
      <c r="S17" s="668">
        <f>F17</f>
        <v>100</v>
      </c>
      <c r="T17" s="667" t="s">
        <v>14</v>
      </c>
      <c r="U17" s="668">
        <f>H17</f>
        <v>100</v>
      </c>
      <c r="V17" s="667" t="s">
        <v>14</v>
      </c>
      <c r="W17" s="668">
        <f>J17</f>
        <v>100</v>
      </c>
      <c r="X17" s="1265"/>
      <c r="Y17" s="338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1"/>
      <c r="Q19" s="1263" t="str">
        <f>B19</f>
        <v>办公集聚程度</v>
      </c>
      <c r="R19" s="667" t="s">
        <v>14</v>
      </c>
      <c r="S19" s="668">
        <f>F19</f>
        <v>100</v>
      </c>
      <c r="T19" s="667" t="s">
        <v>14</v>
      </c>
      <c r="U19" s="668">
        <f>H19</f>
        <v>100</v>
      </c>
      <c r="V19" s="667" t="s">
        <v>14</v>
      </c>
      <c r="W19" s="668">
        <f>J19</f>
        <v>100</v>
      </c>
      <c r="X19" s="1265"/>
      <c r="Y19" s="338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1"/>
      <c r="Q20" s="1263"/>
      <c r="R20" s="667"/>
      <c r="S20" s="668"/>
      <c r="T20" s="667"/>
      <c r="U20" s="668"/>
      <c r="V20" s="667"/>
      <c r="W20" s="668"/>
      <c r="X20" s="1265"/>
      <c r="Y20" s="338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1"/>
      <c r="Q21" s="1263" t="str">
        <f>B21</f>
        <v>交通便捷度</v>
      </c>
      <c r="R21" s="667" t="s">
        <v>14</v>
      </c>
      <c r="S21" s="668">
        <f>F21</f>
        <v>100</v>
      </c>
      <c r="T21" s="667" t="s">
        <v>14</v>
      </c>
      <c r="U21" s="668">
        <f>H21</f>
        <v>100</v>
      </c>
      <c r="V21" s="667" t="s">
        <v>14</v>
      </c>
      <c r="W21" s="668">
        <f>J21</f>
        <v>100</v>
      </c>
      <c r="X21" s="1265"/>
      <c r="Y21" s="338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1"/>
      <c r="Q23" s="1263" t="str">
        <f t="shared" ref="Q23:Q37" si="8">B23</f>
        <v>区域土地利用方向</v>
      </c>
      <c r="R23" s="667" t="s">
        <v>14</v>
      </c>
      <c r="S23" s="668">
        <f>F23</f>
        <v>100</v>
      </c>
      <c r="T23" s="667" t="s">
        <v>14</v>
      </c>
      <c r="U23" s="668">
        <f>H23</f>
        <v>100</v>
      </c>
      <c r="V23" s="667" t="s">
        <v>14</v>
      </c>
      <c r="W23" s="668">
        <f>J23</f>
        <v>100</v>
      </c>
      <c r="X23" s="1265"/>
      <c r="Y23" s="338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1"/>
      <c r="Q24" s="1263"/>
      <c r="R24" s="667"/>
      <c r="S24" s="668"/>
      <c r="T24" s="667"/>
      <c r="U24" s="668"/>
      <c r="V24" s="667"/>
      <c r="W24" s="668"/>
      <c r="X24" s="1265"/>
      <c r="Y24" s="338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1"/>
      <c r="Q25" s="1263" t="str">
        <f t="shared" si="8"/>
        <v>自然及人文环境状况</v>
      </c>
      <c r="R25" s="667" t="s">
        <v>14</v>
      </c>
      <c r="S25" s="668">
        <f>F25</f>
        <v>100</v>
      </c>
      <c r="T25" s="667" t="s">
        <v>14</v>
      </c>
      <c r="U25" s="668">
        <f>H25</f>
        <v>100</v>
      </c>
      <c r="V25" s="667" t="s">
        <v>14</v>
      </c>
      <c r="W25" s="668">
        <f>J25</f>
        <v>100</v>
      </c>
      <c r="X25" s="1265"/>
      <c r="Y25" s="338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1"/>
      <c r="Q26" s="1263"/>
      <c r="R26" s="667"/>
      <c r="S26" s="668"/>
      <c r="T26" s="667"/>
      <c r="U26" s="668"/>
      <c r="V26" s="667"/>
      <c r="W26" s="668"/>
      <c r="X26" s="1265"/>
      <c r="Y26" s="338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1"/>
      <c r="Q27" s="530" t="str">
        <f t="shared" si="8"/>
        <v>公共配套设施</v>
      </c>
      <c r="R27" s="664" t="s">
        <v>14</v>
      </c>
      <c r="S27" s="665">
        <f>F27</f>
        <v>100</v>
      </c>
      <c r="T27" s="664" t="s">
        <v>14</v>
      </c>
      <c r="U27" s="665">
        <f>H27</f>
        <v>100</v>
      </c>
      <c r="V27" s="664" t="s">
        <v>14</v>
      </c>
      <c r="W27" s="665">
        <f>J27</f>
        <v>100</v>
      </c>
      <c r="X27" s="666"/>
      <c r="Y27" s="338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1"/>
      <c r="Q28" s="530"/>
      <c r="R28" s="664"/>
      <c r="S28" s="665"/>
      <c r="T28" s="664"/>
      <c r="U28" s="665"/>
      <c r="V28" s="664"/>
      <c r="W28" s="665"/>
      <c r="X28" s="666"/>
      <c r="Y28" s="338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1"/>
      <c r="Q29" s="530" t="str">
        <f t="shared" ref="Q29" si="9">B29</f>
        <v>基础设施水平</v>
      </c>
      <c r="R29" s="664" t="s">
        <v>14</v>
      </c>
      <c r="S29" s="665">
        <f>F29</f>
        <v>100</v>
      </c>
      <c r="T29" s="664" t="s">
        <v>14</v>
      </c>
      <c r="U29" s="665">
        <f>H29</f>
        <v>100</v>
      </c>
      <c r="V29" s="664" t="s">
        <v>14</v>
      </c>
      <c r="W29" s="665">
        <f>J29</f>
        <v>100</v>
      </c>
      <c r="X29" s="666"/>
      <c r="Y29" s="338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1"/>
      <c r="Q30" s="530"/>
      <c r="R30" s="664"/>
      <c r="S30" s="665"/>
      <c r="T30" s="664"/>
      <c r="U30" s="665"/>
      <c r="V30" s="664"/>
      <c r="W30" s="665"/>
      <c r="X30" s="666"/>
      <c r="Y30" s="338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1"/>
      <c r="Q32" s="1263" t="str">
        <f t="shared" si="8"/>
        <v>毗邻道路的类型与等级</v>
      </c>
      <c r="R32" s="667" t="s">
        <v>14</v>
      </c>
      <c r="S32" s="668">
        <f t="shared" si="10"/>
        <v>100</v>
      </c>
      <c r="T32" s="667" t="s">
        <v>14</v>
      </c>
      <c r="U32" s="668">
        <f t="shared" si="11"/>
        <v>100</v>
      </c>
      <c r="V32" s="667" t="s">
        <v>14</v>
      </c>
      <c r="W32" s="668">
        <f t="shared" si="12"/>
        <v>100</v>
      </c>
      <c r="X32" s="1265"/>
      <c r="Y32" s="338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1"/>
      <c r="Q33" s="1263"/>
      <c r="R33" s="667"/>
      <c r="S33" s="668"/>
      <c r="T33" s="667"/>
      <c r="U33" s="668"/>
      <c r="V33" s="667"/>
      <c r="W33" s="668"/>
      <c r="X33" s="1265"/>
      <c r="Y33" s="338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1"/>
      <c r="Q34" s="1263" t="str">
        <f t="shared" si="8"/>
        <v>土地级别</v>
      </c>
      <c r="R34" s="667" t="s">
        <v>14</v>
      </c>
      <c r="S34" s="668">
        <f t="shared" si="10"/>
        <v>100</v>
      </c>
      <c r="T34" s="667" t="s">
        <v>14</v>
      </c>
      <c r="U34" s="668">
        <f t="shared" si="11"/>
        <v>100</v>
      </c>
      <c r="V34" s="667" t="s">
        <v>14</v>
      </c>
      <c r="W34" s="668">
        <f t="shared" si="12"/>
        <v>100</v>
      </c>
      <c r="X34" s="1265"/>
      <c r="Y34" s="338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1"/>
      <c r="Q35" s="1263">
        <f t="shared" si="8"/>
        <v>111</v>
      </c>
      <c r="R35" s="667" t="s">
        <v>14</v>
      </c>
      <c r="S35" s="668">
        <f t="shared" si="10"/>
        <v>100</v>
      </c>
      <c r="T35" s="667" t="s">
        <v>14</v>
      </c>
      <c r="U35" s="668">
        <f t="shared" si="11"/>
        <v>100</v>
      </c>
      <c r="V35" s="667" t="s">
        <v>14</v>
      </c>
      <c r="W35" s="668">
        <f t="shared" si="12"/>
        <v>100</v>
      </c>
      <c r="X35" s="1265"/>
      <c r="Y35" s="338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5" t="s">
        <v>1696</v>
      </c>
      <c r="Q36" s="1263">
        <f t="shared" si="8"/>
        <v>111</v>
      </c>
      <c r="R36" s="667" t="s">
        <v>14</v>
      </c>
      <c r="S36" s="668">
        <f t="shared" si="10"/>
        <v>100</v>
      </c>
      <c r="T36" s="667" t="s">
        <v>14</v>
      </c>
      <c r="U36" s="668">
        <f t="shared" si="11"/>
        <v>100</v>
      </c>
      <c r="V36" s="667" t="s">
        <v>14</v>
      </c>
      <c r="W36" s="668">
        <f t="shared" si="12"/>
        <v>100</v>
      </c>
      <c r="X36" s="1265"/>
      <c r="Y36" s="338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5"/>
      <c r="Q37" s="1263">
        <f t="shared" si="8"/>
        <v>111</v>
      </c>
      <c r="R37" s="669" t="s">
        <v>14</v>
      </c>
      <c r="S37" s="670">
        <f t="shared" si="10"/>
        <v>100</v>
      </c>
      <c r="T37" s="669" t="s">
        <v>14</v>
      </c>
      <c r="U37" s="670">
        <f t="shared" si="11"/>
        <v>100</v>
      </c>
      <c r="V37" s="669" t="s">
        <v>14</v>
      </c>
      <c r="W37" s="670">
        <f t="shared" si="12"/>
        <v>100</v>
      </c>
      <c r="X37" s="671"/>
      <c r="Y37" s="338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5"/>
      <c r="Q38" s="1263" t="str">
        <f>B38</f>
        <v>宗地面积</v>
      </c>
      <c r="R38" s="667" t="s">
        <v>14</v>
      </c>
      <c r="S38" s="668" t="e">
        <f t="shared" si="10"/>
        <v>#N/A</v>
      </c>
      <c r="T38" s="667" t="s">
        <v>14</v>
      </c>
      <c r="U38" s="668" t="e">
        <f t="shared" si="11"/>
        <v>#N/A</v>
      </c>
      <c r="V38" s="667" t="s">
        <v>14</v>
      </c>
      <c r="W38" s="668" t="e">
        <f t="shared" si="12"/>
        <v>#N/A</v>
      </c>
      <c r="X38" s="1265"/>
      <c r="Y38" s="338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5"/>
      <c r="Q39" s="1263" t="str">
        <f t="shared" ref="Q39:Q45" si="14">B39</f>
        <v>宗地形状</v>
      </c>
      <c r="R39" s="667" t="s">
        <v>14</v>
      </c>
      <c r="S39" s="668">
        <f t="shared" si="10"/>
        <v>100</v>
      </c>
      <c r="T39" s="667" t="s">
        <v>14</v>
      </c>
      <c r="U39" s="668">
        <f t="shared" si="11"/>
        <v>100</v>
      </c>
      <c r="V39" s="667" t="s">
        <v>14</v>
      </c>
      <c r="W39" s="668">
        <f t="shared" si="12"/>
        <v>100</v>
      </c>
      <c r="X39" s="1265"/>
      <c r="Y39" s="338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5"/>
      <c r="Q40" s="1263" t="str">
        <f t="shared" si="14"/>
        <v>临街宽度及深度</v>
      </c>
      <c r="R40" s="667" t="s">
        <v>14</v>
      </c>
      <c r="S40" s="668">
        <f t="shared" si="10"/>
        <v>100</v>
      </c>
      <c r="T40" s="667" t="s">
        <v>14</v>
      </c>
      <c r="U40" s="668">
        <f t="shared" si="11"/>
        <v>100</v>
      </c>
      <c r="V40" s="667" t="s">
        <v>14</v>
      </c>
      <c r="W40" s="668">
        <f t="shared" si="12"/>
        <v>100</v>
      </c>
      <c r="X40" s="1265"/>
      <c r="Y40" s="338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5"/>
      <c r="Q41" s="1263" t="str">
        <f t="shared" si="14"/>
        <v>宗地开发程度</v>
      </c>
      <c r="R41" s="664" t="s">
        <v>14</v>
      </c>
      <c r="S41" s="665">
        <f t="shared" si="10"/>
        <v>100</v>
      </c>
      <c r="T41" s="664" t="s">
        <v>14</v>
      </c>
      <c r="U41" s="665">
        <f t="shared" si="11"/>
        <v>100</v>
      </c>
      <c r="V41" s="664" t="s">
        <v>14</v>
      </c>
      <c r="W41" s="665">
        <f t="shared" si="12"/>
        <v>100</v>
      </c>
      <c r="X41" s="666"/>
      <c r="Y41" s="338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5" t="s">
        <v>1696</v>
      </c>
      <c r="Q42" s="1263" t="str">
        <f t="shared" si="14"/>
        <v>工程地质条件</v>
      </c>
      <c r="R42" s="667" t="s">
        <v>14</v>
      </c>
      <c r="S42" s="668">
        <f t="shared" si="10"/>
        <v>100</v>
      </c>
      <c r="T42" s="667" t="s">
        <v>14</v>
      </c>
      <c r="U42" s="668">
        <f t="shared" si="11"/>
        <v>100</v>
      </c>
      <c r="V42" s="667" t="s">
        <v>14</v>
      </c>
      <c r="W42" s="668">
        <f t="shared" si="12"/>
        <v>100</v>
      </c>
      <c r="X42" s="1265"/>
      <c r="Y42" s="338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5"/>
      <c r="Q43" s="1263">
        <f t="shared" si="14"/>
        <v>111</v>
      </c>
      <c r="R43" s="667" t="s">
        <v>14</v>
      </c>
      <c r="S43" s="668">
        <f t="shared" si="10"/>
        <v>100</v>
      </c>
      <c r="T43" s="667" t="s">
        <v>14</v>
      </c>
      <c r="U43" s="668">
        <f t="shared" si="11"/>
        <v>100</v>
      </c>
      <c r="V43" s="667" t="s">
        <v>14</v>
      </c>
      <c r="W43" s="668">
        <f t="shared" si="12"/>
        <v>100</v>
      </c>
      <c r="X43" s="1265"/>
      <c r="Y43" s="338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5"/>
      <c r="Q44" s="1263">
        <f t="shared" si="14"/>
        <v>111</v>
      </c>
      <c r="R44" s="667" t="s">
        <v>14</v>
      </c>
      <c r="S44" s="668">
        <f t="shared" si="10"/>
        <v>100</v>
      </c>
      <c r="T44" s="667" t="s">
        <v>14</v>
      </c>
      <c r="U44" s="668">
        <f t="shared" si="11"/>
        <v>100</v>
      </c>
      <c r="V44" s="667" t="s">
        <v>14</v>
      </c>
      <c r="W44" s="668">
        <f t="shared" si="12"/>
        <v>100</v>
      </c>
      <c r="X44" s="1265"/>
      <c r="Y44" s="338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5"/>
      <c r="Q45" s="1263">
        <f t="shared" si="14"/>
        <v>111</v>
      </c>
      <c r="R45" s="669" t="s">
        <v>14</v>
      </c>
      <c r="S45" s="670">
        <f t="shared" si="10"/>
        <v>100</v>
      </c>
      <c r="T45" s="669" t="s">
        <v>14</v>
      </c>
      <c r="U45" s="670">
        <f t="shared" si="11"/>
        <v>100</v>
      </c>
      <c r="V45" s="669" t="s">
        <v>14</v>
      </c>
      <c r="W45" s="670">
        <f t="shared" si="12"/>
        <v>100</v>
      </c>
      <c r="X45" s="671"/>
      <c r="Y45" s="338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8" t="str">
        <f>A46</f>
        <v>成交单价</v>
      </c>
      <c r="Q46" s="3378"/>
      <c r="R46" s="3379">
        <f>E46</f>
        <v>0</v>
      </c>
      <c r="S46" s="3379"/>
      <c r="T46" s="3379">
        <f>G46</f>
        <v>0</v>
      </c>
      <c r="U46" s="3379"/>
      <c r="V46" s="3379">
        <f>I46</f>
        <v>0</v>
      </c>
      <c r="W46" s="337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8" t="str">
        <f>A47</f>
        <v>比较价值（元/平方米）</v>
      </c>
      <c r="Q47" s="3378"/>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5" t="str">
        <f>A48</f>
        <v>估价对象XX用房的比较价值（楼面单价，元/平方米）</v>
      </c>
      <c r="Q48" s="3376"/>
      <c r="R48" s="3438" t="e">
        <f>ROUND(IF(D47="简单平均",AVERAGE(R47:W47),R47*F47+T47*H47+V47*J47),0)</f>
        <v>#DIV/0!</v>
      </c>
      <c r="S48" s="3438"/>
      <c r="T48" s="3438"/>
      <c r="U48" s="3438"/>
      <c r="V48" s="3438"/>
      <c r="W48" s="343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3" t="s">
        <v>1887</v>
      </c>
      <c r="H55" s="343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11862.369999999999</v>
      </c>
      <c r="F56" s="833" t="e">
        <f t="shared" ref="F56:F64" si="15">ROUND(B56*E56/10000,0)</f>
        <v>#DIV/0!</v>
      </c>
      <c r="G56" s="3389"/>
      <c r="H56" s="337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六级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六级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六级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11862.369999999999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40" t="s">
        <v>1919</v>
      </c>
      <c r="D6" s="3441"/>
      <c r="E6" s="3442" t="s">
        <v>1919</v>
      </c>
      <c r="F6" s="3443"/>
      <c r="G6" s="3440" t="s">
        <v>1919</v>
      </c>
      <c r="H6" s="3441"/>
      <c r="I6" s="3440" t="s">
        <v>1919</v>
      </c>
      <c r="J6" s="3441"/>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45610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3" t="s">
        <v>1683</v>
      </c>
      <c r="Q8" s="3414"/>
      <c r="R8" s="664" t="s">
        <v>14</v>
      </c>
      <c r="S8" s="665">
        <f t="shared" si="0"/>
        <v>0</v>
      </c>
      <c r="T8" s="664" t="s">
        <v>14</v>
      </c>
      <c r="U8" s="665">
        <f t="shared" si="1"/>
        <v>0</v>
      </c>
      <c r="V8" s="664" t="s">
        <v>14</v>
      </c>
      <c r="W8" s="665">
        <f t="shared" si="2"/>
        <v>0</v>
      </c>
      <c r="X8" s="666"/>
      <c r="Y8" s="3413" t="s">
        <v>1683</v>
      </c>
      <c r="Z8" s="341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135</v>
      </c>
      <c r="G10" s="371"/>
      <c r="H10" s="119">
        <f>ROUND(100/'数据-取费表'!G16,0)</f>
        <v>135</v>
      </c>
      <c r="I10" s="371"/>
      <c r="J10" s="119">
        <f>ROUND(100/'数据-取费表'!G16,0)</f>
        <v>135</v>
      </c>
      <c r="K10" s="592"/>
      <c r="L10" s="2490"/>
      <c r="M10" s="2491"/>
      <c r="N10" s="2491"/>
      <c r="O10" s="2542"/>
      <c r="P10" s="3378"/>
      <c r="Q10" s="530" t="str">
        <f t="shared" si="6"/>
        <v>土地使用年限（年）</v>
      </c>
      <c r="R10" s="664" t="s">
        <v>14</v>
      </c>
      <c r="S10" s="665">
        <f t="shared" si="0"/>
        <v>135</v>
      </c>
      <c r="T10" s="664" t="s">
        <v>14</v>
      </c>
      <c r="U10" s="665">
        <f t="shared" si="1"/>
        <v>135</v>
      </c>
      <c r="V10" s="664" t="s">
        <v>14</v>
      </c>
      <c r="W10" s="665">
        <f t="shared" si="2"/>
        <v>135</v>
      </c>
      <c r="X10" s="666"/>
      <c r="Y10" s="3234"/>
      <c r="Z10" s="50" t="str">
        <f t="shared" si="7"/>
        <v>土地使用年限（年）</v>
      </c>
      <c r="AA10" s="50">
        <f t="shared" si="3"/>
        <v>0.7407407407407407</v>
      </c>
      <c r="AB10" s="50">
        <f t="shared" si="4"/>
        <v>0.7407407407407407</v>
      </c>
      <c r="AC10" s="50">
        <f t="shared" si="5"/>
        <v>0.7407407407407407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1"/>
      <c r="Q19" s="1263" t="str">
        <f t="shared" ref="Q19:Q33" si="8">B19</f>
        <v>区域土地利用方向</v>
      </c>
      <c r="R19" s="667" t="s">
        <v>14</v>
      </c>
      <c r="S19" s="668">
        <f>F19</f>
        <v>100</v>
      </c>
      <c r="T19" s="667" t="s">
        <v>14</v>
      </c>
      <c r="U19" s="668">
        <f>H19</f>
        <v>100</v>
      </c>
      <c r="V19" s="667" t="s">
        <v>14</v>
      </c>
      <c r="W19" s="668">
        <f>J19</f>
        <v>100</v>
      </c>
      <c r="X19" s="1265"/>
      <c r="Y19" s="338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1"/>
      <c r="Q20" s="1263"/>
      <c r="R20" s="667"/>
      <c r="S20" s="668"/>
      <c r="T20" s="667"/>
      <c r="U20" s="668"/>
      <c r="V20" s="667"/>
      <c r="W20" s="668"/>
      <c r="X20" s="1265"/>
      <c r="Y20" s="338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1"/>
      <c r="Q21" s="1263" t="str">
        <f t="shared" si="8"/>
        <v>环境状况</v>
      </c>
      <c r="R21" s="667" t="s">
        <v>14</v>
      </c>
      <c r="S21" s="668">
        <f>F21</f>
        <v>100</v>
      </c>
      <c r="T21" s="667" t="s">
        <v>14</v>
      </c>
      <c r="U21" s="668">
        <f>H21</f>
        <v>100</v>
      </c>
      <c r="V21" s="667" t="s">
        <v>14</v>
      </c>
      <c r="W21" s="668">
        <f>J21</f>
        <v>100</v>
      </c>
      <c r="X21" s="1265"/>
      <c r="Y21" s="338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1"/>
      <c r="Q23" s="530" t="str">
        <f t="shared" si="8"/>
        <v>公共配套设施</v>
      </c>
      <c r="R23" s="664" t="s">
        <v>14</v>
      </c>
      <c r="S23" s="665">
        <f>F23</f>
        <v>100</v>
      </c>
      <c r="T23" s="664" t="s">
        <v>14</v>
      </c>
      <c r="U23" s="665">
        <f>H23</f>
        <v>100</v>
      </c>
      <c r="V23" s="664" t="s">
        <v>14</v>
      </c>
      <c r="W23" s="665">
        <f>J23</f>
        <v>100</v>
      </c>
      <c r="X23" s="666"/>
      <c r="Y23" s="338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1"/>
      <c r="Q24" s="530"/>
      <c r="R24" s="664"/>
      <c r="S24" s="665"/>
      <c r="T24" s="664"/>
      <c r="U24" s="665"/>
      <c r="V24" s="664"/>
      <c r="W24" s="665"/>
      <c r="X24" s="666"/>
      <c r="Y24" s="338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1"/>
      <c r="Q25" s="530" t="str">
        <f t="shared" ref="Q25" si="9">B25</f>
        <v>基础设施水平</v>
      </c>
      <c r="R25" s="664" t="s">
        <v>14</v>
      </c>
      <c r="S25" s="665">
        <f>F25</f>
        <v>100</v>
      </c>
      <c r="T25" s="664" t="s">
        <v>14</v>
      </c>
      <c r="U25" s="665">
        <f>H25</f>
        <v>100</v>
      </c>
      <c r="V25" s="664" t="s">
        <v>14</v>
      </c>
      <c r="W25" s="665">
        <f>J25</f>
        <v>100</v>
      </c>
      <c r="X25" s="666"/>
      <c r="Y25" s="338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1"/>
      <c r="Q26" s="530"/>
      <c r="R26" s="664"/>
      <c r="S26" s="665"/>
      <c r="T26" s="664"/>
      <c r="U26" s="665"/>
      <c r="V26" s="664"/>
      <c r="W26" s="665"/>
      <c r="X26" s="666"/>
      <c r="Y26" s="338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1"/>
      <c r="Q28" s="1263" t="str">
        <f t="shared" si="8"/>
        <v>毗邻道路的类型与等级</v>
      </c>
      <c r="R28" s="667" t="s">
        <v>14</v>
      </c>
      <c r="S28" s="668">
        <f t="shared" si="10"/>
        <v>100</v>
      </c>
      <c r="T28" s="667" t="s">
        <v>14</v>
      </c>
      <c r="U28" s="668">
        <f t="shared" si="11"/>
        <v>100</v>
      </c>
      <c r="V28" s="667" t="s">
        <v>14</v>
      </c>
      <c r="W28" s="668">
        <f t="shared" si="12"/>
        <v>100</v>
      </c>
      <c r="X28" s="1265"/>
      <c r="Y28" s="338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1"/>
      <c r="Q29" s="1263"/>
      <c r="R29" s="667"/>
      <c r="S29" s="668"/>
      <c r="T29" s="667"/>
      <c r="U29" s="668"/>
      <c r="V29" s="667"/>
      <c r="W29" s="668"/>
      <c r="X29" s="1265"/>
      <c r="Y29" s="338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1"/>
      <c r="Q30" s="1263" t="str">
        <f t="shared" si="8"/>
        <v>土地级别</v>
      </c>
      <c r="R30" s="667" t="s">
        <v>14</v>
      </c>
      <c r="S30" s="668">
        <f t="shared" si="10"/>
        <v>100</v>
      </c>
      <c r="T30" s="667" t="s">
        <v>14</v>
      </c>
      <c r="U30" s="668">
        <f t="shared" si="11"/>
        <v>100</v>
      </c>
      <c r="V30" s="667" t="s">
        <v>14</v>
      </c>
      <c r="W30" s="668">
        <f t="shared" si="12"/>
        <v>100</v>
      </c>
      <c r="X30" s="1265"/>
      <c r="Y30" s="338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1"/>
      <c r="Q31" s="1263">
        <f t="shared" si="8"/>
        <v>111</v>
      </c>
      <c r="R31" s="667" t="s">
        <v>14</v>
      </c>
      <c r="S31" s="668">
        <f t="shared" si="10"/>
        <v>100</v>
      </c>
      <c r="T31" s="667" t="s">
        <v>14</v>
      </c>
      <c r="U31" s="668">
        <f t="shared" si="11"/>
        <v>100</v>
      </c>
      <c r="V31" s="667" t="s">
        <v>14</v>
      </c>
      <c r="W31" s="668">
        <f t="shared" si="12"/>
        <v>100</v>
      </c>
      <c r="X31" s="1265"/>
      <c r="Y31" s="338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5" t="s">
        <v>1696</v>
      </c>
      <c r="Q32" s="1263">
        <f t="shared" si="8"/>
        <v>111</v>
      </c>
      <c r="R32" s="667" t="s">
        <v>14</v>
      </c>
      <c r="S32" s="668">
        <f t="shared" si="10"/>
        <v>100</v>
      </c>
      <c r="T32" s="667" t="s">
        <v>14</v>
      </c>
      <c r="U32" s="668">
        <f t="shared" si="11"/>
        <v>100</v>
      </c>
      <c r="V32" s="667" t="s">
        <v>14</v>
      </c>
      <c r="W32" s="668">
        <f t="shared" si="12"/>
        <v>100</v>
      </c>
      <c r="X32" s="1265"/>
      <c r="Y32" s="338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5"/>
      <c r="Q33" s="1263">
        <f t="shared" si="8"/>
        <v>111</v>
      </c>
      <c r="R33" s="669" t="s">
        <v>14</v>
      </c>
      <c r="S33" s="670">
        <f t="shared" si="10"/>
        <v>100</v>
      </c>
      <c r="T33" s="669" t="s">
        <v>14</v>
      </c>
      <c r="U33" s="670">
        <f t="shared" si="11"/>
        <v>100</v>
      </c>
      <c r="V33" s="669" t="s">
        <v>14</v>
      </c>
      <c r="W33" s="670">
        <f t="shared" si="12"/>
        <v>100</v>
      </c>
      <c r="X33" s="671"/>
      <c r="Y33" s="338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5"/>
      <c r="Q34" s="1263" t="str">
        <f>B34</f>
        <v>宗地面积</v>
      </c>
      <c r="R34" s="667" t="s">
        <v>14</v>
      </c>
      <c r="S34" s="668" t="e">
        <f t="shared" si="10"/>
        <v>#N/A</v>
      </c>
      <c r="T34" s="667" t="s">
        <v>14</v>
      </c>
      <c r="U34" s="668" t="e">
        <f t="shared" si="11"/>
        <v>#N/A</v>
      </c>
      <c r="V34" s="667" t="s">
        <v>14</v>
      </c>
      <c r="W34" s="668" t="e">
        <f t="shared" si="12"/>
        <v>#N/A</v>
      </c>
      <c r="X34" s="1265"/>
      <c r="Y34" s="338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5"/>
      <c r="Q35" s="1263" t="str">
        <f t="shared" ref="Q35:Q40" si="14">B35</f>
        <v>宗地形状</v>
      </c>
      <c r="R35" s="667" t="s">
        <v>14</v>
      </c>
      <c r="S35" s="668">
        <f t="shared" si="10"/>
        <v>100</v>
      </c>
      <c r="T35" s="667" t="s">
        <v>14</v>
      </c>
      <c r="U35" s="668">
        <f t="shared" si="11"/>
        <v>100</v>
      </c>
      <c r="V35" s="667" t="s">
        <v>14</v>
      </c>
      <c r="W35" s="668">
        <f t="shared" si="12"/>
        <v>100</v>
      </c>
      <c r="X35" s="1265"/>
      <c r="Y35" s="338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5"/>
      <c r="Q36" s="1263" t="str">
        <f t="shared" si="14"/>
        <v>宗地开发程度</v>
      </c>
      <c r="R36" s="664" t="s">
        <v>14</v>
      </c>
      <c r="S36" s="665">
        <f t="shared" si="10"/>
        <v>100</v>
      </c>
      <c r="T36" s="664" t="s">
        <v>14</v>
      </c>
      <c r="U36" s="665">
        <f t="shared" si="11"/>
        <v>100</v>
      </c>
      <c r="V36" s="664" t="s">
        <v>14</v>
      </c>
      <c r="W36" s="665">
        <f t="shared" si="12"/>
        <v>100</v>
      </c>
      <c r="X36" s="666"/>
      <c r="Y36" s="338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5" t="s">
        <v>1696</v>
      </c>
      <c r="Q37" s="1263" t="str">
        <f t="shared" si="14"/>
        <v>工程地质条件</v>
      </c>
      <c r="R37" s="667" t="s">
        <v>14</v>
      </c>
      <c r="S37" s="668">
        <f t="shared" si="10"/>
        <v>100</v>
      </c>
      <c r="T37" s="667" t="s">
        <v>14</v>
      </c>
      <c r="U37" s="668">
        <f t="shared" si="11"/>
        <v>100</v>
      </c>
      <c r="V37" s="667" t="s">
        <v>14</v>
      </c>
      <c r="W37" s="668">
        <f t="shared" si="12"/>
        <v>100</v>
      </c>
      <c r="X37" s="1265"/>
      <c r="Y37" s="338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5"/>
      <c r="Q38" s="1263">
        <f t="shared" si="14"/>
        <v>111</v>
      </c>
      <c r="R38" s="667" t="s">
        <v>14</v>
      </c>
      <c r="S38" s="668">
        <f t="shared" si="10"/>
        <v>100</v>
      </c>
      <c r="T38" s="667" t="s">
        <v>14</v>
      </c>
      <c r="U38" s="668">
        <f t="shared" si="11"/>
        <v>100</v>
      </c>
      <c r="V38" s="667" t="s">
        <v>14</v>
      </c>
      <c r="W38" s="668">
        <f t="shared" si="12"/>
        <v>100</v>
      </c>
      <c r="X38" s="1265"/>
      <c r="Y38" s="338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5"/>
      <c r="Q39" s="1263">
        <f t="shared" si="14"/>
        <v>111</v>
      </c>
      <c r="R39" s="667" t="s">
        <v>14</v>
      </c>
      <c r="S39" s="668">
        <f t="shared" si="10"/>
        <v>100</v>
      </c>
      <c r="T39" s="667" t="s">
        <v>14</v>
      </c>
      <c r="U39" s="668">
        <f t="shared" si="11"/>
        <v>100</v>
      </c>
      <c r="V39" s="667" t="s">
        <v>14</v>
      </c>
      <c r="W39" s="668">
        <f t="shared" si="12"/>
        <v>100</v>
      </c>
      <c r="X39" s="1265"/>
      <c r="Y39" s="338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5"/>
      <c r="Q40" s="1263">
        <f t="shared" si="14"/>
        <v>111</v>
      </c>
      <c r="R40" s="669" t="s">
        <v>14</v>
      </c>
      <c r="S40" s="670">
        <f t="shared" si="10"/>
        <v>100</v>
      </c>
      <c r="T40" s="669" t="s">
        <v>14</v>
      </c>
      <c r="U40" s="670">
        <f t="shared" si="11"/>
        <v>100</v>
      </c>
      <c r="V40" s="669" t="s">
        <v>14</v>
      </c>
      <c r="W40" s="670">
        <f t="shared" si="12"/>
        <v>100</v>
      </c>
      <c r="X40" s="671"/>
      <c r="Y40" s="338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8" t="str">
        <f>A41</f>
        <v>成交单价</v>
      </c>
      <c r="Q41" s="3378"/>
      <c r="R41" s="3379">
        <f>E41</f>
        <v>0</v>
      </c>
      <c r="S41" s="3379"/>
      <c r="T41" s="3379">
        <f>G41</f>
        <v>0</v>
      </c>
      <c r="U41" s="3379"/>
      <c r="V41" s="3379">
        <f>I41</f>
        <v>0</v>
      </c>
      <c r="W41" s="337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8" t="str">
        <f>A42</f>
        <v>比较价值（元/平方米）</v>
      </c>
      <c r="Q42" s="3378"/>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5" t="str">
        <f>A43</f>
        <v>估价对象XX用房的比较价值（楼面单价，元/平方米）</v>
      </c>
      <c r="Q43" s="3376"/>
      <c r="R43" s="3438" t="e">
        <f>ROUND(IF(D42="简单平均",AVERAGE(R42:W42),R42*F42+T42*H42+V42*J42),0)</f>
        <v>#DIV/0!</v>
      </c>
      <c r="S43" s="3438"/>
      <c r="T43" s="3438"/>
      <c r="U43" s="3438"/>
      <c r="V43" s="3438"/>
      <c r="W43" s="343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3" t="s">
        <v>1887</v>
      </c>
      <c r="H50" s="343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11862.369999999999</v>
      </c>
      <c r="F51" s="611" t="e">
        <f t="shared" ref="F51:F60" si="15">ROUND(B51*E51/10000,0)</f>
        <v>#DIV/0!</v>
      </c>
      <c r="G51" s="3389"/>
      <c r="H51" s="337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六级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六级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六级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7" t="s">
        <v>2084</v>
      </c>
      <c r="D1" s="3448"/>
      <c r="E1" s="3448"/>
      <c r="F1" s="3448"/>
      <c r="G1" s="3448"/>
      <c r="H1" s="3448"/>
      <c r="I1" s="3448"/>
      <c r="J1" s="3448"/>
      <c r="K1" s="3448"/>
      <c r="L1" s="3448"/>
      <c r="M1" s="3448"/>
      <c r="N1" s="3448"/>
      <c r="O1" s="3448"/>
      <c r="P1" s="3448"/>
      <c r="Q1" s="3448"/>
      <c r="R1" s="3448"/>
      <c r="S1" s="344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8650</v>
      </c>
      <c r="C2" s="1984" t="s">
        <v>2074</v>
      </c>
      <c r="D2" s="1984" t="s">
        <v>2075</v>
      </c>
      <c r="E2" s="2398">
        <f ca="1">SUMIF(E6:E13,"&lt;&gt;#ref!",E6:E13)</f>
        <v>5628.78</v>
      </c>
      <c r="F2" s="2545"/>
      <c r="G2" s="2545"/>
      <c r="H2" s="2545"/>
      <c r="I2" s="2545"/>
      <c r="J2" s="2545"/>
      <c r="K2" s="2545"/>
      <c r="L2" s="2545"/>
      <c r="M2" s="2545"/>
      <c r="N2" s="2545"/>
      <c r="O2" s="2545"/>
      <c r="P2" s="2545"/>
    </row>
    <row r="3" spans="1:16" ht="15.75">
      <c r="A3" s="1984" t="s">
        <v>2076</v>
      </c>
      <c r="B3" s="2388">
        <f ca="1">ROUND(B2*10000/E2,0)</f>
        <v>15367</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8650</v>
      </c>
      <c r="C6" s="1984" t="s">
        <v>2074</v>
      </c>
      <c r="D6" s="2545"/>
      <c r="E6" s="2398">
        <f ca="1">SUMIF(INDIRECT("'"&amp;A6&amp;"'"&amp;"!C:C"),"建筑面积",INDIRECT("'"&amp;A6&amp;"'"&amp;"!D:D"))</f>
        <v>5628.78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459" t="s">
        <v>2609</v>
      </c>
      <c r="B20" s="3454" t="s">
        <v>2630</v>
      </c>
      <c r="C20" s="2843" t="s">
        <v>2441</v>
      </c>
      <c r="D20" s="2844"/>
      <c r="E20" s="2845">
        <v>1</v>
      </c>
      <c r="F20" s="2846" t="s">
        <v>2442</v>
      </c>
      <c r="G20" s="2846"/>
    </row>
    <row r="21" spans="1:13" ht="19.5" customHeight="1">
      <c r="A21" s="3460"/>
      <c r="B21" s="3453"/>
      <c r="C21" s="2847" t="s">
        <v>2443</v>
      </c>
      <c r="D21" s="2848"/>
      <c r="E21" s="2849">
        <v>1</v>
      </c>
      <c r="F21" s="2846" t="s">
        <v>2444</v>
      </c>
      <c r="G21" s="2846"/>
    </row>
    <row r="22" spans="1:13" ht="19.5" customHeight="1">
      <c r="A22" s="3460"/>
      <c r="B22" s="3453"/>
      <c r="C22" s="2847" t="s">
        <v>2445</v>
      </c>
      <c r="D22" s="2848"/>
      <c r="E22" s="2849">
        <v>0.9</v>
      </c>
      <c r="F22" s="2846" t="s">
        <v>2446</v>
      </c>
      <c r="G22" s="2846"/>
    </row>
    <row r="23" spans="1:13" ht="19.5" customHeight="1">
      <c r="A23" s="3460"/>
      <c r="B23" s="3453"/>
      <c r="C23" s="2847" t="s">
        <v>2447</v>
      </c>
      <c r="D23" s="2848"/>
      <c r="E23" s="2849">
        <v>0.9</v>
      </c>
      <c r="F23" s="2846" t="s">
        <v>2448</v>
      </c>
      <c r="G23" s="2846"/>
    </row>
    <row r="24" spans="1:13" ht="19.5" customHeight="1">
      <c r="A24" s="3460"/>
      <c r="B24" s="3453"/>
      <c r="C24" s="2847" t="s">
        <v>2449</v>
      </c>
      <c r="D24" s="2848"/>
      <c r="E24" s="2849">
        <v>0.8</v>
      </c>
      <c r="F24" s="2846" t="s">
        <v>2450</v>
      </c>
      <c r="G24" s="2846"/>
    </row>
    <row r="25" spans="1:13" ht="19.5" customHeight="1" thickBot="1">
      <c r="A25" s="3461"/>
      <c r="B25" s="3455"/>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456" t="s">
        <v>2633</v>
      </c>
      <c r="B27" s="3454" t="s">
        <v>2614</v>
      </c>
      <c r="C27" s="2843" t="s">
        <v>2454</v>
      </c>
      <c r="D27" s="2844"/>
      <c r="E27" s="2845">
        <v>1</v>
      </c>
      <c r="F27" s="2846" t="s">
        <v>2455</v>
      </c>
      <c r="G27" s="2846"/>
    </row>
    <row r="28" spans="1:13" ht="19.5" customHeight="1">
      <c r="A28" s="3457"/>
      <c r="B28" s="3453"/>
      <c r="C28" s="2847" t="s">
        <v>2456</v>
      </c>
      <c r="D28" s="2848"/>
      <c r="E28" s="2849">
        <v>1</v>
      </c>
      <c r="F28" s="2846" t="s">
        <v>2457</v>
      </c>
      <c r="G28" s="2846"/>
    </row>
    <row r="29" spans="1:13" ht="19.5" customHeight="1">
      <c r="A29" s="3457"/>
      <c r="B29" s="3453"/>
      <c r="C29" s="2847" t="s">
        <v>2458</v>
      </c>
      <c r="D29" s="2848"/>
      <c r="E29" s="2849">
        <v>0.8</v>
      </c>
      <c r="F29" s="2846" t="s">
        <v>2459</v>
      </c>
      <c r="G29" s="2846"/>
    </row>
    <row r="30" spans="1:13" ht="19.5" customHeight="1">
      <c r="A30" s="3457"/>
      <c r="B30" s="3453"/>
      <c r="C30" s="2847" t="s">
        <v>2460</v>
      </c>
      <c r="D30" s="2848"/>
      <c r="E30" s="2849">
        <v>0.8</v>
      </c>
      <c r="F30" s="2846" t="s">
        <v>2461</v>
      </c>
      <c r="G30" s="2846"/>
    </row>
    <row r="31" spans="1:13" ht="19.5" customHeight="1">
      <c r="A31" s="3457"/>
      <c r="B31" s="3453"/>
      <c r="C31" s="2847" t="s">
        <v>2462</v>
      </c>
      <c r="D31" s="2848"/>
      <c r="E31" s="2849">
        <v>0.8</v>
      </c>
      <c r="F31" s="2846" t="s">
        <v>2463</v>
      </c>
      <c r="G31" s="2846"/>
    </row>
    <row r="32" spans="1:13" ht="19.5" customHeight="1">
      <c r="A32" s="3457"/>
      <c r="B32" s="3453"/>
      <c r="C32" s="2847" t="s">
        <v>2464</v>
      </c>
      <c r="D32" s="2848"/>
      <c r="E32" s="2849">
        <v>0.7</v>
      </c>
      <c r="F32" s="2846" t="s">
        <v>2465</v>
      </c>
      <c r="G32" s="2846"/>
    </row>
    <row r="33" spans="1:7" ht="19.5" customHeight="1">
      <c r="A33" s="3457"/>
      <c r="B33" s="3453"/>
      <c r="C33" s="2847" t="s">
        <v>2466</v>
      </c>
      <c r="D33" s="2848"/>
      <c r="E33" s="2849">
        <v>0.8</v>
      </c>
      <c r="F33" s="2846" t="s">
        <v>2467</v>
      </c>
      <c r="G33" s="2846"/>
    </row>
    <row r="34" spans="1:7" ht="19.5" customHeight="1">
      <c r="A34" s="3457"/>
      <c r="B34" s="3453"/>
      <c r="C34" s="2847" t="s">
        <v>2468</v>
      </c>
      <c r="D34" s="2848"/>
      <c r="E34" s="2849">
        <v>0.6</v>
      </c>
      <c r="F34" s="2846" t="s">
        <v>2469</v>
      </c>
      <c r="G34" s="2846"/>
    </row>
    <row r="35" spans="1:7" ht="19.5" customHeight="1">
      <c r="A35" s="3457"/>
      <c r="B35" s="3453"/>
      <c r="C35" s="2847" t="s">
        <v>2470</v>
      </c>
      <c r="D35" s="2848"/>
      <c r="E35" s="2849">
        <v>0.2</v>
      </c>
      <c r="F35" s="2846" t="s">
        <v>2471</v>
      </c>
      <c r="G35" s="2846"/>
    </row>
    <row r="36" spans="1:7" ht="19.5" customHeight="1">
      <c r="A36" s="3457"/>
      <c r="B36" s="3453"/>
      <c r="C36" s="2847" t="s">
        <v>2472</v>
      </c>
      <c r="D36" s="2848"/>
      <c r="E36" s="2849">
        <v>0.2</v>
      </c>
      <c r="F36" s="2846" t="s">
        <v>2473</v>
      </c>
      <c r="G36" s="2846"/>
    </row>
    <row r="37" spans="1:7" ht="19.5" customHeight="1">
      <c r="A37" s="3457"/>
      <c r="B37" s="3451" t="s">
        <v>2634</v>
      </c>
      <c r="C37" s="2847" t="s">
        <v>2474</v>
      </c>
      <c r="D37" s="2848"/>
      <c r="E37" s="2849">
        <v>0.6</v>
      </c>
      <c r="F37" s="2846" t="s">
        <v>2475</v>
      </c>
      <c r="G37" s="2846"/>
    </row>
    <row r="38" spans="1:7" ht="19.5" customHeight="1">
      <c r="A38" s="3457"/>
      <c r="B38" s="3453"/>
      <c r="C38" s="2847" t="s">
        <v>2476</v>
      </c>
      <c r="D38" s="2848"/>
      <c r="E38" s="2849">
        <v>0.6</v>
      </c>
      <c r="F38" s="2846" t="s">
        <v>2477</v>
      </c>
      <c r="G38" s="2846"/>
    </row>
    <row r="39" spans="1:7" ht="19.5" customHeight="1" thickBot="1">
      <c r="A39" s="3458"/>
      <c r="B39" s="3455"/>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459" t="s">
        <v>2612</v>
      </c>
      <c r="B41" s="3454" t="s">
        <v>2636</v>
      </c>
      <c r="C41" s="2843" t="s">
        <v>2481</v>
      </c>
      <c r="D41" s="2844"/>
      <c r="E41" s="2845">
        <v>1</v>
      </c>
      <c r="F41" s="2846" t="s">
        <v>2482</v>
      </c>
      <c r="G41" s="2846"/>
    </row>
    <row r="42" spans="1:7" ht="19.5" customHeight="1">
      <c r="A42" s="3460"/>
      <c r="B42" s="3453"/>
      <c r="C42" s="2847" t="s">
        <v>2483</v>
      </c>
      <c r="D42" s="2848"/>
      <c r="E42" s="2849">
        <v>1</v>
      </c>
      <c r="F42" s="2846" t="s">
        <v>2484</v>
      </c>
      <c r="G42" s="2846"/>
    </row>
    <row r="43" spans="1:7" ht="19.5" customHeight="1">
      <c r="A43" s="3460"/>
      <c r="B43" s="3452"/>
      <c r="C43" s="2847" t="s">
        <v>2485</v>
      </c>
      <c r="D43" s="2848"/>
      <c r="E43" s="2849">
        <v>1.5</v>
      </c>
      <c r="F43" s="2846" t="s">
        <v>2486</v>
      </c>
      <c r="G43" s="2846"/>
    </row>
    <row r="44" spans="1:7" ht="19.5" customHeight="1">
      <c r="A44" s="3460"/>
      <c r="B44" s="2858" t="s">
        <v>2637</v>
      </c>
      <c r="C44" s="2847" t="s">
        <v>2638</v>
      </c>
      <c r="D44" s="2848"/>
      <c r="E44" s="2849">
        <v>2</v>
      </c>
      <c r="F44" s="2846" t="s">
        <v>2487</v>
      </c>
      <c r="G44" s="2846"/>
    </row>
    <row r="45" spans="1:7" ht="19.5" customHeight="1">
      <c r="A45" s="3460"/>
      <c r="B45" s="3451" t="s">
        <v>2639</v>
      </c>
      <c r="C45" s="2847" t="s">
        <v>2488</v>
      </c>
      <c r="D45" s="2848"/>
      <c r="E45" s="2849">
        <v>1</v>
      </c>
      <c r="F45" s="2846" t="s">
        <v>2489</v>
      </c>
      <c r="G45" s="2846"/>
    </row>
    <row r="46" spans="1:7" ht="19.5" customHeight="1">
      <c r="A46" s="3460"/>
      <c r="B46" s="3453"/>
      <c r="C46" s="2847" t="s">
        <v>2490</v>
      </c>
      <c r="D46" s="2848"/>
      <c r="E46" s="2849">
        <v>1</v>
      </c>
      <c r="F46" s="2846" t="s">
        <v>2491</v>
      </c>
      <c r="G46" s="2846"/>
    </row>
    <row r="47" spans="1:7" ht="19.5" customHeight="1">
      <c r="A47" s="3460"/>
      <c r="B47" s="3453"/>
      <c r="C47" s="2847" t="s">
        <v>2492</v>
      </c>
      <c r="D47" s="2848"/>
      <c r="E47" s="2849">
        <v>1</v>
      </c>
      <c r="F47" s="2846" t="s">
        <v>2493</v>
      </c>
      <c r="G47" s="2846"/>
    </row>
    <row r="48" spans="1:7" ht="19.5" customHeight="1">
      <c r="A48" s="3460"/>
      <c r="B48" s="3453"/>
      <c r="C48" s="2847" t="s">
        <v>2494</v>
      </c>
      <c r="D48" s="2848"/>
      <c r="E48" s="2849">
        <v>1</v>
      </c>
      <c r="F48" s="2846" t="s">
        <v>2495</v>
      </c>
      <c r="G48" s="2846"/>
    </row>
    <row r="49" spans="1:7" ht="19.5" customHeight="1">
      <c r="A49" s="3460"/>
      <c r="B49" s="3453"/>
      <c r="C49" s="2847" t="s">
        <v>2496</v>
      </c>
      <c r="D49" s="2848"/>
      <c r="E49" s="2849">
        <v>1</v>
      </c>
      <c r="F49" s="2846" t="s">
        <v>2497</v>
      </c>
      <c r="G49" s="2846"/>
    </row>
    <row r="50" spans="1:7" ht="19.5" customHeight="1">
      <c r="A50" s="3460"/>
      <c r="B50" s="3453"/>
      <c r="C50" s="2847" t="s">
        <v>2498</v>
      </c>
      <c r="D50" s="2848"/>
      <c r="E50" s="2849">
        <v>1</v>
      </c>
      <c r="F50" s="2846" t="s">
        <v>2499</v>
      </c>
      <c r="G50" s="2846"/>
    </row>
    <row r="51" spans="1:7" ht="19.5" customHeight="1" thickBot="1">
      <c r="A51" s="3461"/>
      <c r="B51" s="3455"/>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3.5">
      <c r="A72" s="2858"/>
      <c r="B72" s="2858"/>
      <c r="C72" s="2858" t="s">
        <v>2652</v>
      </c>
      <c r="D72" s="2858"/>
      <c r="E72" s="2858" t="s">
        <v>2623</v>
      </c>
      <c r="F72" s="2858" t="s">
        <v>2623</v>
      </c>
    </row>
    <row r="73" spans="1:7" ht="13.5">
      <c r="A73" s="2858">
        <v>1</v>
      </c>
      <c r="B73" s="3451" t="s">
        <v>2653</v>
      </c>
      <c r="C73" s="2832" t="s">
        <v>2654</v>
      </c>
      <c r="D73" s="2832" t="s">
        <v>2655</v>
      </c>
      <c r="E73" s="2858">
        <v>0.2</v>
      </c>
      <c r="F73" s="2858">
        <v>25</v>
      </c>
    </row>
    <row r="74" spans="1:7" ht="24">
      <c r="A74" s="2858">
        <v>2</v>
      </c>
      <c r="B74" s="3453"/>
      <c r="C74" s="2832" t="s">
        <v>2656</v>
      </c>
      <c r="D74" s="2832" t="s">
        <v>2657</v>
      </c>
      <c r="E74" s="2858">
        <v>0.2</v>
      </c>
      <c r="F74" s="2858">
        <v>25</v>
      </c>
    </row>
    <row r="75" spans="1:7" ht="24">
      <c r="A75" s="2858">
        <v>3</v>
      </c>
      <c r="B75" s="3453"/>
      <c r="C75" s="2832" t="s">
        <v>2658</v>
      </c>
      <c r="D75" s="2832" t="s">
        <v>2659</v>
      </c>
      <c r="E75" s="2858">
        <v>0.2</v>
      </c>
      <c r="F75" s="2858">
        <v>25</v>
      </c>
    </row>
    <row r="76" spans="1:7" ht="13.5">
      <c r="A76" s="2858">
        <v>4</v>
      </c>
      <c r="B76" s="3453"/>
      <c r="C76" s="2832" t="s">
        <v>2660</v>
      </c>
      <c r="D76" s="2832" t="s">
        <v>2661</v>
      </c>
      <c r="E76" s="2858">
        <v>0.15</v>
      </c>
      <c r="F76" s="2858">
        <v>20</v>
      </c>
    </row>
    <row r="77" spans="1:7" ht="24">
      <c r="A77" s="2858">
        <v>5</v>
      </c>
      <c r="B77" s="3453"/>
      <c r="C77" s="2832" t="s">
        <v>2662</v>
      </c>
      <c r="D77" s="2832" t="s">
        <v>2663</v>
      </c>
      <c r="E77" s="2858">
        <v>0.15</v>
      </c>
      <c r="F77" s="2858">
        <v>20</v>
      </c>
    </row>
    <row r="78" spans="1:7" ht="24">
      <c r="A78" s="2858">
        <v>6</v>
      </c>
      <c r="B78" s="3453"/>
      <c r="C78" s="2832" t="s">
        <v>2664</v>
      </c>
      <c r="D78" s="2832" t="s">
        <v>2665</v>
      </c>
      <c r="E78" s="2858">
        <v>0.15</v>
      </c>
      <c r="F78" s="2858">
        <v>20</v>
      </c>
    </row>
    <row r="79" spans="1:7" ht="24">
      <c r="A79" s="2858">
        <v>7</v>
      </c>
      <c r="B79" s="3453"/>
      <c r="C79" s="2832" t="s">
        <v>2666</v>
      </c>
      <c r="D79" s="2832" t="s">
        <v>2667</v>
      </c>
      <c r="E79" s="2858">
        <v>0.15</v>
      </c>
      <c r="F79" s="2858">
        <v>20</v>
      </c>
    </row>
    <row r="80" spans="1:7" ht="24">
      <c r="A80" s="2858">
        <v>8</v>
      </c>
      <c r="B80" s="3453"/>
      <c r="C80" s="2832" t="s">
        <v>2668</v>
      </c>
      <c r="D80" s="2832" t="s">
        <v>2669</v>
      </c>
      <c r="E80" s="2858">
        <v>0.1</v>
      </c>
      <c r="F80" s="2858">
        <v>15</v>
      </c>
    </row>
    <row r="81" spans="1:6" ht="24">
      <c r="A81" s="2858">
        <v>9</v>
      </c>
      <c r="B81" s="3453"/>
      <c r="C81" s="2832" t="s">
        <v>2670</v>
      </c>
      <c r="D81" s="2832" t="s">
        <v>2671</v>
      </c>
      <c r="E81" s="2858">
        <v>0.1</v>
      </c>
      <c r="F81" s="2858">
        <v>15</v>
      </c>
    </row>
    <row r="82" spans="1:6" ht="24">
      <c r="A82" s="2858">
        <v>10</v>
      </c>
      <c r="B82" s="3453"/>
      <c r="C82" s="2832" t="s">
        <v>2672</v>
      </c>
      <c r="D82" s="2832" t="s">
        <v>2673</v>
      </c>
      <c r="E82" s="2858">
        <v>0.1</v>
      </c>
      <c r="F82" s="2858">
        <v>15</v>
      </c>
    </row>
    <row r="83" spans="1:6" ht="24">
      <c r="A83" s="2858">
        <v>11</v>
      </c>
      <c r="B83" s="3453"/>
      <c r="C83" s="2832" t="s">
        <v>2674</v>
      </c>
      <c r="D83" s="2832" t="s">
        <v>2675</v>
      </c>
      <c r="E83" s="2858">
        <v>0.1</v>
      </c>
      <c r="F83" s="2858">
        <v>15</v>
      </c>
    </row>
    <row r="84" spans="1:6" ht="24">
      <c r="A84" s="2858">
        <v>12</v>
      </c>
      <c r="B84" s="3453"/>
      <c r="C84" s="2832" t="s">
        <v>2676</v>
      </c>
      <c r="D84" s="2832" t="s">
        <v>2677</v>
      </c>
      <c r="E84" s="2858">
        <v>0.1</v>
      </c>
      <c r="F84" s="2858">
        <v>15</v>
      </c>
    </row>
    <row r="85" spans="1:6" ht="13.5">
      <c r="A85" s="2858">
        <v>13</v>
      </c>
      <c r="B85" s="3453"/>
      <c r="C85" s="2832" t="s">
        <v>2678</v>
      </c>
      <c r="D85" s="2832" t="s">
        <v>2679</v>
      </c>
      <c r="E85" s="2858">
        <v>0.1</v>
      </c>
      <c r="F85" s="2858">
        <v>15</v>
      </c>
    </row>
    <row r="86" spans="1:6" ht="13.5">
      <c r="A86" s="2858">
        <v>14</v>
      </c>
      <c r="B86" s="3453"/>
      <c r="C86" s="2832" t="s">
        <v>2680</v>
      </c>
      <c r="D86" s="2832" t="s">
        <v>2681</v>
      </c>
      <c r="E86" s="2858">
        <v>0.1</v>
      </c>
      <c r="F86" s="2858">
        <v>15</v>
      </c>
    </row>
    <row r="87" spans="1:6" ht="13.5">
      <c r="A87" s="2858">
        <v>15</v>
      </c>
      <c r="B87" s="3453"/>
      <c r="C87" s="2832" t="s">
        <v>2682</v>
      </c>
      <c r="D87" s="2832" t="s">
        <v>2683</v>
      </c>
      <c r="E87" s="2858">
        <v>0.1</v>
      </c>
      <c r="F87" s="2858">
        <v>15</v>
      </c>
    </row>
    <row r="88" spans="1:6" ht="24">
      <c r="A88" s="2858">
        <v>16</v>
      </c>
      <c r="B88" s="3453"/>
      <c r="C88" s="2832" t="s">
        <v>2684</v>
      </c>
      <c r="D88" s="2832" t="s">
        <v>2685</v>
      </c>
      <c r="E88" s="2858">
        <v>0.1</v>
      </c>
      <c r="F88" s="2858">
        <v>15</v>
      </c>
    </row>
    <row r="89" spans="1:6" ht="24">
      <c r="A89" s="2858">
        <v>17</v>
      </c>
      <c r="B89" s="3452"/>
      <c r="C89" s="2832" t="s">
        <v>2686</v>
      </c>
      <c r="D89" s="2832" t="s">
        <v>2687</v>
      </c>
      <c r="E89" s="2858">
        <v>0.1</v>
      </c>
      <c r="F89" s="2858">
        <v>15</v>
      </c>
    </row>
    <row r="90" spans="1:6" ht="13.5">
      <c r="A90" s="2858">
        <v>18</v>
      </c>
      <c r="B90" s="3451" t="s">
        <v>2688</v>
      </c>
      <c r="C90" s="2832" t="s">
        <v>2689</v>
      </c>
      <c r="D90" s="2832" t="s">
        <v>2690</v>
      </c>
      <c r="E90" s="2858">
        <v>0.2</v>
      </c>
      <c r="F90" s="2858">
        <v>25</v>
      </c>
    </row>
    <row r="91" spans="1:6" ht="24">
      <c r="A91" s="2858">
        <v>19</v>
      </c>
      <c r="B91" s="3453"/>
      <c r="C91" s="2832" t="s">
        <v>2691</v>
      </c>
      <c r="D91" s="2832" t="s">
        <v>2692</v>
      </c>
      <c r="E91" s="2858">
        <v>0.2</v>
      </c>
      <c r="F91" s="2858">
        <v>25</v>
      </c>
    </row>
    <row r="92" spans="1:6" ht="13.5">
      <c r="A92" s="2858">
        <v>20</v>
      </c>
      <c r="B92" s="3453"/>
      <c r="C92" s="2832" t="s">
        <v>2693</v>
      </c>
      <c r="D92" s="2832" t="s">
        <v>2694</v>
      </c>
      <c r="E92" s="2858">
        <v>0.15</v>
      </c>
      <c r="F92" s="2858">
        <v>20</v>
      </c>
    </row>
    <row r="93" spans="1:6" ht="13.5">
      <c r="A93" s="2858">
        <v>21</v>
      </c>
      <c r="B93" s="3453"/>
      <c r="C93" s="2832" t="s">
        <v>2695</v>
      </c>
      <c r="D93" s="2832" t="s">
        <v>2696</v>
      </c>
      <c r="E93" s="2858">
        <v>0.15</v>
      </c>
      <c r="F93" s="2858">
        <v>20</v>
      </c>
    </row>
    <row r="94" spans="1:6" ht="13.5">
      <c r="A94" s="2858">
        <v>22</v>
      </c>
      <c r="B94" s="3453"/>
      <c r="C94" s="2832" t="s">
        <v>2697</v>
      </c>
      <c r="D94" s="2832" t="s">
        <v>2698</v>
      </c>
      <c r="E94" s="2858">
        <v>0.15</v>
      </c>
      <c r="F94" s="2858">
        <v>20</v>
      </c>
    </row>
    <row r="95" spans="1:6" ht="36">
      <c r="A95" s="2858">
        <v>23</v>
      </c>
      <c r="B95" s="3453"/>
      <c r="C95" s="2832" t="s">
        <v>2699</v>
      </c>
      <c r="D95" s="2832" t="s">
        <v>2700</v>
      </c>
      <c r="E95" s="2858">
        <v>0.15</v>
      </c>
      <c r="F95" s="2858">
        <v>20</v>
      </c>
    </row>
    <row r="96" spans="1:6" ht="13.5">
      <c r="A96" s="2858">
        <v>24</v>
      </c>
      <c r="B96" s="3453"/>
      <c r="C96" s="2832" t="s">
        <v>2701</v>
      </c>
      <c r="D96" s="2832" t="s">
        <v>2702</v>
      </c>
      <c r="E96" s="2858">
        <v>0.1</v>
      </c>
      <c r="F96" s="2858">
        <v>15</v>
      </c>
    </row>
    <row r="97" spans="1:6" ht="13.5">
      <c r="A97" s="2858">
        <v>25</v>
      </c>
      <c r="B97" s="3453"/>
      <c r="C97" s="2832" t="s">
        <v>2703</v>
      </c>
      <c r="D97" s="2832" t="s">
        <v>2704</v>
      </c>
      <c r="E97" s="2858">
        <v>0.1</v>
      </c>
      <c r="F97" s="2858">
        <v>15</v>
      </c>
    </row>
    <row r="98" spans="1:6" ht="24">
      <c r="A98" s="2858">
        <v>26</v>
      </c>
      <c r="B98" s="3453"/>
      <c r="C98" s="2832" t="s">
        <v>2705</v>
      </c>
      <c r="D98" s="2832" t="s">
        <v>2706</v>
      </c>
      <c r="E98" s="2858">
        <v>0.1</v>
      </c>
      <c r="F98" s="2858">
        <v>15</v>
      </c>
    </row>
    <row r="99" spans="1:6" ht="24">
      <c r="A99" s="2858">
        <v>27</v>
      </c>
      <c r="B99" s="3453"/>
      <c r="C99" s="2832" t="s">
        <v>2707</v>
      </c>
      <c r="D99" s="2832" t="s">
        <v>2708</v>
      </c>
      <c r="E99" s="2858">
        <v>0.1</v>
      </c>
      <c r="F99" s="2858">
        <v>15</v>
      </c>
    </row>
    <row r="100" spans="1:6" ht="13.5">
      <c r="A100" s="2858">
        <v>28</v>
      </c>
      <c r="B100" s="3453"/>
      <c r="C100" s="2832" t="s">
        <v>2709</v>
      </c>
      <c r="D100" s="2832" t="s">
        <v>2710</v>
      </c>
      <c r="E100" s="2858">
        <v>0.1</v>
      </c>
      <c r="F100" s="2858">
        <v>15</v>
      </c>
    </row>
    <row r="101" spans="1:6" ht="13.5">
      <c r="A101" s="2858">
        <v>29</v>
      </c>
      <c r="B101" s="3453"/>
      <c r="C101" s="2832" t="s">
        <v>2711</v>
      </c>
      <c r="D101" s="2832" t="s">
        <v>2712</v>
      </c>
      <c r="E101" s="2858">
        <v>0.1</v>
      </c>
      <c r="F101" s="2858">
        <v>15</v>
      </c>
    </row>
    <row r="102" spans="1:6" ht="13.5">
      <c r="A102" s="2858">
        <v>30</v>
      </c>
      <c r="B102" s="3453"/>
      <c r="C102" s="2832" t="s">
        <v>2713</v>
      </c>
      <c r="D102" s="2832" t="s">
        <v>2714</v>
      </c>
      <c r="E102" s="2858">
        <v>0.1</v>
      </c>
      <c r="F102" s="2858">
        <v>15</v>
      </c>
    </row>
    <row r="103" spans="1:6" ht="24">
      <c r="A103" s="2858">
        <v>31</v>
      </c>
      <c r="B103" s="3453"/>
      <c r="C103" s="2832" t="s">
        <v>2715</v>
      </c>
      <c r="D103" s="2832" t="s">
        <v>2716</v>
      </c>
      <c r="E103" s="2858">
        <v>0.1</v>
      </c>
      <c r="F103" s="2858">
        <v>15</v>
      </c>
    </row>
    <row r="104" spans="1:6" ht="24">
      <c r="A104" s="2858">
        <v>32</v>
      </c>
      <c r="B104" s="3453"/>
      <c r="C104" s="2832" t="s">
        <v>2717</v>
      </c>
      <c r="D104" s="2832" t="s">
        <v>2718</v>
      </c>
      <c r="E104" s="2858">
        <v>0.1</v>
      </c>
      <c r="F104" s="2858">
        <v>15</v>
      </c>
    </row>
    <row r="105" spans="1:6" ht="24">
      <c r="A105" s="2858">
        <v>33</v>
      </c>
      <c r="B105" s="3453"/>
      <c r="C105" s="2832" t="s">
        <v>2719</v>
      </c>
      <c r="D105" s="2832" t="s">
        <v>2720</v>
      </c>
      <c r="E105" s="2858">
        <v>0.1</v>
      </c>
      <c r="F105" s="2858">
        <v>15</v>
      </c>
    </row>
    <row r="106" spans="1:6" ht="24">
      <c r="A106" s="2858">
        <v>34</v>
      </c>
      <c r="B106" s="3452"/>
      <c r="C106" s="2832" t="s">
        <v>2721</v>
      </c>
      <c r="D106" s="2832" t="s">
        <v>2722</v>
      </c>
      <c r="E106" s="2858">
        <v>0.1</v>
      </c>
      <c r="F106" s="2858">
        <v>15</v>
      </c>
    </row>
    <row r="107" spans="1:6" ht="24">
      <c r="A107" s="2858">
        <v>35</v>
      </c>
      <c r="B107" s="3451" t="s">
        <v>2723</v>
      </c>
      <c r="C107" s="2858" t="s">
        <v>2724</v>
      </c>
      <c r="D107" s="2832" t="s">
        <v>2725</v>
      </c>
      <c r="E107" s="2858">
        <v>0.15</v>
      </c>
      <c r="F107" s="2858">
        <v>20</v>
      </c>
    </row>
    <row r="108" spans="1:6" ht="13.5">
      <c r="A108" s="2858">
        <v>36</v>
      </c>
      <c r="B108" s="3453"/>
      <c r="C108" s="2858" t="s">
        <v>2726</v>
      </c>
      <c r="D108" s="2832" t="s">
        <v>2727</v>
      </c>
      <c r="E108" s="2858">
        <v>0.15</v>
      </c>
      <c r="F108" s="2858">
        <v>20</v>
      </c>
    </row>
    <row r="109" spans="1:6" ht="13.5">
      <c r="A109" s="2858">
        <v>37</v>
      </c>
      <c r="B109" s="3453"/>
      <c r="C109" s="2858" t="s">
        <v>2728</v>
      </c>
      <c r="D109" s="2832" t="s">
        <v>2729</v>
      </c>
      <c r="E109" s="2858">
        <v>0.15</v>
      </c>
      <c r="F109" s="2858">
        <v>20</v>
      </c>
    </row>
    <row r="110" spans="1:6" ht="13.5">
      <c r="A110" s="2858">
        <v>38</v>
      </c>
      <c r="B110" s="3453"/>
      <c r="C110" s="2858" t="s">
        <v>2730</v>
      </c>
      <c r="D110" s="2832" t="s">
        <v>2731</v>
      </c>
      <c r="E110" s="2858">
        <v>0.1</v>
      </c>
      <c r="F110" s="2858">
        <v>15</v>
      </c>
    </row>
    <row r="111" spans="1:6" ht="24">
      <c r="A111" s="2858">
        <v>39</v>
      </c>
      <c r="B111" s="3453"/>
      <c r="C111" s="2858" t="s">
        <v>2732</v>
      </c>
      <c r="D111" s="2832" t="s">
        <v>2733</v>
      </c>
      <c r="E111" s="2858">
        <v>0.1</v>
      </c>
      <c r="F111" s="2858">
        <v>15</v>
      </c>
    </row>
    <row r="112" spans="1:6" ht="24">
      <c r="A112" s="2858">
        <v>40</v>
      </c>
      <c r="B112" s="3452"/>
      <c r="C112" s="2858" t="s">
        <v>2734</v>
      </c>
      <c r="D112" s="2832" t="s">
        <v>2735</v>
      </c>
      <c r="E112" s="2858">
        <v>0.1</v>
      </c>
      <c r="F112" s="2858">
        <v>15</v>
      </c>
    </row>
    <row r="113" spans="1:6" ht="13.5">
      <c r="A113" s="2858">
        <v>41</v>
      </c>
      <c r="B113" s="3450" t="s">
        <v>2736</v>
      </c>
      <c r="C113" s="2858" t="s">
        <v>2737</v>
      </c>
      <c r="D113" s="2832" t="s">
        <v>2738</v>
      </c>
      <c r="E113" s="2858">
        <v>0.1</v>
      </c>
      <c r="F113" s="2858">
        <v>15</v>
      </c>
    </row>
    <row r="114" spans="1:6" ht="13.5">
      <c r="A114" s="2858">
        <v>42</v>
      </c>
      <c r="B114" s="3450"/>
      <c r="C114" s="2858" t="s">
        <v>2739</v>
      </c>
      <c r="D114" s="2832" t="s">
        <v>2740</v>
      </c>
      <c r="E114" s="2858">
        <v>0.1</v>
      </c>
      <c r="F114" s="2858">
        <v>15</v>
      </c>
    </row>
    <row r="115" spans="1:6" ht="24">
      <c r="A115" s="2858">
        <v>43</v>
      </c>
      <c r="B115" s="3450"/>
      <c r="C115" s="2858" t="s">
        <v>2741</v>
      </c>
      <c r="D115" s="2832" t="s">
        <v>2742</v>
      </c>
      <c r="E115" s="2858">
        <v>0.1</v>
      </c>
      <c r="F115" s="2858">
        <v>15</v>
      </c>
    </row>
    <row r="116" spans="1:6" ht="13.5">
      <c r="A116" s="2858">
        <v>44</v>
      </c>
      <c r="B116" s="3451" t="s">
        <v>2743</v>
      </c>
      <c r="C116" s="2858" t="s">
        <v>2744</v>
      </c>
      <c r="D116" s="2832" t="s">
        <v>2745</v>
      </c>
      <c r="E116" s="2858">
        <v>0.1</v>
      </c>
      <c r="F116" s="2858">
        <v>15</v>
      </c>
    </row>
    <row r="117" spans="1:6" ht="24">
      <c r="A117" s="2858">
        <v>45</v>
      </c>
      <c r="B117" s="3452"/>
      <c r="C117" s="2832" t="s">
        <v>2746</v>
      </c>
      <c r="D117" s="2832" t="s">
        <v>2747</v>
      </c>
      <c r="E117" s="2858">
        <v>0.1</v>
      </c>
      <c r="F117" s="2858">
        <v>15</v>
      </c>
    </row>
    <row r="118" spans="1:6" ht="24">
      <c r="A118" s="2858">
        <v>46</v>
      </c>
      <c r="B118" s="3451" t="s">
        <v>2748</v>
      </c>
      <c r="C118" s="2858" t="s">
        <v>2749</v>
      </c>
      <c r="D118" s="2832" t="s">
        <v>2750</v>
      </c>
      <c r="E118" s="2858">
        <v>0.1</v>
      </c>
      <c r="F118" s="2858">
        <v>15</v>
      </c>
    </row>
    <row r="119" spans="1:6" ht="24">
      <c r="A119" s="2858">
        <v>47</v>
      </c>
      <c r="B119" s="3452"/>
      <c r="C119" s="2858" t="s">
        <v>2751</v>
      </c>
      <c r="D119" s="2832" t="s">
        <v>2752</v>
      </c>
      <c r="E119" s="2858">
        <v>0.1</v>
      </c>
      <c r="F119" s="2858">
        <v>15</v>
      </c>
    </row>
    <row r="120" spans="1:6" ht="13.5">
      <c r="A120" s="2858">
        <v>48</v>
      </c>
      <c r="B120" s="3451" t="s">
        <v>2753</v>
      </c>
      <c r="C120" s="2858" t="s">
        <v>2754</v>
      </c>
      <c r="D120" s="2832" t="s">
        <v>2755</v>
      </c>
      <c r="E120" s="2858">
        <v>0.1</v>
      </c>
      <c r="F120" s="2858">
        <v>15</v>
      </c>
    </row>
    <row r="121" spans="1:6" ht="13.5">
      <c r="A121" s="2858">
        <v>49</v>
      </c>
      <c r="B121" s="3452"/>
      <c r="C121" s="2858" t="s">
        <v>2756</v>
      </c>
      <c r="D121" s="2832" t="s">
        <v>2757</v>
      </c>
      <c r="E121" s="2858">
        <v>0.1</v>
      </c>
      <c r="F121" s="2858">
        <v>15</v>
      </c>
    </row>
    <row r="122" spans="1:6" ht="24">
      <c r="A122" s="2858">
        <v>50</v>
      </c>
      <c r="B122" s="3450" t="s">
        <v>2758</v>
      </c>
      <c r="C122" s="2858" t="s">
        <v>2759</v>
      </c>
      <c r="D122" s="2832" t="s">
        <v>2760</v>
      </c>
      <c r="E122" s="2858">
        <v>0.1</v>
      </c>
      <c r="F122" s="2858">
        <v>15</v>
      </c>
    </row>
    <row r="123" spans="1:6" ht="24">
      <c r="A123" s="2858">
        <v>51</v>
      </c>
      <c r="B123" s="3450"/>
      <c r="C123" s="2858" t="s">
        <v>2761</v>
      </c>
      <c r="D123" s="2832" t="s">
        <v>2762</v>
      </c>
      <c r="E123" s="2858">
        <v>0.1</v>
      </c>
      <c r="F123" s="2858">
        <v>15</v>
      </c>
    </row>
    <row r="124" spans="1:6" ht="24">
      <c r="A124" s="2858">
        <v>52</v>
      </c>
      <c r="B124" s="3450" t="s">
        <v>2763</v>
      </c>
      <c r="C124" s="2858" t="s">
        <v>2764</v>
      </c>
      <c r="D124" s="2832" t="s">
        <v>2765</v>
      </c>
      <c r="E124" s="2858">
        <v>0.1</v>
      </c>
      <c r="F124" s="2858">
        <v>15</v>
      </c>
    </row>
    <row r="125" spans="1:6" ht="24">
      <c r="A125" s="2858">
        <v>53</v>
      </c>
      <c r="B125" s="3450"/>
      <c r="C125" s="2858" t="s">
        <v>2766</v>
      </c>
      <c r="D125" s="2832" t="s">
        <v>2767</v>
      </c>
      <c r="E125" s="2858">
        <v>0.1</v>
      </c>
      <c r="F125" s="2858">
        <v>15</v>
      </c>
    </row>
    <row r="126" spans="1:6" ht="13.5">
      <c r="A126" s="2858">
        <v>54</v>
      </c>
      <c r="B126" s="2858" t="s">
        <v>2768</v>
      </c>
      <c r="C126" s="2858" t="s">
        <v>2769</v>
      </c>
      <c r="D126" s="2832" t="s">
        <v>2770</v>
      </c>
      <c r="E126" s="2858">
        <v>0.1</v>
      </c>
      <c r="F126" s="2858">
        <v>15</v>
      </c>
    </row>
    <row r="127" spans="1:6" ht="13.5">
      <c r="A127" s="2858">
        <v>55</v>
      </c>
      <c r="B127" s="3450" t="s">
        <v>2771</v>
      </c>
      <c r="C127" s="2858" t="s">
        <v>2772</v>
      </c>
      <c r="D127" s="2832" t="s">
        <v>2773</v>
      </c>
      <c r="E127" s="2858">
        <v>0.1</v>
      </c>
      <c r="F127" s="2858">
        <v>15</v>
      </c>
    </row>
    <row r="128" spans="1:6" ht="13.5">
      <c r="A128" s="2858">
        <v>56</v>
      </c>
      <c r="B128" s="3450"/>
      <c r="C128" s="2858" t="s">
        <v>2774</v>
      </c>
      <c r="D128" s="2832" t="s">
        <v>2775</v>
      </c>
      <c r="E128" s="2858">
        <v>0.1</v>
      </c>
      <c r="F128" s="2858">
        <v>15</v>
      </c>
    </row>
    <row r="129" spans="1:6" ht="24">
      <c r="A129" s="2858">
        <v>57</v>
      </c>
      <c r="B129" s="3450"/>
      <c r="C129" s="2858" t="s">
        <v>2776</v>
      </c>
      <c r="D129" s="2832" t="s">
        <v>2777</v>
      </c>
      <c r="E129" s="2858">
        <v>0.1</v>
      </c>
      <c r="F129" s="2858">
        <v>15</v>
      </c>
    </row>
    <row r="130" spans="1:6" ht="24">
      <c r="A130" s="2858">
        <v>58</v>
      </c>
      <c r="B130" s="3450" t="s">
        <v>2778</v>
      </c>
      <c r="C130" s="2858" t="s">
        <v>2779</v>
      </c>
      <c r="D130" s="2832" t="s">
        <v>2780</v>
      </c>
      <c r="E130" s="2858">
        <v>0.1</v>
      </c>
      <c r="F130" s="2858">
        <v>15</v>
      </c>
    </row>
    <row r="131" spans="1:6" ht="13.5">
      <c r="A131" s="2858">
        <v>59</v>
      </c>
      <c r="B131" s="3450"/>
      <c r="C131" s="2858" t="s">
        <v>2781</v>
      </c>
      <c r="D131" s="2832" t="s">
        <v>2782</v>
      </c>
      <c r="E131" s="2858">
        <v>0.1</v>
      </c>
      <c r="F131" s="2858">
        <v>15</v>
      </c>
    </row>
    <row r="132" spans="1:6" ht="13.5">
      <c r="A132" s="2858">
        <v>60</v>
      </c>
      <c r="B132" s="3451" t="s">
        <v>2783</v>
      </c>
      <c r="C132" s="2858" t="s">
        <v>2784</v>
      </c>
      <c r="D132" s="2832" t="s">
        <v>2785</v>
      </c>
      <c r="E132" s="2858">
        <v>0.1</v>
      </c>
      <c r="F132" s="2858">
        <v>15</v>
      </c>
    </row>
    <row r="133" spans="1:6" ht="13.5">
      <c r="A133" s="2858">
        <v>61</v>
      </c>
      <c r="B133" s="3452"/>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13.5">
      <c r="A135" s="2858">
        <v>63</v>
      </c>
      <c r="B135" s="3450" t="s">
        <v>2791</v>
      </c>
      <c r="C135" s="2858" t="s">
        <v>2792</v>
      </c>
      <c r="D135" s="2832" t="s">
        <v>2793</v>
      </c>
      <c r="E135" s="2858">
        <v>0.1</v>
      </c>
      <c r="F135" s="2858">
        <v>15</v>
      </c>
    </row>
    <row r="136" spans="1:6" ht="13.5">
      <c r="A136" s="2858">
        <v>64</v>
      </c>
      <c r="B136" s="3450"/>
      <c r="C136" s="2858" t="s">
        <v>2794</v>
      </c>
      <c r="D136" s="2832" t="s">
        <v>2795</v>
      </c>
      <c r="E136" s="2858">
        <v>0.1</v>
      </c>
      <c r="F136" s="2858">
        <v>15</v>
      </c>
    </row>
    <row r="137" spans="1:6" ht="13.5">
      <c r="A137" s="2858">
        <v>65</v>
      </c>
      <c r="B137" s="2858" t="s">
        <v>2796</v>
      </c>
      <c r="C137" s="2858" t="s">
        <v>2797</v>
      </c>
      <c r="D137" s="2832" t="s">
        <v>2798</v>
      </c>
      <c r="E137" s="2858">
        <v>0.1</v>
      </c>
      <c r="F137" s="2858">
        <v>15</v>
      </c>
    </row>
    <row r="138" spans="1:6" ht="13.5">
      <c r="A138" s="2858"/>
      <c r="B138" s="2858"/>
      <c r="C138" s="2858"/>
      <c r="D138" s="2858"/>
      <c r="E138" s="2858" t="s">
        <v>2799</v>
      </c>
      <c r="F138" s="285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8">
      <c r="A3" s="3151" t="str">
        <f>IF(项目基本情况!B9="房地产市场价值","估价结果一览表（市场价值不需“结果表-1”）","估价结果一览表")</f>
        <v>估价结果一览表</v>
      </c>
      <c r="B3" s="3151"/>
      <c r="C3" s="3151"/>
      <c r="D3" s="3151"/>
      <c r="E3" s="3151"/>
    </row>
    <row r="4" spans="1:5" ht="19.5" thickBot="1">
      <c r="A4" s="1391"/>
      <c r="B4" s="3149" t="s">
        <v>917</v>
      </c>
      <c r="C4" s="3149"/>
      <c r="D4" s="3149"/>
      <c r="E4" s="1391"/>
    </row>
    <row r="5" spans="1:5" ht="16.5" thickTop="1">
      <c r="B5" s="3147" t="s">
        <v>909</v>
      </c>
      <c r="C5" s="1392" t="s">
        <v>910</v>
      </c>
      <c r="D5" s="797">
        <f ca="1">结果表!H101</f>
        <v>26338</v>
      </c>
    </row>
    <row r="6" spans="1:5" ht="15.75">
      <c r="B6" s="3147"/>
      <c r="C6" s="1392" t="s">
        <v>911</v>
      </c>
      <c r="D6" s="797" t="str">
        <f ca="1">NUMBERSTRING(INT(D5*10000),2)&amp;"元整"</f>
        <v>贰亿陆仟叁佰叁拾捌万元整</v>
      </c>
    </row>
    <row r="7" spans="1:5" ht="15.75">
      <c r="B7" s="3152"/>
      <c r="C7" s="1393" t="s">
        <v>912</v>
      </c>
      <c r="D7" s="798">
        <f ca="1">结果表!H102</f>
        <v>15058</v>
      </c>
    </row>
    <row r="8" spans="1:5" ht="15.75">
      <c r="B8" s="3153" t="str">
        <f>结果表!E103</f>
        <v>2.估价师知悉的法定优先受偿款</v>
      </c>
      <c r="C8" s="1394" t="s">
        <v>913</v>
      </c>
      <c r="D8" s="798">
        <f>结果表!H103</f>
        <v>0</v>
      </c>
    </row>
    <row r="9" spans="1:5" ht="15.75">
      <c r="B9" s="315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6" t="str">
        <f>结果表!E107</f>
        <v>3.房地产抵押价值</v>
      </c>
      <c r="C13" s="1397" t="s">
        <v>910</v>
      </c>
      <c r="D13" s="800">
        <f ca="1">结果表!H107</f>
        <v>26338</v>
      </c>
    </row>
    <row r="14" spans="1:5" ht="15.75">
      <c r="B14" s="3147"/>
      <c r="C14" s="1392" t="s">
        <v>911</v>
      </c>
      <c r="D14" s="797" t="str">
        <f ca="1">NUMBERSTRING(INT(D13*10000),2)&amp;"元整"</f>
        <v>贰亿陆仟叁佰叁拾捌万元整</v>
      </c>
    </row>
    <row r="15" spans="1:5" ht="15">
      <c r="B15" s="3152"/>
      <c r="C15" s="1393" t="s">
        <v>921</v>
      </c>
      <c r="D15" s="806">
        <f ca="1">结果表!H108</f>
        <v>15058</v>
      </c>
    </row>
    <row r="16" spans="1:5" ht="15">
      <c r="B16" s="3153" t="str">
        <f>结果表!E109</f>
        <v>——</v>
      </c>
      <c r="C16" s="1397" t="s">
        <v>922</v>
      </c>
      <c r="D16" s="1398" t="str">
        <f>结果表!H109</f>
        <v>——</v>
      </c>
    </row>
    <row r="17" spans="1:5" ht="15.75">
      <c r="B17" s="3154"/>
      <c r="C17" s="1392" t="s">
        <v>923</v>
      </c>
      <c r="D17" s="797" t="e">
        <f>NUMBERSTRING(INT(D16*10000),2)&amp;"元整"</f>
        <v>#VALUE!</v>
      </c>
    </row>
    <row r="18" spans="1:5" ht="15">
      <c r="B18" s="3155"/>
      <c r="C18" s="1393" t="s">
        <v>912</v>
      </c>
      <c r="D18" s="806" t="str">
        <f>结果表!H110</f>
        <v>——</v>
      </c>
    </row>
    <row r="19" spans="1:5" ht="15.75">
      <c r="B19" s="3146" t="str">
        <f>结果表!E111</f>
        <v>——</v>
      </c>
      <c r="C19" s="1397" t="s">
        <v>910</v>
      </c>
      <c r="D19" s="798" t="str">
        <f>结果表!H111</f>
        <v>——</v>
      </c>
    </row>
    <row r="20" spans="1:5" ht="15.75">
      <c r="B20" s="3147"/>
      <c r="C20" s="1392" t="s">
        <v>923</v>
      </c>
      <c r="D20" s="797" t="e">
        <f>NUMBERSTRING(INT(D19*10000),2)&amp;"元整"</f>
        <v>#VALUE!</v>
      </c>
    </row>
    <row r="21" spans="1:5" ht="15.75" thickBot="1">
      <c r="B21" s="314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0</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0</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40249</v>
      </c>
      <c r="C2" s="2" t="s">
        <v>106</v>
      </c>
      <c r="D2" s="191"/>
      <c r="E2" s="191"/>
      <c r="F2" s="191"/>
      <c r="G2" s="191"/>
    </row>
    <row r="3" spans="1:7" s="192" customFormat="1" ht="18" customHeight="1" thickBot="1">
      <c r="A3" s="195" t="s">
        <v>58</v>
      </c>
      <c r="B3" s="196">
        <f ca="1">ROUND(B2*10000/'数据-汇总表'!E3,0)</f>
        <v>23011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350</v>
      </c>
      <c r="D10" s="795">
        <f>'数据-汇总表'!E6</f>
        <v>17491.149999999998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350</v>
      </c>
      <c r="D19" s="204">
        <f>'数据-汇总表'!E3</f>
        <v>17491.149999999998</v>
      </c>
      <c r="E19" s="203">
        <f>'数据-取费表'!B31</f>
        <v>200</v>
      </c>
      <c r="F19" s="223"/>
      <c r="G19" s="1" t="s">
        <v>436</v>
      </c>
    </row>
    <row r="20" spans="1:7" s="206" customFormat="1" ht="13.5" customHeight="1">
      <c r="A20" s="731" t="s">
        <v>419</v>
      </c>
      <c r="B20" s="202" t="s">
        <v>77</v>
      </c>
      <c r="C20" s="224">
        <f>ROUND((C5+C19)*F20,0)</f>
        <v>419</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1333</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22</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4276</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4276</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29665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9708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8746</v>
      </c>
      <c r="D34" s="209"/>
      <c r="E34" s="212"/>
      <c r="F34" s="249">
        <f>IF('数据-取费表'!B24=0,1,'数据-取费表'!N16)</f>
        <v>1</v>
      </c>
      <c r="G34" s="211" t="s">
        <v>89</v>
      </c>
    </row>
    <row r="35" spans="1:7" ht="13.5" customHeight="1">
      <c r="A35" s="734" t="s">
        <v>351</v>
      </c>
      <c r="B35" s="207" t="s">
        <v>33</v>
      </c>
      <c r="C35" s="212">
        <f>ROUND(C34*F35,0)</f>
        <v>437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350</v>
      </c>
      <c r="D37" s="209">
        <f>'数据-汇总表'!E3</f>
        <v>17491.149999999998</v>
      </c>
      <c r="E37" s="241">
        <f>'数据-取费表'!B35</f>
        <v>200</v>
      </c>
      <c r="F37" s="251"/>
      <c r="G37" s="253" t="s">
        <v>92</v>
      </c>
    </row>
    <row r="38" spans="1:7" ht="13.5" customHeight="1">
      <c r="A38" s="734" t="s">
        <v>354</v>
      </c>
      <c r="B38" s="207" t="s">
        <v>36</v>
      </c>
      <c r="C38" s="212">
        <f>ROUND(C34*F38,0)</f>
        <v>175</v>
      </c>
      <c r="D38" s="212"/>
      <c r="E38" s="212"/>
      <c r="F38" s="251">
        <f>'数据-取费表'!B36</f>
        <v>0.02</v>
      </c>
      <c r="G38" s="211" t="s">
        <v>90</v>
      </c>
    </row>
    <row r="39" spans="1:7" s="206" customFormat="1" ht="13.5" customHeight="1">
      <c r="A39" s="731" t="s">
        <v>338</v>
      </c>
      <c r="B39" s="202" t="s">
        <v>77</v>
      </c>
      <c r="C39" s="224">
        <f>ROUND(C33*F20,0)</f>
        <v>194</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307</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301</v>
      </c>
      <c r="D42" s="230"/>
      <c r="E42" s="230"/>
      <c r="F42" s="231"/>
      <c r="G42" s="3327" t="s">
        <v>94</v>
      </c>
    </row>
    <row r="43" spans="1:7" ht="13.5" customHeight="1">
      <c r="A43" s="734" t="s">
        <v>347</v>
      </c>
      <c r="B43" s="207" t="s">
        <v>426</v>
      </c>
      <c r="C43" s="230">
        <f ca="1">ROUND(IF('数据-取费表'!B22&lt;=1,C39*F22*'数据-取费表'!B21/2,C39*(POWER((1+F22),'数据-取费表'!B21/2)-1)),0)</f>
        <v>6</v>
      </c>
      <c r="D43" s="230"/>
      <c r="E43" s="230"/>
      <c r="F43" s="231"/>
      <c r="G43" s="3328"/>
    </row>
    <row r="44" spans="1:7" ht="13.5" customHeight="1">
      <c r="A44" s="734" t="s">
        <v>348</v>
      </c>
      <c r="B44" s="207" t="s">
        <v>428</v>
      </c>
      <c r="C44" s="230">
        <f ca="1">ROUND(IF('数据-取费表'!B22&lt;=1,C40*F22*'数据-取费表'!B21/2,C40*(POWER((1+F22),'数据-取费表'!B21/2)-1)),4)</f>
        <v>8.9999999999999998E-4</v>
      </c>
      <c r="D44" s="230"/>
      <c r="E44" s="230"/>
      <c r="F44" s="231"/>
      <c r="G44" s="3329"/>
    </row>
    <row r="45" spans="1:7" s="206" customFormat="1" ht="13.5" customHeight="1">
      <c r="A45" s="731" t="s">
        <v>341</v>
      </c>
      <c r="B45" s="236" t="s">
        <v>85</v>
      </c>
      <c r="C45" s="237">
        <f>C46</f>
        <v>1980</v>
      </c>
      <c r="D45" s="227">
        <f>C47</f>
        <v>6.0000000000000001E-3</v>
      </c>
      <c r="E45" s="228" t="s">
        <v>102</v>
      </c>
      <c r="F45" s="238"/>
      <c r="G45" s="239" t="s">
        <v>434</v>
      </c>
    </row>
    <row r="46" spans="1:7" s="206" customFormat="1" ht="13.5" customHeight="1">
      <c r="A46" s="734" t="s">
        <v>349</v>
      </c>
      <c r="B46" s="240" t="s">
        <v>427</v>
      </c>
      <c r="C46" s="241">
        <f>ROUND((C33+C39)*F27,0)</f>
        <v>1980</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13398</v>
      </c>
      <c r="D49" s="224"/>
      <c r="E49" s="224"/>
      <c r="F49" s="256"/>
      <c r="G49" s="226" t="s">
        <v>435</v>
      </c>
    </row>
    <row r="50" spans="1:7" s="250" customFormat="1" ht="24">
      <c r="A50" s="731" t="s">
        <v>344</v>
      </c>
      <c r="B50" s="202" t="s">
        <v>97</v>
      </c>
      <c r="C50" s="224"/>
      <c r="D50" s="224"/>
      <c r="E50" s="224"/>
      <c r="F50" s="256">
        <f>IF('数据-取费表'!B24=0,'数据-取费表'!N16,1)</f>
        <v>0.79</v>
      </c>
      <c r="G50" s="239" t="s">
        <v>98</v>
      </c>
    </row>
    <row r="51" spans="1:7" ht="16.5" customHeight="1">
      <c r="A51" s="731" t="s">
        <v>345</v>
      </c>
      <c r="B51" s="202" t="s">
        <v>105</v>
      </c>
      <c r="C51" s="224">
        <f ca="1">ROUND(C49*F50,0)</f>
        <v>10584</v>
      </c>
      <c r="D51" s="224"/>
      <c r="E51" s="224"/>
      <c r="F51" s="256"/>
      <c r="G51" s="226" t="s">
        <v>37</v>
      </c>
    </row>
    <row r="52" spans="1:7" s="200" customFormat="1" ht="16.5" thickBot="1">
      <c r="A52" s="257" t="s">
        <v>38</v>
      </c>
      <c r="B52" s="258"/>
      <c r="C52" s="259">
        <f ca="1">C31+C51</f>
        <v>40249</v>
      </c>
      <c r="D52" s="258"/>
      <c r="E52" s="258"/>
      <c r="F52" s="258"/>
      <c r="G52" s="260"/>
    </row>
    <row r="55" spans="1:7" ht="15">
      <c r="B55" s="262" t="s">
        <v>39</v>
      </c>
      <c r="C55" s="263"/>
    </row>
    <row r="56" spans="1:7">
      <c r="B56" s="265" t="s">
        <v>40</v>
      </c>
      <c r="C56" s="266">
        <f ca="1">ROUND(C51/C52,3)</f>
        <v>0.26300000000000001</v>
      </c>
    </row>
    <row r="57" spans="1:7">
      <c r="B57" s="265" t="s">
        <v>41</v>
      </c>
      <c r="C57" s="267">
        <f ca="1">1-C56</f>
        <v>0.73699999999999999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4" t="s">
        <v>2841</v>
      </c>
      <c r="B1" s="3464"/>
      <c r="C1" s="3464"/>
      <c r="D1" s="3464"/>
      <c r="E1" s="3464"/>
      <c r="F1" s="3464"/>
      <c r="G1" s="3465"/>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2"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462"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2" thickBot="1">
      <c r="A4" s="3463"/>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2"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2"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2"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2"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66" t="s">
        <v>3183</v>
      </c>
      <c r="B1" s="3466"/>
    </row>
    <row r="2" spans="1:7" ht="14.25" thickBot="1">
      <c r="A2" s="2969"/>
      <c r="B2" s="2969"/>
    </row>
    <row r="3" spans="1:7" ht="14.25" thickBot="1">
      <c r="A3" s="2969"/>
      <c r="B3" s="2969"/>
      <c r="C3" s="2970" t="s">
        <v>2813</v>
      </c>
      <c r="D3" s="2970" t="s">
        <v>2869</v>
      </c>
      <c r="E3" s="2970" t="s">
        <v>2815</v>
      </c>
      <c r="F3" s="2970" t="s">
        <v>2870</v>
      </c>
      <c r="G3" s="2970" t="s">
        <v>2633</v>
      </c>
    </row>
    <row r="4" spans="1:7" ht="14.2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4.2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4.2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4.2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4.2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4.2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4.2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4.2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4.2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4.2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4.2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67" t="s">
        <v>3234</v>
      </c>
      <c r="B1" s="3467"/>
      <c r="C1" s="3467"/>
      <c r="D1" s="3467"/>
      <c r="E1" s="3467"/>
      <c r="F1" s="3468"/>
    </row>
    <row r="2" spans="1:6">
      <c r="A2" s="3003" t="s">
        <v>3235</v>
      </c>
    </row>
    <row r="3" spans="1:6">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45610</v>
      </c>
      <c r="B1" s="2930" t="s">
        <v>3383</v>
      </c>
      <c r="C1" s="2931"/>
      <c r="D1" s="2931"/>
      <c r="E1" s="2931"/>
      <c r="F1" s="2931"/>
      <c r="G1" s="2931"/>
      <c r="H1" s="2931"/>
      <c r="I1" s="2931"/>
      <c r="J1" s="2897"/>
      <c r="K1" s="2931" t="s">
        <v>454</v>
      </c>
      <c r="L1" s="2931"/>
      <c r="M1" s="2931"/>
      <c r="N1" s="2931"/>
      <c r="O1" s="2931"/>
      <c r="P1" s="2931"/>
      <c r="Q1" s="2897"/>
      <c r="R1" s="3469" t="s">
        <v>456</v>
      </c>
      <c r="S1" s="3470"/>
      <c r="T1" s="3470"/>
      <c r="U1" s="3470"/>
      <c r="V1" s="3470"/>
      <c r="W1" s="3470"/>
      <c r="X1" s="2897"/>
      <c r="Y1" s="3469" t="s">
        <v>457</v>
      </c>
      <c r="Z1" s="3470"/>
      <c r="AA1" s="3470"/>
      <c r="AB1" s="3470"/>
      <c r="AC1" s="3470"/>
      <c r="AD1" s="3470"/>
    </row>
    <row r="2" spans="1:30" s="2010" customFormat="1" ht="14.2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2.75">
      <c r="A3" s="2885" t="s">
        <v>2821</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3379</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3388</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3387</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3380</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2822</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2823</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2824</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2825</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2826</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3" t="s">
        <v>3386</v>
      </c>
    </row>
    <row r="24" spans="1:30">
      <c r="I24" s="1405" t="s">
        <v>2827</v>
      </c>
    </row>
    <row r="26" spans="1:30" s="2009" customFormat="1" ht="12.75">
      <c r="B26" s="2930" t="s">
        <v>3384</v>
      </c>
      <c r="C26" s="2931"/>
      <c r="D26" s="2931"/>
      <c r="E26" s="2931"/>
      <c r="F26" s="2931"/>
      <c r="G26" s="2931"/>
      <c r="H26" s="2931"/>
      <c r="I26" s="2931"/>
      <c r="J26" s="2897"/>
      <c r="K26" s="2931" t="s">
        <v>2828</v>
      </c>
      <c r="L26" s="2931"/>
      <c r="M26" s="2931"/>
      <c r="N26" s="2931"/>
      <c r="O26" s="2931"/>
      <c r="P26" s="2931"/>
      <c r="Q26" s="2897"/>
      <c r="R26" s="3469" t="s">
        <v>2829</v>
      </c>
      <c r="S26" s="3470"/>
      <c r="T26" s="3470"/>
      <c r="U26" s="3470"/>
      <c r="V26" s="3470"/>
      <c r="W26" s="3470"/>
      <c r="X26" s="2897"/>
      <c r="Y26" s="3469" t="s">
        <v>2830</v>
      </c>
      <c r="Z26" s="3470"/>
      <c r="AA26" s="3470"/>
      <c r="AB26" s="3470"/>
      <c r="AC26" s="3470"/>
      <c r="AD26" s="3470"/>
    </row>
    <row r="27" spans="1:30" s="2010" customFormat="1" ht="14.25" thickBot="1">
      <c r="B27" s="2882"/>
      <c r="C27" s="2883"/>
      <c r="D27" s="2011" t="s">
        <v>2831</v>
      </c>
      <c r="E27" s="2012" t="s">
        <v>2832</v>
      </c>
      <c r="F27" s="2012" t="s">
        <v>2833</v>
      </c>
      <c r="G27" s="2012" t="s">
        <v>2834</v>
      </c>
      <c r="H27" s="2012"/>
      <c r="I27" s="2012" t="s">
        <v>2835</v>
      </c>
      <c r="J27" s="2884"/>
      <c r="K27" s="2011" t="s">
        <v>2831</v>
      </c>
      <c r="L27" s="2012" t="s">
        <v>2832</v>
      </c>
      <c r="M27" s="2012" t="s">
        <v>2833</v>
      </c>
      <c r="N27" s="2012" t="s">
        <v>2834</v>
      </c>
      <c r="O27" s="2012"/>
      <c r="P27" s="2012" t="s">
        <v>2835</v>
      </c>
      <c r="Q27" s="2884"/>
      <c r="R27" s="2011" t="s">
        <v>2831</v>
      </c>
      <c r="S27" s="2012" t="s">
        <v>2832</v>
      </c>
      <c r="T27" s="2012" t="s">
        <v>2833</v>
      </c>
      <c r="U27" s="2012" t="s">
        <v>2834</v>
      </c>
      <c r="V27" s="2012"/>
      <c r="W27" s="2012" t="s">
        <v>2835</v>
      </c>
      <c r="X27" s="2884"/>
      <c r="Y27" s="2011" t="s">
        <v>2831</v>
      </c>
      <c r="Z27" s="2012" t="s">
        <v>2832</v>
      </c>
      <c r="AA27" s="2012" t="s">
        <v>2833</v>
      </c>
      <c r="AB27" s="2012" t="s">
        <v>2834</v>
      </c>
      <c r="AC27" s="2012"/>
      <c r="AD27" s="2012" t="s">
        <v>2835</v>
      </c>
    </row>
    <row r="28" spans="1:30" s="2887" customFormat="1" ht="12.75">
      <c r="A28" s="2885" t="s">
        <v>2836</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3379</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3381</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3374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3382</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3370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2837</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2838</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2839</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2840</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2826</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3"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45610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3" t="str">
        <f>IF(项目基本情况!B9="房地产市场价值","估价结果一览表","结果表-2")</f>
        <v>结果表-2</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59"/>
      <c r="B3" s="3159"/>
      <c r="C3" s="3159"/>
      <c r="D3" s="801" t="s">
        <v>925</v>
      </c>
      <c r="E3" s="801" t="s">
        <v>931</v>
      </c>
      <c r="F3" s="801" t="s">
        <v>925</v>
      </c>
      <c r="G3" s="801" t="s">
        <v>926</v>
      </c>
      <c r="H3" s="801" t="s">
        <v>925</v>
      </c>
      <c r="I3" s="801" t="s">
        <v>926</v>
      </c>
    </row>
    <row r="4" spans="1:9" ht="15">
      <c r="A4" s="1403" t="str">
        <f>项目基本情况!S2</f>
        <v>北京市房地产</v>
      </c>
      <c r="B4" s="801">
        <f>项目基本情况!C17</f>
        <v>17491.149999999998</v>
      </c>
      <c r="C4" s="801">
        <f>项目基本情况!C18</f>
        <v>0</v>
      </c>
      <c r="D4" s="801">
        <f ca="1">结果表!D118</f>
        <v>14328</v>
      </c>
      <c r="E4" s="801">
        <f ca="1">结果表!E118</f>
        <v>8192</v>
      </c>
      <c r="F4" s="801">
        <f ca="1">结果表!F118</f>
        <v>12010</v>
      </c>
      <c r="G4" s="801">
        <f ca="1">结果表!G118</f>
        <v>6866</v>
      </c>
      <c r="H4" s="801">
        <f ca="1">结果表!H118</f>
        <v>26338</v>
      </c>
      <c r="I4" s="801">
        <f ca="1">结果表!I118</f>
        <v>15058</v>
      </c>
    </row>
    <row r="5" spans="1:9" ht="30" customHeight="1">
      <c r="A5" s="3159" t="s">
        <v>927</v>
      </c>
      <c r="B5" s="3159"/>
      <c r="C5" s="3159"/>
      <c r="D5" s="3159" t="str">
        <f ca="1">结果表!D119</f>
        <v>壹亿肆仟叁佰贰拾捌万元整</v>
      </c>
      <c r="E5" s="3159"/>
      <c r="F5" s="3159" t="str">
        <f ca="1">结果表!F119</f>
        <v>壹亿贰仟零壹拾万元整</v>
      </c>
      <c r="G5" s="3159"/>
      <c r="H5" s="3159" t="str">
        <f ca="1">结果表!H119</f>
        <v>贰亿陆仟叁佰叁拾捌万元整</v>
      </c>
      <c r="I5" s="3159"/>
    </row>
    <row r="6" spans="1:9" ht="15.75">
      <c r="A6" s="3158" t="str">
        <f>结果表!A120</f>
        <v>估价师知悉的法定优先受偿款</v>
      </c>
      <c r="B6" s="3158"/>
      <c r="C6" s="3158"/>
      <c r="D6" s="3158">
        <f>结果表!D120</f>
        <v>0</v>
      </c>
      <c r="E6" s="3158"/>
      <c r="F6" s="3158"/>
      <c r="G6" s="3158"/>
      <c r="H6" s="3158"/>
      <c r="I6" s="3158"/>
    </row>
    <row r="7" spans="1:9" ht="15">
      <c r="A7" s="3159" t="s">
        <v>927</v>
      </c>
      <c r="B7" s="3159"/>
      <c r="C7" s="3159"/>
      <c r="D7" s="3160" t="str">
        <f>结果表!D121</f>
        <v>零元整</v>
      </c>
      <c r="E7" s="3161"/>
      <c r="F7" s="3161"/>
      <c r="G7" s="3161"/>
      <c r="H7" s="3161"/>
      <c r="I7" s="3162"/>
    </row>
    <row r="8" spans="1:9" ht="15.75">
      <c r="A8" s="3158" t="str">
        <f>结果表!A122</f>
        <v>房地产抵押价值</v>
      </c>
      <c r="B8" s="3158"/>
      <c r="C8" s="3158"/>
      <c r="D8" s="3158">
        <f ca="1">结果表!D122</f>
        <v>26338</v>
      </c>
      <c r="E8" s="3158"/>
      <c r="F8" s="3158"/>
      <c r="G8" s="3158"/>
      <c r="H8" s="3158"/>
      <c r="I8" s="3158"/>
    </row>
    <row r="9" spans="1:9" ht="15">
      <c r="A9" s="3159" t="s">
        <v>927</v>
      </c>
      <c r="B9" s="3159"/>
      <c r="C9" s="3159"/>
      <c r="D9" s="3159" t="str">
        <f ca="1">结果表!D123</f>
        <v>贰亿陆仟叁佰叁拾捌万元整</v>
      </c>
      <c r="E9" s="3159"/>
      <c r="F9" s="3159"/>
      <c r="G9" s="3159"/>
      <c r="H9" s="3159"/>
      <c r="I9" s="3159"/>
    </row>
    <row r="10" spans="1:9" ht="15.75">
      <c r="A10" s="3158" t="str">
        <f>结果表!A124</f>
        <v/>
      </c>
      <c r="B10" s="3158"/>
      <c r="C10" s="3158"/>
      <c r="D10" s="3158" t="str">
        <f>结果表!D124</f>
        <v>——</v>
      </c>
      <c r="E10" s="3158"/>
      <c r="F10" s="3158"/>
      <c r="G10" s="3158"/>
      <c r="H10" s="3158"/>
      <c r="I10" s="3158"/>
    </row>
    <row r="11" spans="1:9" ht="15">
      <c r="A11" s="3159" t="s">
        <v>927</v>
      </c>
      <c r="B11" s="3159"/>
      <c r="C11" s="3159"/>
      <c r="D11" s="3159" t="e">
        <f>结果表!D125</f>
        <v>#VALUE!</v>
      </c>
      <c r="E11" s="3159"/>
      <c r="F11" s="3159"/>
      <c r="G11" s="3159"/>
      <c r="H11" s="3159"/>
      <c r="I11" s="3159"/>
    </row>
    <row r="12" spans="1:9" ht="15.75">
      <c r="A12" s="3158" t="str">
        <f>结果表!A126</f>
        <v/>
      </c>
      <c r="B12" s="3158"/>
      <c r="C12" s="3158"/>
      <c r="D12" s="3158" t="str">
        <f>结果表!D126</f>
        <v>——</v>
      </c>
      <c r="E12" s="3158"/>
      <c r="F12" s="3158"/>
      <c r="G12" s="3158"/>
      <c r="H12" s="3158"/>
      <c r="I12" s="3158"/>
    </row>
    <row r="13" spans="1:9" ht="15.75" thickBot="1">
      <c r="A13" s="3156" t="s">
        <v>927</v>
      </c>
      <c r="B13" s="3156"/>
      <c r="C13" s="3156"/>
      <c r="D13" s="3156" t="e">
        <f>结果表!D127</f>
        <v>#VALUE!</v>
      </c>
      <c r="E13" s="3156"/>
      <c r="F13" s="3156"/>
      <c r="G13" s="3156"/>
      <c r="H13" s="3156"/>
      <c r="I13" s="3156"/>
    </row>
    <row r="14" spans="1:9" ht="15" thickTop="1">
      <c r="A14" s="3157" t="s">
        <v>932</v>
      </c>
      <c r="B14" s="3157"/>
      <c r="C14" s="3157"/>
      <c r="D14" s="3157"/>
      <c r="E14" s="3157"/>
      <c r="F14" s="3157"/>
      <c r="G14" s="3157"/>
      <c r="H14" s="3157"/>
      <c r="I14" s="315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1" t="s">
        <v>949</v>
      </c>
      <c r="B1" s="3171"/>
      <c r="C1" s="3171"/>
      <c r="D1" s="3171"/>
    </row>
    <row r="2" spans="1:4" ht="18">
      <c r="A2" s="3172" t="s">
        <v>933</v>
      </c>
      <c r="B2" s="3172"/>
      <c r="C2" s="3172"/>
      <c r="D2" s="317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2" t="s">
        <v>939</v>
      </c>
      <c r="B6" s="3172"/>
      <c r="C6" s="3172"/>
      <c r="D6" s="317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3" t="s">
        <v>942</v>
      </c>
      <c r="B11" s="3165"/>
      <c r="C11" s="3165"/>
      <c r="D11" s="3165"/>
    </row>
    <row r="12" spans="1:4" ht="15.75">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0"/>
      <c r="C12" s="3170"/>
      <c r="D12" s="3170"/>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0"/>
      <c r="C13" s="3170"/>
      <c r="D13" s="3170"/>
    </row>
    <row r="14" spans="1:4" ht="15.75" customHeight="1">
      <c r="A14" s="3165" t="str">
        <f>IF(项目基本情况!B8="抵押","4.本次评估估价师所知悉的法定优先受偿款情况说明如下：","——")</f>
        <v>4.本次评估估价师所知悉的法定优先受偿款情况说明如下：</v>
      </c>
      <c r="B14" s="3170"/>
      <c r="C14" s="3170"/>
      <c r="D14" s="3170"/>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5"/>
      <c r="C15" s="3165"/>
      <c r="D15" s="3165"/>
    </row>
    <row r="16" spans="1:4" ht="30" customHeight="1">
      <c r="A16" s="3167" t="s">
        <v>943</v>
      </c>
      <c r="B16" s="3167"/>
      <c r="C16" s="3167"/>
      <c r="D16" s="3167"/>
    </row>
    <row r="17" spans="1:4" ht="144" customHeight="1">
      <c r="A17" s="3167" t="s">
        <v>944</v>
      </c>
      <c r="B17" s="3167"/>
      <c r="C17" s="3167"/>
      <c r="D17" s="3167"/>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5"/>
      <c r="C20" s="3165"/>
      <c r="D20" s="3165"/>
    </row>
    <row r="21" spans="1:4" ht="57.75" customHeight="1">
      <c r="A21" s="31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8"/>
      <c r="C21" s="3168"/>
      <c r="D21" s="3168"/>
    </row>
    <row r="22" spans="1:4" ht="18.75" customHeight="1">
      <c r="A22" s="3169" t="s">
        <v>945</v>
      </c>
      <c r="B22" s="3169"/>
      <c r="C22" s="3169"/>
      <c r="D22" s="316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6">
        <v>42551</v>
      </c>
      <c r="D31" s="31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9" t="s">
        <v>956</v>
      </c>
      <c r="B15" s="3174" t="s">
        <v>109</v>
      </c>
      <c r="C15" s="3175"/>
    </row>
    <row r="16" spans="1:7" ht="13.5">
      <c r="A16" s="3180"/>
      <c r="B16" s="3174" t="s">
        <v>42</v>
      </c>
      <c r="C16" s="3175"/>
    </row>
    <row r="17" spans="1:3" ht="13.5">
      <c r="A17" s="3180"/>
      <c r="B17" s="3177" t="s">
        <v>957</v>
      </c>
      <c r="C17" s="1429" t="s">
        <v>956</v>
      </c>
    </row>
    <row r="18" spans="1:3" ht="13.5">
      <c r="A18" s="3180"/>
      <c r="B18" s="3177"/>
      <c r="C18" s="1429" t="s">
        <v>958</v>
      </c>
    </row>
    <row r="19" spans="1:3" ht="13.5">
      <c r="A19" s="3180"/>
      <c r="B19" s="3177"/>
      <c r="C19" s="1429" t="s">
        <v>959</v>
      </c>
    </row>
    <row r="20" spans="1:3" ht="13.5">
      <c r="A20" s="3181"/>
      <c r="B20" s="3176" t="s">
        <v>960</v>
      </c>
      <c r="C20" s="3175"/>
    </row>
    <row r="21" spans="1:3" ht="13.5">
      <c r="A21" s="1430" t="s">
        <v>961</v>
      </c>
      <c r="B21" s="1431"/>
      <c r="C21" s="1432"/>
    </row>
    <row r="22" spans="1:3" ht="13.5">
      <c r="A22" s="3178" t="s">
        <v>962</v>
      </c>
      <c r="B22" s="3176" t="s">
        <v>963</v>
      </c>
      <c r="C22" s="3175"/>
    </row>
    <row r="23" spans="1:3" ht="13.5">
      <c r="A23" s="3178"/>
      <c r="B23" s="3176" t="s">
        <v>964</v>
      </c>
      <c r="C23" s="3175"/>
    </row>
    <row r="24" spans="1:3" ht="13.5">
      <c r="A24" s="3178"/>
      <c r="B24" s="3176" t="s">
        <v>965</v>
      </c>
      <c r="C24" s="3175"/>
    </row>
    <row r="25" spans="1:3" ht="13.5">
      <c r="A25" s="3178"/>
      <c r="B25" s="3177" t="s">
        <v>966</v>
      </c>
      <c r="C25" s="1429" t="s">
        <v>967</v>
      </c>
    </row>
    <row r="26" spans="1:3" ht="13.5">
      <c r="A26" s="3178"/>
      <c r="B26" s="3177"/>
      <c r="C26" s="1429" t="s">
        <v>968</v>
      </c>
    </row>
    <row r="27" spans="1:3" ht="13.5">
      <c r="A27" s="3178"/>
      <c r="B27" s="3177"/>
      <c r="C27" s="1429" t="s">
        <v>969</v>
      </c>
    </row>
    <row r="28" spans="1:3" ht="13.5">
      <c r="A28" s="3178"/>
      <c r="B28" s="3177"/>
      <c r="C28" s="1429" t="s">
        <v>970</v>
      </c>
    </row>
    <row r="29" spans="1:3" ht="13.5">
      <c r="A29" s="3178"/>
      <c r="B29" s="3177"/>
      <c r="C29" s="1429" t="s">
        <v>971</v>
      </c>
    </row>
    <row r="30" spans="1:3" ht="13.5">
      <c r="A30" s="3178"/>
      <c r="B30" s="3177"/>
      <c r="C30" s="1429" t="s">
        <v>972</v>
      </c>
    </row>
    <row r="31" spans="1:3" ht="13.5">
      <c r="A31" s="3178"/>
      <c r="B31" s="3177"/>
      <c r="C31" s="1429" t="s">
        <v>973</v>
      </c>
    </row>
    <row r="32" spans="1:3" ht="13.5">
      <c r="A32" s="3178"/>
      <c r="B32" s="3177"/>
      <c r="C32" s="1429" t="s">
        <v>974</v>
      </c>
    </row>
    <row r="33" spans="1:3" ht="13.5">
      <c r="A33" s="3178"/>
      <c r="B33" s="317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45610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2" t="s">
        <v>2160</v>
      </c>
      <c r="B17" s="3182"/>
      <c r="C17" s="3182"/>
      <c r="D17" s="3182"/>
      <c r="E17" s="3182"/>
      <c r="F17" s="3182"/>
      <c r="G17" s="3182"/>
      <c r="H17" s="3182"/>
    </row>
    <row r="18" spans="1:8" ht="24" customHeight="1">
      <c r="A18" s="3183" t="s">
        <v>2161</v>
      </c>
      <c r="B18" s="3183"/>
      <c r="C18" s="3183"/>
      <c r="D18" s="2160"/>
      <c r="E18" s="3184" t="s">
        <v>2162</v>
      </c>
      <c r="F18" s="3183"/>
      <c r="G18" s="318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2024-11-14T06:24:42Z</dcterms:modified>
</cp:coreProperties>
</file>