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575"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r:id="rId25"/>
    <sheet name="收益法 (元)" sheetId="67" state="hidden" r:id="rId26"/>
    <sheet name="收益法（汇总）" sheetId="70" state="hidden" r:id="rId27"/>
    <sheet name="收益法-二期" sheetId="79" state="hidden"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7">'收益法-二期'!$A$1:$F$43,'收益法-二期'!$H$3:$M$29,'收益法-二期'!$A$46:$F$71,'收益法-二期'!$I$46:$N$65</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14" i="1" l="1"/>
  <c r="G36" i="6"/>
  <c r="F36" i="6"/>
  <c r="C11" i="15"/>
  <c r="AH6" i="1"/>
  <c r="G19" i="6"/>
  <c r="F19" i="6"/>
  <c r="Q72" i="79" l="1"/>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C76" i="79"/>
  <c r="Q71" i="79" l="1"/>
  <c r="D24" i="79"/>
  <c r="P61" i="79"/>
  <c r="D22" i="79"/>
  <c r="F26" i="79"/>
  <c r="M22" i="79"/>
  <c r="F13" i="79"/>
  <c r="F37" i="79"/>
  <c r="L48" i="79"/>
  <c r="M26" i="79"/>
  <c r="M9" i="79"/>
  <c r="F9" i="79"/>
  <c r="F38" i="79"/>
  <c r="F42" i="79"/>
  <c r="M23" i="79"/>
  <c r="M8" i="79"/>
  <c r="F8" i="79"/>
  <c r="M27" i="79"/>
  <c r="F40" i="79"/>
  <c r="J15" i="79"/>
  <c r="M6" i="79"/>
  <c r="M24" i="79"/>
  <c r="F36" i="79"/>
  <c r="M28" i="79"/>
  <c r="F16" i="79"/>
  <c r="F6" i="79"/>
  <c r="L47" i="79"/>
  <c r="L57" i="79" l="1"/>
  <c r="L56" i="79"/>
  <c r="J57" i="79"/>
  <c r="J55" i="79" s="1"/>
  <c r="J58" i="79" s="1"/>
  <c r="Q50" i="79" s="1"/>
  <c r="J59" i="79"/>
  <c r="J60" i="79"/>
  <c r="Q48" i="79" s="1"/>
  <c r="I54" i="79"/>
  <c r="L60" i="79"/>
  <c r="F68" i="79"/>
  <c r="F66" i="79"/>
  <c r="F64" i="79"/>
  <c r="F51" i="79"/>
  <c r="N59" i="79"/>
  <c r="L58" i="79"/>
  <c r="F65" i="79"/>
  <c r="C27" i="79"/>
  <c r="P68" i="39"/>
  <c r="Q68" i="39" s="1"/>
  <c r="P70" i="39"/>
  <c r="I38" i="39"/>
  <c r="G38" i="39"/>
  <c r="E38" i="39"/>
  <c r="C38" i="39"/>
  <c r="I7" i="39"/>
  <c r="G7" i="39"/>
  <c r="E7" i="39"/>
  <c r="I5" i="39"/>
  <c r="G5" i="39"/>
  <c r="E5" i="39"/>
  <c r="C40" i="66"/>
  <c r="C27" i="66"/>
  <c r="I4" i="66"/>
  <c r="I5" i="66"/>
  <c r="I6" i="66"/>
  <c r="I3" i="66"/>
  <c r="D6" i="66"/>
  <c r="J6" i="66" s="1"/>
  <c r="D4" i="66"/>
  <c r="D3" i="66"/>
  <c r="J5" i="66"/>
  <c r="J4" i="66"/>
  <c r="J3" i="66"/>
  <c r="AT14" i="3"/>
  <c r="AN14" i="3"/>
  <c r="O14" i="3"/>
  <c r="M14" i="3"/>
  <c r="K14" i="3"/>
  <c r="I14" i="3"/>
  <c r="I13" i="3"/>
  <c r="A3" i="3"/>
  <c r="L21" i="77"/>
  <c r="J21" i="77"/>
  <c r="I21" i="77"/>
  <c r="H21" i="77"/>
  <c r="G21" i="77"/>
  <c r="K20" i="77"/>
  <c r="K21" i="77" s="1"/>
  <c r="M19" i="77"/>
  <c r="M18" i="77"/>
  <c r="K18" i="77"/>
  <c r="M17" i="77"/>
  <c r="K17" i="77"/>
  <c r="D16" i="77"/>
  <c r="K13" i="77" s="1"/>
  <c r="L13" i="77"/>
  <c r="I13" i="77"/>
  <c r="H13" i="77"/>
  <c r="G13" i="77"/>
  <c r="M13" i="77" s="1"/>
  <c r="G7" i="77"/>
  <c r="H6" i="77"/>
  <c r="I5" i="77"/>
  <c r="J5" i="77" s="1"/>
  <c r="I4" i="77"/>
  <c r="H4" i="77" s="1"/>
  <c r="J4" i="77" s="1"/>
  <c r="I3" i="77"/>
  <c r="Q66" i="79" l="1"/>
  <c r="Q57" i="79"/>
  <c r="Q60" i="79"/>
  <c r="Q73" i="79"/>
  <c r="L46" i="79"/>
  <c r="I6" i="77"/>
  <c r="I7" i="77" s="1"/>
  <c r="M13" i="3" s="1"/>
  <c r="Q70" i="39"/>
  <c r="R68" i="39"/>
  <c r="H3" i="77"/>
  <c r="M20" i="77"/>
  <c r="M21" i="77" s="1"/>
  <c r="E57" i="39" l="1"/>
  <c r="D37" i="43"/>
  <c r="J6" i="77"/>
  <c r="R70" i="39"/>
  <c r="S68" i="39"/>
  <c r="S70" i="39" s="1"/>
  <c r="H7" i="77"/>
  <c r="K13" i="3" s="1"/>
  <c r="D29" i="43" s="1"/>
  <c r="J3" i="77"/>
  <c r="J7" i="77" s="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P17" i="71"/>
  <c r="O17" i="71"/>
  <c r="N17"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8" i="71"/>
  <c r="P18" i="71"/>
  <c r="O18" i="71"/>
  <c r="N18"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c r="F56" i="71" s="1"/>
  <c r="V56" i="71" s="1"/>
  <c r="P53" i="71"/>
  <c r="E54" i="71"/>
  <c r="E55" i="71" s="1"/>
  <c r="O53" i="71"/>
  <c r="C54" i="71"/>
  <c r="D54" i="71" s="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D50" i="71" s="1"/>
  <c r="N49" i="71"/>
  <c r="B50" i="71" s="1"/>
  <c r="B51" i="71"/>
  <c r="B52" i="71" s="1"/>
  <c r="S52" i="71" s="1"/>
  <c r="D49" i="71"/>
  <c r="Q48" i="71"/>
  <c r="P48" i="71"/>
  <c r="O48" i="71"/>
  <c r="N48" i="71"/>
  <c r="Q47" i="71"/>
  <c r="P47" i="71"/>
  <c r="O47" i="71"/>
  <c r="N47" i="71"/>
  <c r="Q46" i="71"/>
  <c r="P46" i="71"/>
  <c r="O46" i="71"/>
  <c r="N46" i="71"/>
  <c r="Q45" i="71"/>
  <c r="F46" i="71"/>
  <c r="F47" i="71" s="1"/>
  <c r="F48" i="71"/>
  <c r="V48" i="71" s="1"/>
  <c r="P45" i="71"/>
  <c r="E46" i="71" s="1"/>
  <c r="E47" i="71" s="1"/>
  <c r="O45" i="71"/>
  <c r="C46" i="71" s="1"/>
  <c r="N45" i="71"/>
  <c r="B46" i="71"/>
  <c r="B47" i="71" s="1"/>
  <c r="B48" i="71" s="1"/>
  <c r="S48" i="71" s="1"/>
  <c r="D45" i="71"/>
  <c r="Q44" i="71"/>
  <c r="P44" i="71"/>
  <c r="O44" i="71"/>
  <c r="N44" i="71"/>
  <c r="Q43" i="71"/>
  <c r="P43" i="71"/>
  <c r="O43" i="71"/>
  <c r="N43" i="71"/>
  <c r="Q42" i="71"/>
  <c r="P42" i="71"/>
  <c r="O42" i="71"/>
  <c r="N42" i="71"/>
  <c r="B43" i="71" s="1"/>
  <c r="B44" i="71" s="1"/>
  <c r="S44" i="71" s="1"/>
  <c r="Q41" i="71"/>
  <c r="F42" i="71"/>
  <c r="F43"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c r="D37" i="71"/>
  <c r="Q36" i="71"/>
  <c r="P36" i="71"/>
  <c r="O36" i="71"/>
  <c r="N36" i="71"/>
  <c r="Q35" i="71"/>
  <c r="P35" i="71"/>
  <c r="O35" i="71"/>
  <c r="N35" i="71"/>
  <c r="Q34" i="71"/>
  <c r="P34" i="71"/>
  <c r="O34" i="71"/>
  <c r="N34" i="71"/>
  <c r="F34" i="71"/>
  <c r="F35" i="71" s="1"/>
  <c r="F36" i="71" s="1"/>
  <c r="V36" i="71" s="1"/>
  <c r="Q33" i="71"/>
  <c r="P33" i="71"/>
  <c r="E34" i="71"/>
  <c r="E35" i="71" s="1"/>
  <c r="E36" i="71" s="1"/>
  <c r="U36" i="71" s="1"/>
  <c r="O33" i="71"/>
  <c r="C34" i="71" s="1"/>
  <c r="C35" i="71" s="1"/>
  <c r="D35" i="71" s="1"/>
  <c r="N33" i="71"/>
  <c r="B34" i="71" s="1"/>
  <c r="B35" i="71"/>
  <c r="B36" i="71" s="1"/>
  <c r="S36" i="71" s="1"/>
  <c r="D33" i="71"/>
  <c r="Q32" i="71"/>
  <c r="P32" i="71"/>
  <c r="O32" i="71"/>
  <c r="N32" i="71"/>
  <c r="AB31" i="71"/>
  <c r="Q31" i="71"/>
  <c r="P31" i="71"/>
  <c r="O31" i="71"/>
  <c r="Y31" i="71" s="1"/>
  <c r="Z31" i="71" s="1"/>
  <c r="N31" i="71"/>
  <c r="X31" i="71"/>
  <c r="Q30" i="71"/>
  <c r="AB30" i="71"/>
  <c r="P30" i="71"/>
  <c r="O30" i="71"/>
  <c r="N30" i="71"/>
  <c r="F30" i="71"/>
  <c r="F31" i="71" s="1"/>
  <c r="F32" i="71" s="1"/>
  <c r="V32" i="71" s="1"/>
  <c r="Q29" i="71"/>
  <c r="P29" i="71"/>
  <c r="O29" i="71"/>
  <c r="C30" i="71" s="1"/>
  <c r="N29" i="71"/>
  <c r="D29" i="71"/>
  <c r="Q28" i="71"/>
  <c r="AB28" i="71"/>
  <c r="P28" i="71"/>
  <c r="O28" i="71"/>
  <c r="Y28" i="71" s="1"/>
  <c r="Z28" i="71" s="1"/>
  <c r="N28" i="71"/>
  <c r="Q27" i="71"/>
  <c r="P27" i="71"/>
  <c r="O27" i="71"/>
  <c r="Y27" i="71"/>
  <c r="Z27" i="71" s="1"/>
  <c r="N27" i="71"/>
  <c r="Q26" i="71"/>
  <c r="P26" i="71"/>
  <c r="O26" i="71"/>
  <c r="N26" i="71"/>
  <c r="Q25" i="71"/>
  <c r="P25" i="71"/>
  <c r="O25" i="71"/>
  <c r="C26" i="71" s="1"/>
  <c r="C27" i="71" s="1"/>
  <c r="D27" i="71" s="1"/>
  <c r="N25" i="71"/>
  <c r="D25" i="71"/>
  <c r="Q24" i="71"/>
  <c r="AB24" i="71"/>
  <c r="P24" i="71"/>
  <c r="O24" i="71"/>
  <c r="Y24" i="71" s="1"/>
  <c r="Z24" i="71" s="1"/>
  <c r="N24" i="71"/>
  <c r="Q23" i="71"/>
  <c r="P23" i="71"/>
  <c r="O23" i="71"/>
  <c r="N23" i="71"/>
  <c r="X21" i="71" s="1"/>
  <c r="Q22" i="71"/>
  <c r="P22" i="71"/>
  <c r="O22" i="71"/>
  <c r="N22" i="71"/>
  <c r="F22" i="71"/>
  <c r="F23" i="71" s="1"/>
  <c r="F24" i="71" s="1"/>
  <c r="V24" i="71" s="1"/>
  <c r="Q21" i="71"/>
  <c r="P21" i="71"/>
  <c r="O21" i="71"/>
  <c r="N21" i="71"/>
  <c r="D21" i="71"/>
  <c r="O20" i="71"/>
  <c r="N20" i="71"/>
  <c r="B22" i="71"/>
  <c r="B23" i="71"/>
  <c r="B24" i="71" s="1"/>
  <c r="S24" i="71" s="1"/>
  <c r="E22" i="71"/>
  <c r="E23" i="71" s="1"/>
  <c r="E24" i="71" s="1"/>
  <c r="U24" i="71" s="1"/>
  <c r="B26" i="71"/>
  <c r="B27" i="71"/>
  <c r="B28" i="71" s="1"/>
  <c r="S28" i="71" s="1"/>
  <c r="B30" i="71"/>
  <c r="B31" i="71" s="1"/>
  <c r="B32" i="71" s="1"/>
  <c r="S32" i="71" s="1"/>
  <c r="X29" i="71"/>
  <c r="E30" i="71"/>
  <c r="E31" i="71"/>
  <c r="E32" i="71" s="1"/>
  <c r="U32" i="71" s="1"/>
  <c r="N60" i="71"/>
  <c r="E26" i="71"/>
  <c r="E27" i="71"/>
  <c r="E28" i="71" s="1"/>
  <c r="U28" i="71" s="1"/>
  <c r="C22" i="71"/>
  <c r="X22" i="71"/>
  <c r="X23" i="71"/>
  <c r="X24" i="71"/>
  <c r="AA26" i="71"/>
  <c r="X28" i="71"/>
  <c r="AA28" i="71"/>
  <c r="Y29" i="71"/>
  <c r="Z29" i="71" s="1"/>
  <c r="X30" i="71"/>
  <c r="AA30" i="71"/>
  <c r="F44" i="71"/>
  <c r="V44" i="71" s="1"/>
  <c r="C20" i="71"/>
  <c r="C19" i="71" s="1"/>
  <c r="X19" i="71"/>
  <c r="D26" i="71"/>
  <c r="C43" i="71"/>
  <c r="P20" i="71"/>
  <c r="E48" i="71"/>
  <c r="U48" i="71" s="1"/>
  <c r="E51" i="71"/>
  <c r="E52" i="71" s="1"/>
  <c r="U52" i="71"/>
  <c r="E56" i="71"/>
  <c r="U56" i="71" s="1"/>
  <c r="Q20" i="71"/>
  <c r="C51" i="71"/>
  <c r="D51" i="71" s="1"/>
  <c r="C55" i="71"/>
  <c r="C56" i="71" s="1"/>
  <c r="N59" i="71"/>
  <c r="O60" i="71"/>
  <c r="C59" i="71"/>
  <c r="O59" i="71" s="1"/>
  <c r="C63" i="71"/>
  <c r="E63" i="71"/>
  <c r="E62" i="71"/>
  <c r="D64" i="71"/>
  <c r="C67" i="71"/>
  <c r="C66" i="71" s="1"/>
  <c r="D66" i="71" s="1"/>
  <c r="E67" i="71"/>
  <c r="E66" i="71"/>
  <c r="C71" i="71"/>
  <c r="C70" i="71" s="1"/>
  <c r="E71" i="71"/>
  <c r="E70" i="71"/>
  <c r="D72" i="71"/>
  <c r="C75" i="71"/>
  <c r="D75" i="71" s="1"/>
  <c r="C79" i="71"/>
  <c r="T20" i="71"/>
  <c r="F20" i="71"/>
  <c r="F19" i="71"/>
  <c r="F18" i="71" s="1"/>
  <c r="AB19" i="71"/>
  <c r="E20" i="71"/>
  <c r="D20" i="71"/>
  <c r="C58" i="71"/>
  <c r="D59" i="71"/>
  <c r="D55" i="71"/>
  <c r="C74" i="71"/>
  <c r="D74" i="71" s="1"/>
  <c r="D67" i="71"/>
  <c r="N58" i="71"/>
  <c r="D79" i="71"/>
  <c r="C78" i="71"/>
  <c r="D78" i="71" s="1"/>
  <c r="D71" i="71"/>
  <c r="D70" i="71"/>
  <c r="C28" i="71"/>
  <c r="T28" i="71" s="1"/>
  <c r="C18" i="71"/>
  <c r="D18" i="71" s="1"/>
  <c r="D19" i="71"/>
  <c r="O57"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U18" i="36"/>
  <c r="S21" i="34"/>
  <c r="F94" i="40"/>
  <c r="H25" i="40"/>
  <c r="G94" i="40"/>
  <c r="J25" i="40"/>
  <c r="F103" i="39"/>
  <c r="H29" i="39"/>
  <c r="U29" i="39" s="1"/>
  <c r="G103" i="39"/>
  <c r="J29" i="39"/>
  <c r="W29" i="39" s="1"/>
  <c r="G66" i="36"/>
  <c r="J18" i="36"/>
  <c r="F68" i="35"/>
  <c r="H18" i="35"/>
  <c r="S18" i="35"/>
  <c r="G68" i="35"/>
  <c r="J18" i="35"/>
  <c r="F77" i="37"/>
  <c r="H21" i="37"/>
  <c r="F21" i="37"/>
  <c r="F84" i="34"/>
  <c r="H21" i="34"/>
  <c r="H21" i="33"/>
  <c r="U21" i="33" s="1"/>
  <c r="F21" i="33"/>
  <c r="E83" i="21"/>
  <c r="F83" i="21" s="1"/>
  <c r="G83" i="21" s="1"/>
  <c r="S21" i="21"/>
  <c r="H1" i="69"/>
  <c r="AC25" i="40"/>
  <c r="W25" i="40"/>
  <c r="AB25" i="40"/>
  <c r="U25" i="40"/>
  <c r="AB29" i="39"/>
  <c r="AC18" i="36"/>
  <c r="W18" i="36"/>
  <c r="AB21" i="37"/>
  <c r="U21" i="37"/>
  <c r="AA21" i="37"/>
  <c r="S21" i="37"/>
  <c r="AB21" i="34"/>
  <c r="U21" i="34"/>
  <c r="AB21" i="33"/>
  <c r="AA21" i="33"/>
  <c r="S21" i="33"/>
  <c r="AB18" i="35"/>
  <c r="U18" i="35"/>
  <c r="AC18" i="35"/>
  <c r="W18" i="35"/>
  <c r="G77" i="37"/>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32" i="66"/>
  <c r="I23" i="66"/>
  <c r="D20" i="66"/>
  <c r="I19" i="66"/>
  <c r="I18" i="66"/>
  <c r="I17" i="66"/>
  <c r="I20" i="66"/>
  <c r="E15" i="66"/>
  <c r="I14" i="66"/>
  <c r="I13" i="66"/>
  <c r="I12" i="66"/>
  <c r="I15" i="66" s="1"/>
  <c r="I9" i="66"/>
  <c r="I8" i="66"/>
  <c r="I7"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D95" i="39"/>
  <c r="E95" i="39"/>
  <c r="F95" i="39" s="1"/>
  <c r="D93" i="39"/>
  <c r="E93" i="39" s="1"/>
  <c r="F93" i="39" s="1"/>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34" i="39"/>
  <c r="U40" i="39"/>
  <c r="S42" i="39"/>
  <c r="W14" i="39"/>
  <c r="AA41" i="39"/>
  <c r="W8" i="39"/>
  <c r="J19" i="40"/>
  <c r="AC19" i="40"/>
  <c r="J50" i="40"/>
  <c r="B54" i="72"/>
  <c r="H103" i="9"/>
  <c r="D8" i="53" s="1"/>
  <c r="B16" i="53"/>
  <c r="B33" i="72" s="1"/>
  <c r="C7" i="37"/>
  <c r="C7" i="34"/>
  <c r="C7" i="36"/>
  <c r="W35" i="40"/>
  <c r="A118" i="9"/>
  <c r="A4" i="52"/>
  <c r="B41" i="72" s="1"/>
  <c r="J11" i="39"/>
  <c r="W11" i="39" s="1"/>
  <c r="F11" i="39"/>
  <c r="AA11" i="39" s="1"/>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E8" i="6"/>
  <c r="F27" i="6" s="1"/>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O9" i="1" s="1"/>
  <c r="P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C30" i="66"/>
  <c r="AC34" i="33"/>
  <c r="AA34" i="33"/>
  <c r="B41" i="1"/>
  <c r="F48" i="9" s="1"/>
  <c r="O52"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W21" i="39" s="1"/>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G5" i="3" s="1"/>
  <c r="B3" i="3" s="1"/>
  <c r="BA13" i="3"/>
  <c r="AZ13" i="3" s="1"/>
  <c r="E10" i="6"/>
  <c r="E11" i="6"/>
  <c r="E61" i="39" s="1"/>
  <c r="BL17" i="3"/>
  <c r="AZ17" i="3"/>
  <c r="BL13" i="3"/>
  <c r="J56" i="9"/>
  <c r="J57" i="9" s="1"/>
  <c r="J59" i="9" s="1"/>
  <c r="J61" i="9" s="1"/>
  <c r="A24" i="51"/>
  <c r="B18" i="72" s="1"/>
  <c r="U29" i="34"/>
  <c r="E14" i="6"/>
  <c r="E64" i="39" s="1"/>
  <c r="E5" i="6"/>
  <c r="D9" i="11" s="1"/>
  <c r="C9" i="11" s="1"/>
  <c r="P10" i="1"/>
  <c r="E32" i="6"/>
  <c r="L19" i="6"/>
  <c r="G1" i="68"/>
  <c r="K1" i="12"/>
  <c r="F30" i="6"/>
  <c r="AQ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G52" i="37" s="1"/>
  <c r="H52" i="37" s="1"/>
  <c r="A4" i="51"/>
  <c r="B6" i="72" s="1"/>
  <c r="H55" i="43"/>
  <c r="H56" i="43"/>
  <c r="H72" i="43"/>
  <c r="L20" i="6"/>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AB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A39" i="40"/>
  <c r="S39" i="40"/>
  <c r="S12" i="33"/>
  <c r="AA12" i="33"/>
  <c r="J32" i="39"/>
  <c r="H107" i="39"/>
  <c r="I107" i="39"/>
  <c r="J107" i="39" s="1"/>
  <c r="K107" i="39" s="1"/>
  <c r="L107" i="39" s="1"/>
  <c r="M107" i="39" s="1"/>
  <c r="H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R8"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s="1"/>
  <c r="B39" i="72" s="1"/>
  <c r="H111" i="9"/>
  <c r="D126" i="9"/>
  <c r="I14" i="74" s="1"/>
  <c r="B8" i="74" s="1"/>
  <c r="D19" i="53"/>
  <c r="B38" i="72"/>
  <c r="D20" i="53"/>
  <c r="B40" i="72" s="1"/>
  <c r="AD3" i="71"/>
  <c r="C65" i="40"/>
  <c r="D63" i="40"/>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U7" i="33"/>
  <c r="AC7" i="33"/>
  <c r="V48" i="33"/>
  <c r="I48" i="33" s="1"/>
  <c r="F48" i="35"/>
  <c r="G48" i="35"/>
  <c r="D58" i="21"/>
  <c r="AB14" i="71"/>
  <c r="X12" i="71"/>
  <c r="X11" i="71"/>
  <c r="AA12" i="71"/>
  <c r="AA11" i="71"/>
  <c r="X15" i="71"/>
  <c r="Y11" i="71"/>
  <c r="Z11" i="71" s="1"/>
  <c r="AB12" i="71"/>
  <c r="AB11" i="71"/>
  <c r="C94" i="9"/>
  <c r="C92" i="9"/>
  <c r="Y12" i="71"/>
  <c r="Z12" i="71" s="1"/>
  <c r="X3" i="71"/>
  <c r="D65" i="40"/>
  <c r="E63" i="40"/>
  <c r="F63" i="40" s="1"/>
  <c r="E58" i="21"/>
  <c r="F58" i="21" s="1"/>
  <c r="G58" i="21" s="1"/>
  <c r="D70" i="39"/>
  <c r="E68" i="39"/>
  <c r="F68" i="39" s="1"/>
  <c r="E70" i="39"/>
  <c r="C19" i="43"/>
  <c r="D2" i="37"/>
  <c r="D6" i="73"/>
  <c r="B10" i="76"/>
  <c r="E7" i="76"/>
  <c r="M9" i="15"/>
  <c r="B7" i="76"/>
  <c r="B12" i="76"/>
  <c r="M28" i="15"/>
  <c r="F6" i="67"/>
  <c r="D4" i="73"/>
  <c r="D2" i="21"/>
  <c r="F38" i="15"/>
  <c r="F7" i="79"/>
  <c r="F3" i="73"/>
  <c r="D2" i="35"/>
  <c r="F26" i="15"/>
  <c r="F6" i="73"/>
  <c r="F42" i="67"/>
  <c r="M29" i="79"/>
  <c r="AO11" i="1"/>
  <c r="AO12" i="1"/>
  <c r="F37" i="15"/>
  <c r="F37" i="67"/>
  <c r="D3" i="73"/>
  <c r="F20" i="31"/>
  <c r="F8" i="15"/>
  <c r="E13" i="76"/>
  <c r="F43" i="79"/>
  <c r="M26" i="15"/>
  <c r="M28" i="67"/>
  <c r="L48" i="15"/>
  <c r="F9" i="15"/>
  <c r="E2" i="68"/>
  <c r="C76" i="15"/>
  <c r="AO9" i="1"/>
  <c r="F36" i="67"/>
  <c r="E9" i="76"/>
  <c r="F16" i="15"/>
  <c r="M24" i="15"/>
  <c r="M27" i="67"/>
  <c r="F43" i="15"/>
  <c r="E11" i="76"/>
  <c r="D2" i="34"/>
  <c r="M23" i="67"/>
  <c r="F9" i="67"/>
  <c r="M29" i="15"/>
  <c r="E10" i="76"/>
  <c r="E2" i="69"/>
  <c r="M29" i="67"/>
  <c r="M23" i="15"/>
  <c r="F42" i="15"/>
  <c r="B8" i="76"/>
  <c r="J15" i="15"/>
  <c r="M24" i="67"/>
  <c r="M8" i="15"/>
  <c r="M6" i="67"/>
  <c r="F7" i="15"/>
  <c r="M9" i="67"/>
  <c r="B11" i="76"/>
  <c r="C76" i="67"/>
  <c r="B13" i="76"/>
  <c r="F41" i="67"/>
  <c r="F40" i="15"/>
  <c r="F35" i="67"/>
  <c r="M26" i="67"/>
  <c r="F8" i="67"/>
  <c r="F6" i="15"/>
  <c r="D2" i="36"/>
  <c r="F13" i="15"/>
  <c r="F7" i="73"/>
  <c r="AO8" i="1"/>
  <c r="M6" i="15"/>
  <c r="E8" i="76"/>
  <c r="D5" i="73"/>
  <c r="L47" i="67"/>
  <c r="F5" i="73"/>
  <c r="F36" i="15"/>
  <c r="F38" i="67"/>
  <c r="F26" i="67"/>
  <c r="M22" i="67"/>
  <c r="M21" i="67"/>
  <c r="L47" i="15"/>
  <c r="E12" i="76"/>
  <c r="F40" i="67"/>
  <c r="D7" i="73"/>
  <c r="L48" i="67"/>
  <c r="D2" i="33"/>
  <c r="M27" i="15"/>
  <c r="B9" i="76"/>
  <c r="F4" i="73"/>
  <c r="J15" i="67"/>
  <c r="AO13" i="1"/>
  <c r="F13" i="67"/>
  <c r="AO10" i="1"/>
  <c r="F16" i="67"/>
  <c r="F43" i="67"/>
  <c r="M8" i="67"/>
  <c r="F7" i="67"/>
  <c r="M22" i="15"/>
  <c r="T13" i="1" l="1"/>
  <c r="AR11" i="1"/>
  <c r="AQ13" i="1"/>
  <c r="J23" i="39"/>
  <c r="AC23" i="39" s="1"/>
  <c r="S19" i="39"/>
  <c r="E26" i="66"/>
  <c r="M6" i="1"/>
  <c r="O6" i="1" s="1"/>
  <c r="P6" i="1" s="1"/>
  <c r="D22" i="67"/>
  <c r="C6" i="79"/>
  <c r="C32" i="79" s="1"/>
  <c r="M7" i="79"/>
  <c r="J6" i="79" s="1"/>
  <c r="J18" i="79" s="1"/>
  <c r="F50" i="79"/>
  <c r="C49" i="79" s="1"/>
  <c r="F71" i="79"/>
  <c r="M7" i="1"/>
  <c r="O7" i="1" s="1"/>
  <c r="P7" i="1" s="1"/>
  <c r="G30" i="6"/>
  <c r="G31" i="6" s="1"/>
  <c r="H62" i="43"/>
  <c r="H65" i="43"/>
  <c r="H63" i="43"/>
  <c r="H67" i="43"/>
  <c r="H60" i="43"/>
  <c r="H59" i="43"/>
  <c r="H61" i="43"/>
  <c r="H66" i="43"/>
  <c r="H64" i="43"/>
  <c r="G17" i="43"/>
  <c r="C16" i="43" s="1"/>
  <c r="C5" i="43" s="1"/>
  <c r="E12" i="6"/>
  <c r="E62" i="39" s="1"/>
  <c r="AC38" i="39"/>
  <c r="AC29" i="39"/>
  <c r="S29" i="39"/>
  <c r="W27" i="39"/>
  <c r="W23" i="39"/>
  <c r="AC21" i="39"/>
  <c r="S17" i="39"/>
  <c r="U17" i="39"/>
  <c r="AC11" i="39"/>
  <c r="S11" i="39"/>
  <c r="W9" i="39"/>
  <c r="U9" i="39"/>
  <c r="P61" i="15"/>
  <c r="I10" i="66"/>
  <c r="F30" i="69"/>
  <c r="F48" i="69" s="1"/>
  <c r="F31" i="12"/>
  <c r="C30" i="69"/>
  <c r="D68" i="9"/>
  <c r="M18" i="15"/>
  <c r="M18" i="67"/>
  <c r="F30" i="11"/>
  <c r="C24" i="12"/>
  <c r="C77" i="9"/>
  <c r="C74" i="9" s="1"/>
  <c r="F54" i="9"/>
  <c r="F28" i="15"/>
  <c r="C28" i="15" s="1"/>
  <c r="F32" i="15"/>
  <c r="F60" i="15" s="1"/>
  <c r="F32" i="67"/>
  <c r="F60" i="67" s="1"/>
  <c r="F52" i="9"/>
  <c r="F28" i="67"/>
  <c r="C28" i="67" s="1"/>
  <c r="F30" i="68"/>
  <c r="C21" i="69"/>
  <c r="C5" i="11"/>
  <c r="E28" i="6"/>
  <c r="K14" i="1" s="1"/>
  <c r="M14" i="1" s="1"/>
  <c r="O14" i="1" s="1"/>
  <c r="P14" i="1" s="1"/>
  <c r="E57" i="40"/>
  <c r="E15" i="6"/>
  <c r="E60" i="40" s="1"/>
  <c r="AR8" i="1"/>
  <c r="D19" i="12"/>
  <c r="C19" i="12" s="1"/>
  <c r="F22" i="43"/>
  <c r="K101" i="43"/>
  <c r="K109" i="43" s="1"/>
  <c r="G101" i="43"/>
  <c r="J101" i="43"/>
  <c r="J102" i="43" s="1"/>
  <c r="D101" i="43"/>
  <c r="I101" i="43"/>
  <c r="I105" i="43" s="1"/>
  <c r="AF11" i="43"/>
  <c r="Z7" i="43"/>
  <c r="AE11" i="43"/>
  <c r="AE13" i="43" s="1"/>
  <c r="J22" i="43"/>
  <c r="B113" i="43"/>
  <c r="N101" i="43"/>
  <c r="N104" i="43" s="1"/>
  <c r="C101" i="43"/>
  <c r="N104" i="46"/>
  <c r="L101" i="43"/>
  <c r="L104" i="43" s="1"/>
  <c r="M101" i="43"/>
  <c r="M107" i="43" s="1"/>
  <c r="E101" i="43"/>
  <c r="E102" i="43" s="1"/>
  <c r="AJ11" i="43"/>
  <c r="AB11" i="43"/>
  <c r="AB13" i="43" s="1"/>
  <c r="AI11" i="43"/>
  <c r="AI13" i="43" s="1"/>
  <c r="AA11" i="43"/>
  <c r="AA13" i="43" s="1"/>
  <c r="L102" i="43"/>
  <c r="E109" i="43"/>
  <c r="E107" i="43"/>
  <c r="E105" i="43"/>
  <c r="E104" i="43"/>
  <c r="E59" i="40"/>
  <c r="T8" i="1"/>
  <c r="C36" i="69"/>
  <c r="Q16" i="1"/>
  <c r="F27" i="69" s="1"/>
  <c r="F45" i="69" s="1"/>
  <c r="L27" i="6"/>
  <c r="E56" i="40"/>
  <c r="H16" i="1"/>
  <c r="D107" i="43"/>
  <c r="D103" i="43"/>
  <c r="D9" i="68"/>
  <c r="C9" i="68" s="1"/>
  <c r="T9" i="1"/>
  <c r="AQ9" i="1"/>
  <c r="D9" i="69"/>
  <c r="C9" i="69" s="1"/>
  <c r="T12" i="1"/>
  <c r="E13" i="6"/>
  <c r="F31" i="6"/>
  <c r="E29" i="6"/>
  <c r="L103" i="43"/>
  <c r="L107" i="43"/>
  <c r="L106" i="43"/>
  <c r="D102" i="43"/>
  <c r="D106" i="43"/>
  <c r="D105" i="43"/>
  <c r="I107" i="43"/>
  <c r="E103" i="43"/>
  <c r="E106" i="43"/>
  <c r="Y11" i="43"/>
  <c r="Y13" i="43" s="1"/>
  <c r="AC11" i="43"/>
  <c r="AG11" i="43"/>
  <c r="Z11" i="43"/>
  <c r="AD11" i="43"/>
  <c r="AH11" i="43"/>
  <c r="G106" i="43"/>
  <c r="I117" i="43"/>
  <c r="J117" i="43" s="1"/>
  <c r="K117" i="43" s="1"/>
  <c r="L117" i="43" s="1"/>
  <c r="M117" i="43" s="1"/>
  <c r="B118" i="43"/>
  <c r="C118" i="43" s="1"/>
  <c r="G118" i="43"/>
  <c r="H118" i="43" s="1"/>
  <c r="D118" i="43"/>
  <c r="E118" i="43" s="1"/>
  <c r="F118" i="43" s="1"/>
  <c r="G104" i="43"/>
  <c r="G107" i="43"/>
  <c r="C103" i="43"/>
  <c r="C107" i="43"/>
  <c r="G22" i="43"/>
  <c r="H101" i="43"/>
  <c r="H22" i="43"/>
  <c r="G102" i="43"/>
  <c r="I115" i="43"/>
  <c r="J115" i="43" s="1"/>
  <c r="K115" i="43" s="1"/>
  <c r="L115" i="43" s="1"/>
  <c r="M115" i="43" s="1"/>
  <c r="C106" i="43"/>
  <c r="D117" i="43"/>
  <c r="E117" i="43" s="1"/>
  <c r="F117" i="43" s="1"/>
  <c r="G117" i="43" s="1"/>
  <c r="H117" i="43" s="1"/>
  <c r="E22" i="43"/>
  <c r="F101" i="43"/>
  <c r="H82" i="43"/>
  <c r="H50" i="43"/>
  <c r="D5" i="43"/>
  <c r="G7" i="1"/>
  <c r="G12" i="1"/>
  <c r="G10" i="1"/>
  <c r="G8" i="1"/>
  <c r="E65" i="40"/>
  <c r="F65" i="40"/>
  <c r="G63" i="40"/>
  <c r="I52" i="33"/>
  <c r="J52" i="33" s="1"/>
  <c r="G68" i="39"/>
  <c r="F70" i="39"/>
  <c r="H58" i="21"/>
  <c r="I58" i="21" s="1"/>
  <c r="J58" i="21" s="1"/>
  <c r="K58" i="21" s="1"/>
  <c r="L58" i="21" s="1"/>
  <c r="M58" i="21" s="1"/>
  <c r="N58" i="21" s="1"/>
  <c r="O58" i="21" s="1"/>
  <c r="F7" i="21"/>
  <c r="J7" i="21"/>
  <c r="G52" i="33"/>
  <c r="H52" i="33" s="1"/>
  <c r="G53" i="33"/>
  <c r="H53" i="33" s="1"/>
  <c r="L59" i="34"/>
  <c r="M59" i="34" s="1"/>
  <c r="N59" i="34" s="1"/>
  <c r="O59" i="34" s="1"/>
  <c r="H7" i="34"/>
  <c r="J7" i="34"/>
  <c r="F7" i="34"/>
  <c r="H7" i="21"/>
  <c r="F46" i="36"/>
  <c r="H48" i="35"/>
  <c r="I52" i="37"/>
  <c r="AA7" i="33"/>
  <c r="R48" i="33" s="1"/>
  <c r="D12" i="52"/>
  <c r="D127" i="9"/>
  <c r="D13" i="52"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48" i="69"/>
  <c r="AZ521" i="3"/>
  <c r="O12" i="1"/>
  <c r="F53" i="9"/>
  <c r="AZ548" i="3"/>
  <c r="H23" i="35"/>
  <c r="J23" i="35"/>
  <c r="F38" i="40"/>
  <c r="J38" i="40"/>
  <c r="H38" i="40"/>
  <c r="BL550" i="3"/>
  <c r="BL5" i="3" s="1"/>
  <c r="AZ409" i="3"/>
  <c r="AZ425" i="3"/>
  <c r="AZ432" i="3"/>
  <c r="AZ464" i="3"/>
  <c r="AZ467" i="3"/>
  <c r="AZ474" i="3"/>
  <c r="AZ480" i="3"/>
  <c r="AZ482" i="3"/>
  <c r="AZ486" i="3"/>
  <c r="AZ488" i="3"/>
  <c r="AZ332" i="3"/>
  <c r="AZ385" i="3"/>
  <c r="AZ216" i="3"/>
  <c r="K5" i="4"/>
  <c r="B47" i="48" s="1"/>
  <c r="U12" i="37"/>
  <c r="W29" i="33"/>
  <c r="S45" i="33"/>
  <c r="AC30" i="34"/>
  <c r="W11" i="35"/>
  <c r="S11" i="36"/>
  <c r="AB26" i="33"/>
  <c r="AB11" i="36"/>
  <c r="AA14" i="33"/>
  <c r="AA44" i="33"/>
  <c r="U30" i="35"/>
  <c r="F9" i="33"/>
  <c r="H9" i="33"/>
  <c r="J12" i="36"/>
  <c r="H12" i="36"/>
  <c r="J24" i="36"/>
  <c r="H24" i="36"/>
  <c r="J39" i="40"/>
  <c r="H39" i="40"/>
  <c r="BA551" i="3"/>
  <c r="AZ551" i="3" s="1"/>
  <c r="AZ399" i="3"/>
  <c r="AZ404" i="3"/>
  <c r="AZ414" i="3"/>
  <c r="AZ421" i="3"/>
  <c r="AZ430" i="3"/>
  <c r="AZ440" i="3"/>
  <c r="AZ449" i="3"/>
  <c r="AZ453" i="3"/>
  <c r="AZ455" i="3"/>
  <c r="AZ460" i="3"/>
  <c r="AZ208" i="3"/>
  <c r="AZ211" i="3"/>
  <c r="AZ226" i="3"/>
  <c r="AZ230" i="3"/>
  <c r="AZ277" i="3"/>
  <c r="AZ298" i="3"/>
  <c r="AZ301" i="3"/>
  <c r="AZ125" i="3"/>
  <c r="AZ70" i="3"/>
  <c r="AZ244" i="3"/>
  <c r="AZ247" i="3"/>
  <c r="AZ260" i="3"/>
  <c r="AZ264" i="3"/>
  <c r="AZ290" i="3"/>
  <c r="AZ293" i="3"/>
  <c r="AZ207" i="3"/>
  <c r="AZ49" i="3"/>
  <c r="AZ65" i="3"/>
  <c r="AZ81" i="3"/>
  <c r="AZ90" i="3"/>
  <c r="AZ96" i="3"/>
  <c r="AZ99" i="3"/>
  <c r="AZ106" i="3"/>
  <c r="AZ112" i="3"/>
  <c r="M100" i="43"/>
  <c r="I100" i="43"/>
  <c r="E100" i="43"/>
  <c r="D100" i="43"/>
  <c r="C40" i="68"/>
  <c r="C21" i="68"/>
  <c r="D43" i="71"/>
  <c r="C44" i="71"/>
  <c r="AB22" i="71"/>
  <c r="AB25" i="71"/>
  <c r="AA25" i="71"/>
  <c r="AA24" i="71"/>
  <c r="AA27" i="71"/>
  <c r="P60" i="71"/>
  <c r="U60" i="71"/>
  <c r="E59" i="71"/>
  <c r="AB13" i="71"/>
  <c r="S18" i="36"/>
  <c r="D28" i="71"/>
  <c r="C36" i="71"/>
  <c r="C52" i="71"/>
  <c r="D58" i="71"/>
  <c r="O58" i="71"/>
  <c r="AA19" i="71"/>
  <c r="D63" i="71"/>
  <c r="C62" i="71"/>
  <c r="D62" i="71" s="1"/>
  <c r="D34" i="71"/>
  <c r="Y25" i="71"/>
  <c r="Z25" i="71" s="1"/>
  <c r="D22" i="71"/>
  <c r="C23" i="71"/>
  <c r="AA21" i="71"/>
  <c r="B20" i="71"/>
  <c r="X18" i="71"/>
  <c r="X20" i="71"/>
  <c r="X17" i="71"/>
  <c r="Y21" i="71"/>
  <c r="Z21" i="71" s="1"/>
  <c r="Y17" i="71"/>
  <c r="Z17" i="71" s="1"/>
  <c r="Y18" i="71"/>
  <c r="Z18" i="71" s="1"/>
  <c r="Y19" i="71"/>
  <c r="Z19" i="71" s="1"/>
  <c r="Y20" i="71"/>
  <c r="Z20" i="71" s="1"/>
  <c r="Y13" i="71"/>
  <c r="Z13" i="71" s="1"/>
  <c r="Y16" i="71"/>
  <c r="Z16" i="71" s="1"/>
  <c r="AB21" i="71"/>
  <c r="AB18" i="71"/>
  <c r="AB20" i="71"/>
  <c r="AB17" i="71"/>
  <c r="Y23" i="71"/>
  <c r="Z23" i="71" s="1"/>
  <c r="AA22" i="71"/>
  <c r="AA23" i="71"/>
  <c r="AA17" i="71"/>
  <c r="F26" i="71"/>
  <c r="F27" i="71" s="1"/>
  <c r="F28" i="71" s="1"/>
  <c r="V28" i="71" s="1"/>
  <c r="C31" i="71"/>
  <c r="D30" i="71"/>
  <c r="AB26" i="71"/>
  <c r="AB29" i="71"/>
  <c r="D46" i="71"/>
  <c r="C47" i="71"/>
  <c r="Z12" i="43"/>
  <c r="Z13" i="43" s="1"/>
  <c r="Z10" i="43"/>
  <c r="AD12" i="43"/>
  <c r="AD13" i="43" s="1"/>
  <c r="AD10" i="43"/>
  <c r="AF12" i="43"/>
  <c r="AF13" i="43" s="1"/>
  <c r="AF10" i="43"/>
  <c r="AH12" i="43"/>
  <c r="AH13" i="43" s="1"/>
  <c r="AH10" i="43"/>
  <c r="AJ12" i="43"/>
  <c r="AJ13" i="43" s="1"/>
  <c r="AJ10" i="43"/>
  <c r="U20" i="71"/>
  <c r="E19" i="71"/>
  <c r="E18" i="71" s="1"/>
  <c r="V20" i="71"/>
  <c r="AA18" i="71"/>
  <c r="AA20" i="71"/>
  <c r="Y22" i="71"/>
  <c r="Z22" i="71" s="1"/>
  <c r="AB23" i="71"/>
  <c r="Y26" i="71"/>
  <c r="Z26" i="71" s="1"/>
  <c r="X25" i="71"/>
  <c r="X26" i="71"/>
  <c r="X27" i="71"/>
  <c r="AB27" i="71"/>
  <c r="Y30" i="71"/>
  <c r="Z30" i="71" s="1"/>
  <c r="AA31" i="71"/>
  <c r="AA29" i="71"/>
  <c r="C39" i="71"/>
  <c r="D39" i="71" s="1"/>
  <c r="D38" i="71"/>
  <c r="T60" i="71"/>
  <c r="D60" i="71"/>
  <c r="V60" i="71"/>
  <c r="F59" i="71"/>
  <c r="Q60" i="71"/>
  <c r="T68" i="71"/>
  <c r="D68" i="71"/>
  <c r="M56" i="9"/>
  <c r="K56" i="9"/>
  <c r="AA15" i="71"/>
  <c r="AA16" i="71"/>
  <c r="E16" i="71"/>
  <c r="X14" i="71"/>
  <c r="B16" i="71"/>
  <c r="X13" i="71"/>
  <c r="X16" i="71"/>
  <c r="AA13" i="71"/>
  <c r="AA10" i="71"/>
  <c r="X10" i="71"/>
  <c r="X7" i="71"/>
  <c r="X6" i="71"/>
  <c r="X5" i="71"/>
  <c r="AA7" i="71"/>
  <c r="AA6" i="71"/>
  <c r="AA3" i="71"/>
  <c r="X9" i="71"/>
  <c r="AA9" i="71"/>
  <c r="AB5" i="71"/>
  <c r="F14" i="71"/>
  <c r="F13" i="71" s="1"/>
  <c r="F12" i="71" s="1"/>
  <c r="F11" i="71" s="1"/>
  <c r="F10" i="71" s="1"/>
  <c r="F9" i="71" s="1"/>
  <c r="F8" i="71" s="1"/>
  <c r="F7" i="71" s="1"/>
  <c r="F6" i="71" s="1"/>
  <c r="F5" i="71" s="1"/>
  <c r="AA14" i="71"/>
  <c r="AA5" i="71"/>
  <c r="AC12" i="43"/>
  <c r="AC13" i="43" s="1"/>
  <c r="AC10" i="43"/>
  <c r="AG12" i="43"/>
  <c r="AG13" i="43" s="1"/>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Y8" i="71"/>
  <c r="Z8" i="71" s="1"/>
  <c r="Y7" i="71"/>
  <c r="AA8" i="71"/>
  <c r="AB3" i="71"/>
  <c r="X8" i="71"/>
  <c r="AB8" i="71"/>
  <c r="Z7" i="71"/>
  <c r="Y3" i="71"/>
  <c r="Z3"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F68" i="15"/>
  <c r="C17" i="67"/>
  <c r="C14" i="67"/>
  <c r="C16" i="15"/>
  <c r="C16" i="67"/>
  <c r="C16" i="79"/>
  <c r="G1" i="73"/>
  <c r="O16" i="1" l="1"/>
  <c r="E65" i="39"/>
  <c r="F11" i="79"/>
  <c r="M11" i="79"/>
  <c r="J10" i="79" s="1"/>
  <c r="J5" i="79" s="1"/>
  <c r="F28" i="12"/>
  <c r="C34" i="69"/>
  <c r="C35" i="69" s="1"/>
  <c r="I21" i="66"/>
  <c r="D1" i="66" s="1"/>
  <c r="E10" i="66" s="1"/>
  <c r="C29" i="69"/>
  <c r="D27" i="69" s="1"/>
  <c r="C47" i="69"/>
  <c r="D45" i="69" s="1"/>
  <c r="C48" i="11"/>
  <c r="C30" i="11"/>
  <c r="F48" i="68"/>
  <c r="C30" i="68"/>
  <c r="C48" i="68"/>
  <c r="J107" i="43"/>
  <c r="J109" i="43"/>
  <c r="F27" i="68"/>
  <c r="F45" i="68" s="1"/>
  <c r="K102" i="43"/>
  <c r="K105" i="43"/>
  <c r="N109" i="43"/>
  <c r="I106" i="43"/>
  <c r="N105" i="43"/>
  <c r="I104" i="43"/>
  <c r="M16" i="1"/>
  <c r="M106" i="43"/>
  <c r="M109" i="43"/>
  <c r="M104" i="43"/>
  <c r="N102" i="43"/>
  <c r="N103" i="43"/>
  <c r="N106" i="43"/>
  <c r="N107" i="43"/>
  <c r="I109" i="43"/>
  <c r="I102" i="43"/>
  <c r="I103" i="43"/>
  <c r="J104" i="43"/>
  <c r="J103" i="43"/>
  <c r="J106" i="43"/>
  <c r="J105" i="43"/>
  <c r="K103" i="43"/>
  <c r="K107" i="43"/>
  <c r="K106" i="43"/>
  <c r="K104" i="43"/>
  <c r="M102" i="43"/>
  <c r="M103" i="43"/>
  <c r="M105" i="43"/>
  <c r="L109" i="43"/>
  <c r="L105" i="43"/>
  <c r="C104" i="43"/>
  <c r="C109" i="43"/>
  <c r="C105" i="43"/>
  <c r="C102" i="43"/>
  <c r="B115" i="43"/>
  <c r="C115" i="43" s="1"/>
  <c r="D116" i="43"/>
  <c r="E116" i="43" s="1"/>
  <c r="F116" i="43" s="1"/>
  <c r="G116" i="43" s="1"/>
  <c r="H116" i="43" s="1"/>
  <c r="I116" i="43"/>
  <c r="J116" i="43" s="1"/>
  <c r="K116" i="43" s="1"/>
  <c r="L116" i="43" s="1"/>
  <c r="M116" i="43" s="1"/>
  <c r="I118" i="43"/>
  <c r="J118" i="43" s="1"/>
  <c r="K118" i="43" s="1"/>
  <c r="L118" i="43" s="1"/>
  <c r="M118" i="43" s="1"/>
  <c r="B116" i="43"/>
  <c r="C116" i="43" s="1"/>
  <c r="B117" i="43"/>
  <c r="C117" i="43" s="1"/>
  <c r="D115" i="43"/>
  <c r="E115" i="43" s="1"/>
  <c r="F115" i="43" s="1"/>
  <c r="G115" i="43" s="1"/>
  <c r="H115" i="43" s="1"/>
  <c r="D109" i="43"/>
  <c r="D104" i="43"/>
  <c r="G105" i="43"/>
  <c r="G103" i="43"/>
  <c r="G109" i="43"/>
  <c r="AC6" i="3"/>
  <c r="H6" i="3"/>
  <c r="N16" i="1"/>
  <c r="F27" i="11"/>
  <c r="K15" i="1"/>
  <c r="K16" i="1" s="1"/>
  <c r="K23" i="1" s="1"/>
  <c r="E30" i="6"/>
  <c r="E58" i="40"/>
  <c r="E63" i="39"/>
  <c r="P12" i="1"/>
  <c r="P16" i="1" s="1"/>
  <c r="C11" i="12" s="1"/>
  <c r="E16" i="6"/>
  <c r="F104" i="43"/>
  <c r="F102" i="43"/>
  <c r="F105" i="43"/>
  <c r="F109" i="43"/>
  <c r="F107" i="43"/>
  <c r="F106" i="43"/>
  <c r="F103" i="43"/>
  <c r="D22" i="43"/>
  <c r="H102" i="43"/>
  <c r="H103" i="43"/>
  <c r="H104" i="43"/>
  <c r="H109" i="43"/>
  <c r="H107" i="43"/>
  <c r="H106" i="43"/>
  <c r="H105" i="43"/>
  <c r="G16" i="1"/>
  <c r="F10" i="40" s="1"/>
  <c r="W39" i="40"/>
  <c r="AC39" i="40"/>
  <c r="W24" i="36"/>
  <c r="AC24" i="36"/>
  <c r="W12" i="36"/>
  <c r="AC12" i="36"/>
  <c r="AA9" i="33"/>
  <c r="S9" i="33"/>
  <c r="AC38" i="40"/>
  <c r="W38" i="40"/>
  <c r="AC23" i="35"/>
  <c r="W23" i="35"/>
  <c r="BA5" i="3"/>
  <c r="E27" i="6" s="1"/>
  <c r="R49" i="33"/>
  <c r="E48" i="33"/>
  <c r="AA7" i="34"/>
  <c r="R49" i="34" s="1"/>
  <c r="S7" i="34"/>
  <c r="AB7" i="34"/>
  <c r="T49" i="34" s="1"/>
  <c r="G49" i="34" s="1"/>
  <c r="U7" i="34"/>
  <c r="AA7" i="21"/>
  <c r="R48" i="21" s="1"/>
  <c r="S7" i="21"/>
  <c r="D47" i="71"/>
  <c r="C48" i="71"/>
  <c r="D52" i="71"/>
  <c r="T52" i="71"/>
  <c r="C15" i="71"/>
  <c r="T16" i="71"/>
  <c r="D16" i="71"/>
  <c r="U16" i="71" s="1"/>
  <c r="B15" i="71"/>
  <c r="B14" i="71" s="1"/>
  <c r="B13" i="71" s="1"/>
  <c r="B12" i="71" s="1"/>
  <c r="S16" i="71"/>
  <c r="E15" i="71"/>
  <c r="E14" i="71" s="1"/>
  <c r="E13" i="71" s="1"/>
  <c r="E12" i="71" s="1"/>
  <c r="V16" i="71"/>
  <c r="Q59" i="71"/>
  <c r="F58" i="71"/>
  <c r="D31" i="71"/>
  <c r="C32" i="71"/>
  <c r="S20" i="71"/>
  <c r="B19" i="71"/>
  <c r="B18" i="71" s="1"/>
  <c r="D23" i="71"/>
  <c r="C24" i="71"/>
  <c r="T36" i="71"/>
  <c r="D36" i="71"/>
  <c r="E58" i="71"/>
  <c r="P59" i="71"/>
  <c r="T44" i="71"/>
  <c r="D44" i="71"/>
  <c r="AZ5" i="3"/>
  <c r="U39" i="40"/>
  <c r="AB39" i="40"/>
  <c r="AB24" i="36"/>
  <c r="U24" i="36"/>
  <c r="U12" i="36"/>
  <c r="AB12" i="36"/>
  <c r="AB9" i="33"/>
  <c r="U9" i="33"/>
  <c r="AB38" i="40"/>
  <c r="U38" i="40"/>
  <c r="AA38" i="40"/>
  <c r="S38" i="40"/>
  <c r="U23" i="35"/>
  <c r="AB23" i="35"/>
  <c r="AZ550" i="3"/>
  <c r="J52" i="37"/>
  <c r="I48" i="35"/>
  <c r="G46" i="36"/>
  <c r="AB7" i="21"/>
  <c r="T48" i="21" s="1"/>
  <c r="G48" i="21" s="1"/>
  <c r="U7" i="21"/>
  <c r="AC7" i="34"/>
  <c r="V49" i="34" s="1"/>
  <c r="I49" i="34" s="1"/>
  <c r="W7" i="34"/>
  <c r="W7" i="21"/>
  <c r="AC7" i="21"/>
  <c r="V48" i="21" s="1"/>
  <c r="I48" i="21" s="1"/>
  <c r="H68" i="39"/>
  <c r="G70" i="39"/>
  <c r="G65" i="40"/>
  <c r="H63" i="40"/>
  <c r="M17" i="67"/>
  <c r="M17" i="15"/>
  <c r="F59" i="15"/>
  <c r="P24" i="43"/>
  <c r="B66" i="40" s="1"/>
  <c r="P21" i="43"/>
  <c r="C49" i="67"/>
  <c r="P25" i="43"/>
  <c r="P23" i="43"/>
  <c r="B71" i="39" s="1"/>
  <c r="C49" i="15"/>
  <c r="C15" i="67"/>
  <c r="C18" i="67"/>
  <c r="B40" i="1"/>
  <c r="F24" i="79" s="1"/>
  <c r="J18" i="15"/>
  <c r="C32" i="67"/>
  <c r="Q60" i="67"/>
  <c r="Q73" i="67"/>
  <c r="M28" i="43"/>
  <c r="N28" i="43"/>
  <c r="G20" i="43" s="1"/>
  <c r="O28" i="43"/>
  <c r="P28" i="43"/>
  <c r="M11" i="67"/>
  <c r="J10" i="67" s="1"/>
  <c r="J5" i="67" s="1"/>
  <c r="F11" i="15"/>
  <c r="M11" i="15"/>
  <c r="J10" i="15" s="1"/>
  <c r="J5" i="15" s="1"/>
  <c r="F11" i="67"/>
  <c r="J18" i="67"/>
  <c r="C32" i="15"/>
  <c r="Q60" i="15"/>
  <c r="Q73" i="15"/>
  <c r="Q61" i="67"/>
  <c r="Q74" i="67"/>
  <c r="E66" i="39" l="1"/>
  <c r="C24" i="79"/>
  <c r="J26" i="79"/>
  <c r="J24" i="79"/>
  <c r="C53" i="79"/>
  <c r="C48" i="79" s="1"/>
  <c r="C10" i="79"/>
  <c r="C5" i="79" s="1"/>
  <c r="C20" i="43"/>
  <c r="E41" i="43"/>
  <c r="C41" i="43" s="1"/>
  <c r="C38" i="69"/>
  <c r="C47" i="68"/>
  <c r="D45" i="68" s="1"/>
  <c r="B21" i="1"/>
  <c r="C29" i="68" s="1"/>
  <c r="D27" i="68" s="1"/>
  <c r="E6" i="3"/>
  <c r="L16" i="1"/>
  <c r="D113" i="43"/>
  <c r="S6" i="43"/>
  <c r="S2" i="43"/>
  <c r="S4" i="43"/>
  <c r="S5" i="43"/>
  <c r="C23" i="43"/>
  <c r="C21" i="43" s="1"/>
  <c r="S3" i="43"/>
  <c r="S7" i="43"/>
  <c r="C47" i="11"/>
  <c r="D45" i="11" s="1"/>
  <c r="J10" i="40"/>
  <c r="H10" i="40"/>
  <c r="U10" i="40" s="1"/>
  <c r="H10" i="39"/>
  <c r="AA10" i="40"/>
  <c r="S10" i="40"/>
  <c r="J10" i="39"/>
  <c r="W10" i="39" s="1"/>
  <c r="F10" i="39"/>
  <c r="S10" i="39" s="1"/>
  <c r="AC10" i="39"/>
  <c r="I68" i="39"/>
  <c r="H70" i="39"/>
  <c r="I53" i="34"/>
  <c r="J53" i="34" s="1"/>
  <c r="G52" i="21"/>
  <c r="H52" i="21" s="1"/>
  <c r="G53" i="21"/>
  <c r="H53" i="21" s="1"/>
  <c r="H46" i="36"/>
  <c r="J48" i="35"/>
  <c r="K48" i="35" s="1"/>
  <c r="L48" i="35" s="1"/>
  <c r="M48" i="35" s="1"/>
  <c r="N48" i="35" s="1"/>
  <c r="O48" i="35" s="1"/>
  <c r="H7" i="35"/>
  <c r="K52" i="37"/>
  <c r="L52" i="37" s="1"/>
  <c r="M52" i="37" s="1"/>
  <c r="N52" i="37" s="1"/>
  <c r="O52" i="37" s="1"/>
  <c r="F7" i="37"/>
  <c r="J7" i="37"/>
  <c r="AY6" i="3"/>
  <c r="E3" i="6"/>
  <c r="P58" i="71"/>
  <c r="P57" i="71"/>
  <c r="E11" i="71"/>
  <c r="E10" i="71" s="1"/>
  <c r="E9" i="71" s="1"/>
  <c r="E8" i="71" s="1"/>
  <c r="V12" i="71"/>
  <c r="B11" i="71"/>
  <c r="B10" i="71" s="1"/>
  <c r="B9" i="71" s="1"/>
  <c r="B8" i="71" s="1"/>
  <c r="S12" i="71"/>
  <c r="E53" i="33"/>
  <c r="F53" i="33" s="1"/>
  <c r="E52" i="33"/>
  <c r="F52" i="33" s="1"/>
  <c r="I53" i="33"/>
  <c r="J53" i="33" s="1"/>
  <c r="K20" i="6"/>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I63" i="40"/>
  <c r="H65" i="40"/>
  <c r="I52" i="21"/>
  <c r="J52" i="21" s="1"/>
  <c r="F7" i="35"/>
  <c r="H7" i="37"/>
  <c r="T24" i="71"/>
  <c r="D24" i="71"/>
  <c r="T32" i="71"/>
  <c r="D32" i="71"/>
  <c r="Q58" i="71"/>
  <c r="Q57" i="71"/>
  <c r="C14" i="71"/>
  <c r="D15" i="71"/>
  <c r="D48" i="71"/>
  <c r="T48" i="71"/>
  <c r="R49" i="21"/>
  <c r="E48" i="21"/>
  <c r="G53" i="34"/>
  <c r="H53" i="34" s="1"/>
  <c r="G54" i="34"/>
  <c r="H54" i="34" s="1"/>
  <c r="R50" i="34"/>
  <c r="E49" i="34"/>
  <c r="C48" i="33"/>
  <c r="C49" i="33"/>
  <c r="C15" i="12"/>
  <c r="C12" i="12"/>
  <c r="J7" i="35"/>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66" i="79" l="1"/>
  <c r="C60" i="79"/>
  <c r="C38" i="79"/>
  <c r="M20" i="6"/>
  <c r="I20" i="6" s="1"/>
  <c r="S20" i="6" s="1"/>
  <c r="S7" i="1"/>
  <c r="T3" i="43"/>
  <c r="V3" i="43" s="1"/>
  <c r="T5" i="43"/>
  <c r="V5" i="43" s="1"/>
  <c r="T2" i="43"/>
  <c r="V2" i="43" s="1"/>
  <c r="C29" i="11"/>
  <c r="D27" i="11" s="1"/>
  <c r="T7" i="43"/>
  <c r="V7" i="43" s="1"/>
  <c r="C29" i="43"/>
  <c r="C30" i="43" s="1"/>
  <c r="E30" i="43" s="1"/>
  <c r="T4" i="43"/>
  <c r="V4" i="43" s="1"/>
  <c r="T6" i="43"/>
  <c r="V6" i="43" s="1"/>
  <c r="C39" i="43"/>
  <c r="C38" i="43"/>
  <c r="C36" i="43"/>
  <c r="C33" i="43"/>
  <c r="C35" i="43"/>
  <c r="T9" i="43"/>
  <c r="V9" i="43" s="1"/>
  <c r="C37" i="43"/>
  <c r="C34" i="43"/>
  <c r="T16" i="43"/>
  <c r="V16" i="43" s="1"/>
  <c r="T14" i="43"/>
  <c r="V14" i="43" s="1"/>
  <c r="T11" i="43"/>
  <c r="V11" i="43" s="1"/>
  <c r="T10" i="43"/>
  <c r="V10" i="43" s="1"/>
  <c r="T12" i="43"/>
  <c r="V12" i="43" s="1"/>
  <c r="T8" i="43"/>
  <c r="V8" i="43" s="1"/>
  <c r="T13" i="43"/>
  <c r="V13" i="43" s="1"/>
  <c r="T15" i="43"/>
  <c r="V15" i="43" s="1"/>
  <c r="E6" i="70"/>
  <c r="B23" i="1"/>
  <c r="C26" i="68" s="1"/>
  <c r="D22" i="68" s="1"/>
  <c r="B24" i="1"/>
  <c r="C26" i="12" s="1"/>
  <c r="D25" i="12" s="1"/>
  <c r="AQ6" i="1"/>
  <c r="T6" i="1"/>
  <c r="S16" i="1"/>
  <c r="AR6" i="1"/>
  <c r="E29" i="43"/>
  <c r="AB10" i="40"/>
  <c r="AB10" i="39"/>
  <c r="U10" i="39"/>
  <c r="AC10" i="40"/>
  <c r="W10" i="40"/>
  <c r="AA10" i="39"/>
  <c r="E54" i="34"/>
  <c r="F54" i="34" s="1"/>
  <c r="E53" i="34"/>
  <c r="F53" i="34" s="1"/>
  <c r="E53" i="21"/>
  <c r="F53" i="21" s="1"/>
  <c r="E52" i="21"/>
  <c r="F52" i="21" s="1"/>
  <c r="D14" i="71"/>
  <c r="C13" i="71"/>
  <c r="AA7" i="35"/>
  <c r="R38" i="35" s="1"/>
  <c r="S7" i="35"/>
  <c r="AC7" i="35"/>
  <c r="V38" i="35" s="1"/>
  <c r="I38" i="35" s="1"/>
  <c r="W7" i="35"/>
  <c r="C49" i="34"/>
  <c r="C50" i="34"/>
  <c r="C48" i="21"/>
  <c r="C49" i="21"/>
  <c r="U7" i="37"/>
  <c r="AB7" i="37"/>
  <c r="T42" i="37" s="1"/>
  <c r="G42" i="37" s="1"/>
  <c r="I53" i="21"/>
  <c r="J53" i="21" s="1"/>
  <c r="I65" i="40"/>
  <c r="J63" i="40"/>
  <c r="D3" i="34"/>
  <c r="D3" i="33"/>
  <c r="B2" i="33" s="1"/>
  <c r="B3" i="33" s="1"/>
  <c r="E6" i="6"/>
  <c r="D37" i="11"/>
  <c r="D14" i="12"/>
  <c r="M18" i="9"/>
  <c r="B118" i="9" s="1"/>
  <c r="B14" i="74" s="1"/>
  <c r="D3" i="21"/>
  <c r="D19" i="11"/>
  <c r="C19" i="11" s="1"/>
  <c r="C17" i="4"/>
  <c r="B4" i="52" s="1"/>
  <c r="B43" i="72" s="1"/>
  <c r="L18" i="9"/>
  <c r="D3" i="37"/>
  <c r="AC7" i="37"/>
  <c r="V42" i="37" s="1"/>
  <c r="I42" i="37" s="1"/>
  <c r="W7" i="37"/>
  <c r="I46" i="36"/>
  <c r="I70" i="39"/>
  <c r="J68" i="39"/>
  <c r="M19" i="6"/>
  <c r="K27" i="6"/>
  <c r="B7" i="71"/>
  <c r="B6" i="71" s="1"/>
  <c r="B5" i="71" s="1"/>
  <c r="S8" i="71"/>
  <c r="E7" i="71"/>
  <c r="E6" i="71" s="1"/>
  <c r="E5" i="71" s="1"/>
  <c r="V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4" i="3"/>
  <c r="AY338" i="3"/>
  <c r="AY490" i="3"/>
  <c r="AY448" i="3"/>
  <c r="AY429" i="3"/>
  <c r="BD6" i="3"/>
  <c r="AY511" i="3"/>
  <c r="AY586" i="3"/>
  <c r="AY367" i="3"/>
  <c r="AY323" i="3"/>
  <c r="AY306" i="3"/>
  <c r="AY459" i="3"/>
  <c r="AY416" i="3"/>
  <c r="AY550" i="3"/>
  <c r="BC6" i="3"/>
  <c r="AY504" i="3"/>
  <c r="AY498" i="3"/>
  <c r="S7" i="37"/>
  <c r="AA7" i="37"/>
  <c r="R42" i="37" s="1"/>
  <c r="AB7" i="35"/>
  <c r="T38" i="35" s="1"/>
  <c r="G38" i="35" s="1"/>
  <c r="U7" i="35"/>
  <c r="I54" i="34"/>
  <c r="J54" i="34" s="1"/>
  <c r="F41" i="68"/>
  <c r="C60" i="15"/>
  <c r="C66" i="15"/>
  <c r="C26" i="69"/>
  <c r="D22" i="69" s="1"/>
  <c r="C44" i="69"/>
  <c r="D41" i="69" s="1"/>
  <c r="C44" i="68"/>
  <c r="D41" i="68" s="1"/>
  <c r="C44" i="11"/>
  <c r="D41" i="11" s="1"/>
  <c r="C24" i="11"/>
  <c r="C38" i="67"/>
  <c r="C38" i="15"/>
  <c r="C66" i="67"/>
  <c r="C60" i="67"/>
  <c r="C23" i="67"/>
  <c r="C29" i="67" s="1"/>
  <c r="C17" i="79"/>
  <c r="C14" i="15"/>
  <c r="C26" i="11" l="1"/>
  <c r="D22" i="11" s="1"/>
  <c r="C23" i="11"/>
  <c r="E7" i="70"/>
  <c r="E2" i="70" s="1"/>
  <c r="J53" i="79"/>
  <c r="M59" i="79"/>
  <c r="L59" i="79" s="1"/>
  <c r="AQ7" i="1"/>
  <c r="AR7" i="1"/>
  <c r="T7" i="1"/>
  <c r="E37" i="43"/>
  <c r="G37" i="43"/>
  <c r="I37" i="43" s="1"/>
  <c r="E35" i="43"/>
  <c r="G35" i="43"/>
  <c r="I35" i="43" s="1"/>
  <c r="E36" i="43"/>
  <c r="G36" i="43"/>
  <c r="I36" i="43" s="1"/>
  <c r="E38" i="43"/>
  <c r="G38" i="43"/>
  <c r="I38" i="43" s="1"/>
  <c r="G34" i="43"/>
  <c r="I34" i="43" s="1"/>
  <c r="E34" i="43"/>
  <c r="G33" i="43"/>
  <c r="I33" i="43" s="1"/>
  <c r="E33" i="43"/>
  <c r="E39" i="43"/>
  <c r="G39" i="43"/>
  <c r="I39" i="43" s="1"/>
  <c r="C18" i="15"/>
  <c r="C15" i="15"/>
  <c r="F11" i="12"/>
  <c r="C14" i="12" s="1"/>
  <c r="C16" i="12" s="1"/>
  <c r="F34" i="11"/>
  <c r="F34" i="68"/>
  <c r="J53" i="15"/>
  <c r="J53" i="67"/>
  <c r="M59" i="15"/>
  <c r="L59" i="15" s="1"/>
  <c r="M59" i="67"/>
  <c r="C29" i="12"/>
  <c r="D28" i="12" s="1"/>
  <c r="F50" i="68"/>
  <c r="F50" i="11"/>
  <c r="F50" i="69"/>
  <c r="C37" i="11"/>
  <c r="G42" i="35"/>
  <c r="H42" i="35" s="1"/>
  <c r="G43" i="35"/>
  <c r="H43" i="35" s="1"/>
  <c r="J70" i="39"/>
  <c r="K68" i="39"/>
  <c r="C20" i="11"/>
  <c r="C25" i="11" s="1"/>
  <c r="K63" i="40"/>
  <c r="J65" i="40"/>
  <c r="I42" i="35"/>
  <c r="J42" i="35" s="1"/>
  <c r="R39" i="35"/>
  <c r="E38" i="35"/>
  <c r="I43" i="35" s="1"/>
  <c r="J43" i="35" s="1"/>
  <c r="R43" i="37"/>
  <c r="E42" i="37"/>
  <c r="H20" i="6"/>
  <c r="D25" i="6"/>
  <c r="D15" i="6"/>
  <c r="D22" i="6"/>
  <c r="D21" i="6"/>
  <c r="D24" i="6"/>
  <c r="D20" i="6"/>
  <c r="R20" i="6" s="1"/>
  <c r="R7" i="1" s="1"/>
  <c r="D6" i="6"/>
  <c r="D9" i="6"/>
  <c r="D10" i="6"/>
  <c r="L19" i="9"/>
  <c r="D29" i="6"/>
  <c r="H25" i="6"/>
  <c r="H22" i="6"/>
  <c r="H21" i="6"/>
  <c r="H24" i="6"/>
  <c r="D19" i="6"/>
  <c r="C18" i="4"/>
  <c r="D23" i="6"/>
  <c r="D5" i="6"/>
  <c r="D11" i="6"/>
  <c r="D28" i="6"/>
  <c r="D30" i="6" s="1"/>
  <c r="H26" i="6"/>
  <c r="M19" i="9"/>
  <c r="C118" i="9" s="1"/>
  <c r="C14" i="74" s="1"/>
  <c r="D26" i="6"/>
  <c r="R26" i="6" s="1"/>
  <c r="D8" i="6"/>
  <c r="D14" i="6"/>
  <c r="D12" i="6"/>
  <c r="D13" i="6"/>
  <c r="E61" i="40"/>
  <c r="H23" i="6"/>
  <c r="M27" i="6"/>
  <c r="I19" i="6"/>
  <c r="H19" i="6" s="1"/>
  <c r="J46" i="36"/>
  <c r="I47" i="37"/>
  <c r="J47" i="37" s="1"/>
  <c r="I46" i="37"/>
  <c r="J46" i="37" s="1"/>
  <c r="D17" i="12"/>
  <c r="C17" i="12" s="1"/>
  <c r="D10" i="11"/>
  <c r="C10" i="11" s="1"/>
  <c r="D20" i="12"/>
  <c r="C20" i="12" s="1"/>
  <c r="D10" i="69"/>
  <c r="D10" i="68"/>
  <c r="G47" i="37"/>
  <c r="H47" i="37" s="1"/>
  <c r="G46" i="37"/>
  <c r="H46" i="37" s="1"/>
  <c r="B2" i="21"/>
  <c r="B3" i="21" s="1"/>
  <c r="B2" i="34"/>
  <c r="B3" i="34" s="1"/>
  <c r="C12" i="71"/>
  <c r="D13" i="71"/>
  <c r="J59" i="15"/>
  <c r="C36" i="67"/>
  <c r="C33" i="67"/>
  <c r="C31" i="67" s="1"/>
  <c r="J14" i="67"/>
  <c r="C13" i="67"/>
  <c r="J19" i="67"/>
  <c r="J17" i="67" s="1"/>
  <c r="C57" i="67"/>
  <c r="Q49" i="67"/>
  <c r="J59" i="67"/>
  <c r="C14" i="79"/>
  <c r="C22" i="11" l="1"/>
  <c r="C15" i="79"/>
  <c r="C18" i="79"/>
  <c r="T16" i="1"/>
  <c r="Q52" i="79"/>
  <c r="F1" i="79"/>
  <c r="Q61" i="79"/>
  <c r="Q74" i="79"/>
  <c r="C27" i="43"/>
  <c r="C26" i="43"/>
  <c r="B2" i="43" s="1"/>
  <c r="C19" i="15"/>
  <c r="C20" i="15" s="1"/>
  <c r="C26" i="15" s="1"/>
  <c r="Q61" i="15"/>
  <c r="Q74" i="15"/>
  <c r="J60" i="67"/>
  <c r="L46" i="67" s="1"/>
  <c r="J60" i="15"/>
  <c r="Q48" i="15" s="1"/>
  <c r="L56" i="15"/>
  <c r="Q52" i="15"/>
  <c r="F1" i="15"/>
  <c r="C36" i="11"/>
  <c r="C34" i="11"/>
  <c r="Q52" i="67"/>
  <c r="F1" i="67"/>
  <c r="C36" i="68"/>
  <c r="C34" i="68"/>
  <c r="H27" i="6"/>
  <c r="D16" i="6"/>
  <c r="R25" i="6"/>
  <c r="C28" i="11"/>
  <c r="C27" i="11" s="1"/>
  <c r="C10" i="68"/>
  <c r="B29" i="1" s="1"/>
  <c r="D19" i="68"/>
  <c r="S19" i="6"/>
  <c r="S27" i="6" s="1"/>
  <c r="I27" i="6"/>
  <c r="R23" i="6"/>
  <c r="D27" i="6"/>
  <c r="D31" i="6" s="1"/>
  <c r="R19" i="6"/>
  <c r="R21" i="6"/>
  <c r="C42" i="37"/>
  <c r="C43" i="37"/>
  <c r="B2" i="37" s="1"/>
  <c r="B3" i="37" s="1"/>
  <c r="C39" i="35"/>
  <c r="B2" i="35" s="1"/>
  <c r="B3" i="35" s="1"/>
  <c r="C38" i="35"/>
  <c r="L63" i="40"/>
  <c r="K65" i="40"/>
  <c r="C11" i="71"/>
  <c r="T12" i="71"/>
  <c r="D12" i="71"/>
  <c r="U12" i="71" s="1"/>
  <c r="C10" i="69"/>
  <c r="C8" i="69" s="1"/>
  <c r="C5" i="69" s="1"/>
  <c r="D19" i="69"/>
  <c r="K46" i="36"/>
  <c r="A7" i="51"/>
  <c r="B7" i="72" s="1"/>
  <c r="C4" i="52"/>
  <c r="B45" i="72" s="1"/>
  <c r="A10" i="51"/>
  <c r="B9" i="72" s="1"/>
  <c r="R24" i="6"/>
  <c r="R22" i="6"/>
  <c r="E47" i="37"/>
  <c r="F47" i="37" s="1"/>
  <c r="E46" i="37"/>
  <c r="F46" i="37" s="1"/>
  <c r="E43" i="35"/>
  <c r="F43" i="35" s="1"/>
  <c r="E42" i="35"/>
  <c r="F42" i="35" s="1"/>
  <c r="K70" i="39"/>
  <c r="L68" i="39"/>
  <c r="J13" i="67"/>
  <c r="J23" i="67" s="1"/>
  <c r="J22" i="67"/>
  <c r="C61" i="67"/>
  <c r="C59" i="67" s="1"/>
  <c r="C64" i="67"/>
  <c r="C56" i="67"/>
  <c r="C65" i="67" s="1"/>
  <c r="C75" i="67"/>
  <c r="Q70" i="67"/>
  <c r="C37" i="67"/>
  <c r="C30" i="67" s="1"/>
  <c r="C39" i="67" s="1"/>
  <c r="B6" i="76"/>
  <c r="AE7" i="1"/>
  <c r="E6" i="76"/>
  <c r="AE6" i="1"/>
  <c r="L51" i="67"/>
  <c r="C8" i="68" l="1"/>
  <c r="C31" i="11"/>
  <c r="C19" i="79"/>
  <c r="C20" i="79" s="1"/>
  <c r="C26" i="79" s="1"/>
  <c r="E2" i="76"/>
  <c r="B2" i="76"/>
  <c r="B3" i="43"/>
  <c r="C23" i="15"/>
  <c r="C29" i="15" s="1"/>
  <c r="Q48" i="67"/>
  <c r="C18" i="12"/>
  <c r="C21" i="12" s="1"/>
  <c r="C22" i="12" s="1"/>
  <c r="C38" i="68"/>
  <c r="C35" i="68"/>
  <c r="C38" i="11"/>
  <c r="C35" i="11"/>
  <c r="R27" i="6"/>
  <c r="R6" i="1"/>
  <c r="L70" i="39"/>
  <c r="M68" i="39"/>
  <c r="L46" i="36"/>
  <c r="C23" i="69"/>
  <c r="C19" i="68"/>
  <c r="D37" i="68"/>
  <c r="C37" i="68" s="1"/>
  <c r="C19" i="69"/>
  <c r="C24" i="69" s="1"/>
  <c r="D37" i="69"/>
  <c r="C37" i="69" s="1"/>
  <c r="C33" i="69" s="1"/>
  <c r="C10" i="71"/>
  <c r="D11" i="71"/>
  <c r="M63" i="40"/>
  <c r="L65" i="40"/>
  <c r="I6" i="6"/>
  <c r="I5" i="6"/>
  <c r="J16" i="67"/>
  <c r="J25" i="67" s="1"/>
  <c r="C80" i="67"/>
  <c r="C79" i="67" s="1"/>
  <c r="C58" i="67"/>
  <c r="C67" i="67" s="1"/>
  <c r="C68" i="67" s="1"/>
  <c r="Q69" i="67"/>
  <c r="Q68" i="67" s="1"/>
  <c r="C40" i="67"/>
  <c r="F35" i="15"/>
  <c r="M21" i="15"/>
  <c r="F41" i="15"/>
  <c r="F41" i="79"/>
  <c r="M21" i="79"/>
  <c r="F35" i="79"/>
  <c r="F69" i="79" l="1"/>
  <c r="J29" i="79"/>
  <c r="C23" i="79"/>
  <c r="C29" i="79" s="1"/>
  <c r="C57" i="79" s="1"/>
  <c r="F63" i="79"/>
  <c r="C62" i="79" s="1"/>
  <c r="C34" i="79"/>
  <c r="J20" i="79"/>
  <c r="C33" i="11"/>
  <c r="C39" i="11" s="1"/>
  <c r="C43" i="11" s="1"/>
  <c r="B3" i="76"/>
  <c r="F69" i="15"/>
  <c r="J29" i="15"/>
  <c r="C57" i="15"/>
  <c r="C33" i="15"/>
  <c r="J14" i="15"/>
  <c r="C36" i="15"/>
  <c r="C13" i="15"/>
  <c r="J19" i="15"/>
  <c r="Q49" i="15"/>
  <c r="F63" i="15"/>
  <c r="C62" i="15" s="1"/>
  <c r="C34" i="15"/>
  <c r="J20" i="15"/>
  <c r="J17" i="15" s="1"/>
  <c r="R16" i="1"/>
  <c r="C33" i="68"/>
  <c r="C42" i="68" s="1"/>
  <c r="C42" i="11"/>
  <c r="M70" i="39"/>
  <c r="N68" i="39"/>
  <c r="C39" i="69"/>
  <c r="C43" i="69" s="1"/>
  <c r="C42" i="69"/>
  <c r="N63" i="40"/>
  <c r="M65" i="40"/>
  <c r="C9" i="71"/>
  <c r="D10" i="71"/>
  <c r="C24" i="68"/>
  <c r="C20" i="69"/>
  <c r="M46" i="36"/>
  <c r="Q67" i="67"/>
  <c r="L57" i="67"/>
  <c r="L60" i="67" s="1"/>
  <c r="C45" i="67"/>
  <c r="C46" i="67" s="1"/>
  <c r="C71" i="67"/>
  <c r="C43" i="67"/>
  <c r="D2" i="67"/>
  <c r="Q47" i="67"/>
  <c r="Q53" i="67" s="1"/>
  <c r="Q56" i="67"/>
  <c r="Q65" i="67"/>
  <c r="C83" i="67"/>
  <c r="C82" i="67" s="1"/>
  <c r="C33" i="79" l="1"/>
  <c r="C31" i="79" s="1"/>
  <c r="J14" i="79"/>
  <c r="J13" i="79" s="1"/>
  <c r="J23" i="79" s="1"/>
  <c r="J19" i="79"/>
  <c r="J17" i="79" s="1"/>
  <c r="Q49" i="79"/>
  <c r="C36" i="79"/>
  <c r="C13" i="79"/>
  <c r="C37" i="79" s="1"/>
  <c r="C64" i="79"/>
  <c r="C61" i="79"/>
  <c r="C59" i="79" s="1"/>
  <c r="C31" i="15"/>
  <c r="C75" i="15"/>
  <c r="C56" i="15"/>
  <c r="C65" i="15" s="1"/>
  <c r="C37" i="15"/>
  <c r="Q70" i="15"/>
  <c r="J22" i="15"/>
  <c r="J13" i="15"/>
  <c r="J23" i="15" s="1"/>
  <c r="C64" i="15"/>
  <c r="C61" i="15"/>
  <c r="C59" i="15" s="1"/>
  <c r="C39" i="68"/>
  <c r="C46" i="68" s="1"/>
  <c r="C45" i="68" s="1"/>
  <c r="L57" i="15"/>
  <c r="L60" i="15" s="1"/>
  <c r="L46" i="15" s="1"/>
  <c r="C41" i="11"/>
  <c r="C46" i="11"/>
  <c r="C45" i="11" s="1"/>
  <c r="C41" i="69"/>
  <c r="C46" i="69"/>
  <c r="C45" i="69" s="1"/>
  <c r="C28" i="69"/>
  <c r="C27" i="69" s="1"/>
  <c r="C25" i="69"/>
  <c r="C22" i="69" s="1"/>
  <c r="N46" i="36"/>
  <c r="C8" i="71"/>
  <c r="D9" i="71"/>
  <c r="O63" i="40"/>
  <c r="O65" i="40" s="1"/>
  <c r="N65" i="40"/>
  <c r="O68" i="39"/>
  <c r="O70" i="39" s="1"/>
  <c r="N70" i="39"/>
  <c r="Q66" i="67"/>
  <c r="Q75" i="67" s="1"/>
  <c r="Q57" i="67"/>
  <c r="Q62" i="67" s="1"/>
  <c r="B2" i="67"/>
  <c r="B3" i="67"/>
  <c r="C75" i="79" l="1"/>
  <c r="J22" i="79"/>
  <c r="Q70" i="79"/>
  <c r="J16" i="79"/>
  <c r="J25" i="79" s="1"/>
  <c r="C56" i="79"/>
  <c r="C65" i="79" s="1"/>
  <c r="C58" i="79" s="1"/>
  <c r="C67" i="79" s="1"/>
  <c r="C68" i="79" s="1"/>
  <c r="C71" i="79" s="1"/>
  <c r="C30" i="79"/>
  <c r="C39" i="79" s="1"/>
  <c r="C58" i="15"/>
  <c r="C67" i="15" s="1"/>
  <c r="C68" i="15" s="1"/>
  <c r="C71" i="15" s="1"/>
  <c r="C30" i="15"/>
  <c r="C39" i="15" s="1"/>
  <c r="C40" i="15" s="1"/>
  <c r="J16" i="15"/>
  <c r="J25" i="15" s="1"/>
  <c r="C43" i="68"/>
  <c r="C41" i="68" s="1"/>
  <c r="C49" i="68" s="1"/>
  <c r="C51" i="68" s="1"/>
  <c r="Q57" i="15"/>
  <c r="Q66" i="15"/>
  <c r="C49" i="11"/>
  <c r="C51" i="11" s="1"/>
  <c r="C52" i="11" s="1"/>
  <c r="B2" i="11" s="1"/>
  <c r="B3" i="11" s="1"/>
  <c r="C49" i="69"/>
  <c r="C51" i="69" s="1"/>
  <c r="C31" i="69"/>
  <c r="F7" i="39"/>
  <c r="H7" i="39"/>
  <c r="J7" i="39"/>
  <c r="J7" i="40"/>
  <c r="F7" i="40"/>
  <c r="H7" i="40"/>
  <c r="C7" i="71"/>
  <c r="T8" i="71"/>
  <c r="D8" i="71"/>
  <c r="U8" i="71" s="1"/>
  <c r="O46" i="36"/>
  <c r="H7" i="36"/>
  <c r="L51" i="79"/>
  <c r="Q67" i="79" l="1"/>
  <c r="Q69" i="79"/>
  <c r="Q68" i="79" s="1"/>
  <c r="C80" i="79"/>
  <c r="C79" i="79" s="1"/>
  <c r="C40" i="79"/>
  <c r="C46" i="15"/>
  <c r="Q65" i="15"/>
  <c r="Q75" i="15" s="1"/>
  <c r="C80" i="15"/>
  <c r="C79" i="15" s="1"/>
  <c r="C83" i="15"/>
  <c r="C82" i="15" s="1"/>
  <c r="Q69" i="15"/>
  <c r="Q68" i="15" s="1"/>
  <c r="Q56" i="15"/>
  <c r="Q62" i="15" s="1"/>
  <c r="C43" i="15"/>
  <c r="Q47" i="15"/>
  <c r="Q53" i="15" s="1"/>
  <c r="B2" i="15"/>
  <c r="C56" i="11"/>
  <c r="C57" i="11" s="1"/>
  <c r="C52" i="69"/>
  <c r="B2" i="69" s="1"/>
  <c r="B3" i="69" s="1"/>
  <c r="U7" i="40"/>
  <c r="AB7" i="40"/>
  <c r="T42" i="40" s="1"/>
  <c r="G42" i="40" s="1"/>
  <c r="J7" i="36"/>
  <c r="F7" i="36"/>
  <c r="C6" i="71"/>
  <c r="D7" i="71"/>
  <c r="AA7" i="40"/>
  <c r="R42" i="40" s="1"/>
  <c r="S7" i="40"/>
  <c r="W7" i="39"/>
  <c r="AC7" i="39"/>
  <c r="V47" i="39" s="1"/>
  <c r="I47" i="39" s="1"/>
  <c r="S7" i="39"/>
  <c r="AA7" i="39"/>
  <c r="R47" i="39" s="1"/>
  <c r="AB7" i="36"/>
  <c r="T36" i="36" s="1"/>
  <c r="G36" i="36" s="1"/>
  <c r="U7" i="36"/>
  <c r="AC7" i="40"/>
  <c r="V42" i="40" s="1"/>
  <c r="I42" i="40" s="1"/>
  <c r="W7" i="40"/>
  <c r="U7" i="39"/>
  <c r="AB7" i="39"/>
  <c r="T47" i="39" s="1"/>
  <c r="G47" i="39" s="1"/>
  <c r="L51" i="15"/>
  <c r="AO6" i="1"/>
  <c r="Q47" i="79" l="1"/>
  <c r="Q53" i="79" s="1"/>
  <c r="Q56" i="79"/>
  <c r="Q62" i="79" s="1"/>
  <c r="B2" i="79"/>
  <c r="C46" i="79"/>
  <c r="Q65" i="79"/>
  <c r="Q75" i="79" s="1"/>
  <c r="C43" i="79"/>
  <c r="C83" i="79"/>
  <c r="C82" i="79" s="1"/>
  <c r="Q67" i="15"/>
  <c r="B6" i="70"/>
  <c r="C8" i="12"/>
  <c r="L6" i="12" s="1"/>
  <c r="B3" i="15"/>
  <c r="C6" i="12" s="1"/>
  <c r="C57" i="69"/>
  <c r="C56" i="69" s="1"/>
  <c r="G40" i="36"/>
  <c r="H40" i="36" s="1"/>
  <c r="R43" i="40"/>
  <c r="E42" i="40"/>
  <c r="C5" i="71"/>
  <c r="D6" i="71"/>
  <c r="W7" i="36"/>
  <c r="AC7" i="36"/>
  <c r="V36" i="36" s="1"/>
  <c r="I36" i="36" s="1"/>
  <c r="G47" i="40"/>
  <c r="H47" i="40" s="1"/>
  <c r="G46" i="40"/>
  <c r="H46" i="40" s="1"/>
  <c r="I46" i="40"/>
  <c r="J46" i="40" s="1"/>
  <c r="I47" i="40"/>
  <c r="J47" i="40" s="1"/>
  <c r="G51" i="39"/>
  <c r="H51" i="39" s="1"/>
  <c r="G52" i="39"/>
  <c r="H52" i="39" s="1"/>
  <c r="R48" i="39"/>
  <c r="E47" i="39"/>
  <c r="I52" i="39" s="1"/>
  <c r="J52" i="39" s="1"/>
  <c r="I51" i="39"/>
  <c r="J51" i="39" s="1"/>
  <c r="AA7" i="36"/>
  <c r="R36" i="36" s="1"/>
  <c r="S7" i="36"/>
  <c r="AO7" i="1"/>
  <c r="B7" i="70" l="1"/>
  <c r="B2" i="70" s="1"/>
  <c r="B3" i="70" s="1"/>
  <c r="C4" i="12"/>
  <c r="B3" i="79"/>
  <c r="D6" i="12" s="1"/>
  <c r="E52" i="39"/>
  <c r="F52" i="39" s="1"/>
  <c r="E51" i="39"/>
  <c r="F51" i="39" s="1"/>
  <c r="I40" i="36"/>
  <c r="J40" i="36" s="1"/>
  <c r="E46" i="40"/>
  <c r="F46" i="40" s="1"/>
  <c r="E47" i="40"/>
  <c r="F47" i="40" s="1"/>
  <c r="G41" i="36"/>
  <c r="H41" i="36" s="1"/>
  <c r="R37" i="36"/>
  <c r="E36" i="36"/>
  <c r="C48" i="39"/>
  <c r="C47" i="39"/>
  <c r="D5" i="71"/>
  <c r="M20" i="43"/>
  <c r="C43" i="40"/>
  <c r="C42" i="40"/>
  <c r="C23" i="12" l="1"/>
  <c r="C27" i="12" s="1"/>
  <c r="C25" i="12" s="1"/>
  <c r="C31" i="12"/>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59" i="39"/>
  <c r="F59" i="39" s="1"/>
  <c r="B58" i="39"/>
  <c r="F58" i="39" s="1"/>
  <c r="B60" i="39"/>
  <c r="F60" i="39" s="1"/>
  <c r="B65" i="39"/>
  <c r="F65" i="39" s="1"/>
  <c r="B62" i="39"/>
  <c r="F62" i="39" s="1"/>
  <c r="B56" i="39"/>
  <c r="F56" i="39" s="1"/>
  <c r="B63" i="39"/>
  <c r="F63" i="39" s="1"/>
  <c r="B57" i="39"/>
  <c r="F57" i="39" s="1"/>
  <c r="B61" i="39"/>
  <c r="F61" i="39" s="1"/>
  <c r="B64" i="39"/>
  <c r="F64" i="39" s="1"/>
  <c r="C36" i="36"/>
  <c r="C37" i="36"/>
  <c r="B2" i="36" s="1"/>
  <c r="B3" i="36" s="1"/>
  <c r="E40" i="36"/>
  <c r="F40" i="36" s="1"/>
  <c r="E41" i="36"/>
  <c r="F41" i="36" s="1"/>
  <c r="I41" i="36"/>
  <c r="J41" i="36" s="1"/>
  <c r="C30" i="12" l="1"/>
  <c r="C28" i="12" s="1"/>
  <c r="C32" i="12" s="1"/>
  <c r="B2" i="12" s="1"/>
  <c r="F66" i="39"/>
  <c r="B2" i="39" s="1"/>
  <c r="D19" i="9"/>
  <c r="D102" i="9" l="1"/>
  <c r="D21" i="9"/>
  <c r="B3" i="12"/>
  <c r="B3" i="39"/>
  <c r="C6" i="68"/>
  <c r="D20" i="9"/>
  <c r="D103" i="9" l="1"/>
  <c r="C7" i="68"/>
  <c r="C5" i="68" s="1"/>
  <c r="C23" i="68" l="1"/>
  <c r="C20" i="68"/>
  <c r="C25" i="68" s="1"/>
  <c r="C28" i="68" l="1"/>
  <c r="C27" i="68" s="1"/>
  <c r="C22" i="68"/>
  <c r="C31" i="68" l="1"/>
  <c r="C52" i="68" s="1"/>
  <c r="B2" i="68" s="1"/>
  <c r="C19" i="9"/>
  <c r="B3" i="68" l="1"/>
  <c r="C21" i="9"/>
  <c r="D22" i="9"/>
  <c r="C102" i="9"/>
  <c r="G19" i="9"/>
  <c r="G25" i="9" s="1"/>
  <c r="C57" i="68"/>
  <c r="C56" i="68" s="1"/>
  <c r="C20" i="9"/>
  <c r="D34" i="9"/>
  <c r="D35" i="9"/>
  <c r="C103" i="9" l="1"/>
  <c r="G20" i="9"/>
  <c r="G21" i="9"/>
  <c r="C32" i="9"/>
  <c r="C35" i="9" s="1"/>
  <c r="H118" i="9" l="1"/>
  <c r="C104" i="9" s="1"/>
  <c r="C34" i="9"/>
  <c r="D118" i="9" s="1"/>
  <c r="F118" i="9"/>
  <c r="D14" i="74" l="1"/>
  <c r="F14" i="74" s="1"/>
  <c r="H119" i="9"/>
  <c r="H5" i="52" s="1"/>
  <c r="I118" i="9"/>
  <c r="H102" i="9" s="1"/>
  <c r="D7" i="53" s="1"/>
  <c r="B21" i="72" s="1"/>
  <c r="H101" i="9"/>
  <c r="D5" i="53" s="1"/>
  <c r="H4" i="52"/>
  <c r="G118" i="9"/>
  <c r="G4" i="52" s="1"/>
  <c r="B52" i="72" s="1"/>
  <c r="F4" i="52"/>
  <c r="B51" i="72" s="1"/>
  <c r="F119" i="9"/>
  <c r="F5" i="52" s="1"/>
  <c r="B53" i="72" s="1"/>
  <c r="E14" i="74"/>
  <c r="D119" i="9"/>
  <c r="D5" i="52" s="1"/>
  <c r="B49" i="72" s="1"/>
  <c r="D4" i="52"/>
  <c r="B47" i="72" s="1"/>
  <c r="M48" i="9"/>
  <c r="I4" i="52" l="1"/>
  <c r="C105" i="9"/>
  <c r="D45" i="9"/>
  <c r="C93" i="9" s="1"/>
  <c r="C86" i="9" s="1"/>
  <c r="H107" i="9"/>
  <c r="D13" i="53" s="1"/>
  <c r="E118" i="9"/>
  <c r="E4" i="52" s="1"/>
  <c r="B48" i="72" s="1"/>
  <c r="D6" i="53"/>
  <c r="B22" i="72" s="1"/>
  <c r="B20" i="72"/>
  <c r="D122" i="9" l="1"/>
  <c r="D123" i="9" s="1"/>
  <c r="D9" i="52" s="1"/>
  <c r="M49" i="9"/>
  <c r="L64" i="9" s="1"/>
  <c r="M64" i="9" s="1"/>
  <c r="H108" i="9"/>
  <c r="D15" i="53" s="1"/>
  <c r="B31" i="72" s="1"/>
  <c r="C64" i="9"/>
  <c r="C63" i="9" s="1"/>
  <c r="C67" i="9" s="1"/>
  <c r="D59" i="9" s="1"/>
  <c r="M55" i="9" s="1"/>
  <c r="C72" i="9"/>
  <c r="C85" i="9"/>
  <c r="C95" i="9" s="1"/>
  <c r="D52" i="9"/>
  <c r="C78" i="9"/>
  <c r="C73" i="9" s="1"/>
  <c r="D53" i="9"/>
  <c r="D55" i="9"/>
  <c r="M53" i="9" s="1"/>
  <c r="G14" i="74"/>
  <c r="K14" i="74" s="1"/>
  <c r="L66" i="9"/>
  <c r="M66" i="9" s="1"/>
  <c r="D14" i="53"/>
  <c r="B32" i="72" s="1"/>
  <c r="B30" i="72"/>
  <c r="D8" i="52" l="1"/>
  <c r="L65" i="9"/>
  <c r="M65" i="9" s="1"/>
  <c r="C68" i="9"/>
  <c r="D54" i="9" s="1"/>
  <c r="L68" i="9"/>
  <c r="M68" i="9" s="1"/>
  <c r="L67" i="9"/>
  <c r="M67" i="9" s="1"/>
  <c r="L63" i="9"/>
  <c r="M63" i="9" s="1"/>
  <c r="C79" i="9"/>
  <c r="C80" i="9" s="1"/>
  <c r="E80" i="9" s="1"/>
  <c r="E81" i="9" s="1"/>
  <c r="C96" i="9"/>
  <c r="E96" i="9" s="1"/>
  <c r="E97" i="9" s="1"/>
  <c r="M69" i="9" l="1"/>
  <c r="N69" i="9" s="1"/>
  <c r="C97" i="9"/>
  <c r="D58" i="9" s="1"/>
  <c r="D56" i="9" s="1"/>
  <c r="M54" i="9" s="1"/>
  <c r="N57" i="9" s="1"/>
  <c r="C81" i="9"/>
  <c r="N58" i="9" l="1"/>
  <c r="P57" i="9"/>
  <c r="N59" i="9"/>
  <c r="N60" i="9" l="1"/>
  <c r="N61" i="9"/>
  <c r="B15" i="74" l="1"/>
  <c r="B1" i="74" s="1"/>
  <c r="C8" i="74" l="1"/>
  <c r="C7" i="74"/>
  <c r="C15" i="74" l="1"/>
  <c r="B2" i="74" s="1"/>
  <c r="D8" i="74" l="1"/>
  <c r="D7" i="74"/>
  <c r="D15" i="74" l="1"/>
  <c r="G15" i="74" l="1"/>
  <c r="F15" i="74"/>
  <c r="E15" i="74"/>
  <c r="B5" i="74"/>
  <c r="I19" i="9" l="1"/>
  <c r="J19" i="9" s="1"/>
  <c r="B6" i="74"/>
  <c r="K15" i="74"/>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 ref="I19"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<sst xmlns="http://schemas.openxmlformats.org/spreadsheetml/2006/main" count="8222" uniqueCount="3340">
  <si>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</si>
  <si>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</si>
  <si>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</si>
  <si>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</si>
  <si>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</si>
  <si>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</si>
  <si>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</si>
  <si>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</si>
  <si>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</si>
  <si>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</si>
  <si>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</si>
  <si>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</si>
  <si>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</si>
  <si>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</si>
  <si>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</si>
  <si>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</si>
  <si>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</si>
  <si>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</si>
  <si>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</si>
  <si>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</si>
  <si>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</si>
  <si>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</si>
  <si>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</si>
  <si>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</si>
  <si>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</si>
  <si>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</si>
  <si>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</si>
  <si>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</si>
  <si>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</si>
  <si>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</si>
  <si>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</si>
  <si>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</si>
  <si>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</si>
  <si>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</si>
  <si>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</si>
  <si>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</si>
  <si>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</si>
  <si>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</si>
  <si>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</si>
  <si>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</si>
  <si>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</si>
  <si>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</si>
  <si>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</si>
  <si>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</si>
  <si>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</si>
  <si>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</si>
  <si>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</si>
  <si>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</si>
  <si>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</si>
  <si>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</si>
  <si>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</si>
  <si>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</si>
  <si>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</si>
  <si>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</si>
  <si>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</si>
  <si>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</si>
  <si>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</si>
  <si>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</si>
  <si>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</si>
  <si>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</si>
  <si>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</si>
  <si>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</si>
  <si>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</si>
  <si>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</si>
  <si>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</si>
  <si>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</si>
  <si>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</si>
  <si>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</si>
  <si>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</si>
  <si>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</si>
  <si>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</si>
  <si>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</si>
  <si>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</si>
  <si>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</si>
  <si>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</si>
  <si>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</si>
  <si>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</si>
  <si>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</si>
  <si>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</si>
  <si>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</si>
  <si>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</si>
  <si>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</si>
  <si>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</si>
  <si>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</si>
  <si>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</si>
  <si>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</si>
  <si>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</si>
  <si>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</si>
  <si>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</si>
  <si>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</si>
  <si>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</si>
  <si>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</si>
  <si>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</si>
  <si>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</si>
  <si>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</si>
  <si>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</si>
  <si>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</si>
  <si>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</si>
  <si>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</si>
  <si>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</si>
  <si>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</si>
  <si>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</si>
  <si>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</si>
  <si>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</si>
  <si>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</si>
  <si>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</si>
  <si>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</si>
  <si>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</si>
  <si>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</si>
  <si>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</si>
  <si>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</si>
  <si>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</si>
  <si>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</si>
  <si>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</si>
  <si>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</si>
  <si>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</si>
  <si>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</si>
  <si>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</si>
  <si>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</si>
  <si>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</si>
  <si>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</si>
  <si>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</si>
  <si>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</si>
  <si>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</si>
  <si>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</si>
  <si>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</si>
  <si>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</si>
  <si>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</si>
  <si>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</si>
  <si>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</si>
  <si>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</si>
  <si>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</si>
  <si>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</si>
  <si>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</si>
  <si>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</si>
  <si>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</si>
  <si>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</si>
  <si>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</si>
  <si>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</si>
  <si>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</si>
  <si>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</si>
  <si>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</si>
  <si>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</si>
  <si>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</si>
  <si>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</si>
  <si>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</si>
  <si>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</si>
  <si>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</si>
  <si>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</si>
  <si>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</si>
  <si>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</si>
  <si>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</si>
  <si>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</si>
  <si>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</si>
  <si>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</si>
  <si>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</si>
  <si>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</si>
  <si>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</si>
  <si>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</si>
  <si>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</si>
  <si>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</si>
  <si>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</si>
  <si>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</si>
  <si>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</si>
  <si>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</si>
  <si>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</si>
  <si>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</si>
  <si>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</si>
  <si>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</si>
  <si>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</si>
  <si>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</si>
  <si>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</si>
  <si>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</si>
  <si>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</si>
  <si>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</si>
  <si>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</si>
  <si>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</si>
  <si>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</si>
  <si>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</si>
  <si>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</si>
  <si>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</si>
  <si>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</si>
  <si>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</si>
  <si>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</si>
  <si>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</si>
  <si>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</si>
  <si>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</si>
  <si>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</si>
  <si>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</si>
  <si>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</si>
  <si>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</si>
  <si>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</si>
  <si>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</si>
  <si>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</si>
  <si>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</si>
  <si>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</si>
  <si>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</si>
  <si>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</si>
  <si>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</si>
  <si>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</si>
  <si>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</si>
  <si>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</si>
  <si>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</si>
  <si>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</si>
  <si>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</si>
  <si>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</si>
  <si>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</si>
  <si>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</si>
  <si>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</si>
  <si>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</si>
  <si>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</si>
  <si>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</si>
  <si>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</si>
  <si>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</si>
  <si>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</si>
  <si>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</si>
  <si>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</si>
  <si>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</si>
  <si>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</si>
  <si>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</si>
  <si>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</si>
  <si>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</si>
  <si>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</si>
  <si>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</si>
  <si>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</si>
  <si>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</si>
  <si>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</si>
  <si>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</si>
  <si>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</si>
  <si>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</si>
  <si>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</si>
  <si>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</si>
  <si>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</si>
  <si>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</si>
  <si>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</si>
  <si>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</si>
  <si>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</si>
  <si>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</si>
  <si>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</si>
  <si>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</si>
  <si>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</si>
  <si>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</si>
  <si>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</si>
  <si>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</si>
  <si>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</si>
  <si>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</si>
  <si>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</si>
  <si>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</si>
  <si>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</si>
  <si>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</si>
  <si>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</si>
  <si>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</si>
  <si>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</si>
  <si>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</si>
  <si>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</si>
  <si>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</si>
  <si>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</si>
  <si>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</si>
  <si>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</si>
  <si>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</si>
  <si>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</si>
  <si>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</si>
  <si>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</si>
  <si>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</si>
  <si>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</si>
  <si>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</si>
  <si>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</si>
  <si>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</si>
  <si>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</si>
  <si>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</si>
  <si>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</si>
  <si>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</si>
  <si>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</si>
  <si>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</si>
  <si>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</si>
  <si>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</si>
  <si>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</si>
  <si>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</si>
  <si>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</si>
  <si>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</si>
  <si>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</si>
  <si>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</si>
  <si>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</si>
  <si>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</si>
  <si>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</si>
  <si>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</si>
  <si>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</si>
  <si>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</si>
  <si>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</si>
  <si>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</si>
  <si>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</si>
  <si>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</si>
  <si>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</si>
  <si>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</si>
  <si>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</si>
  <si>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</si>
  <si>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</si>
  <si>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</si>
  <si>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</si>
  <si>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</si>
  <si>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</si>
  <si>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</si>
  <si>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</si>
  <si>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</si>
  <si>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</si>
  <si>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</si>
  <si>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</si>
  <si>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</si>
  <si>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</si>
  <si>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</si>
  <si>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</si>
  <si>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</si>
  <si>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</si>
  <si>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</si>
  <si>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</si>
  <si>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</si>
  <si>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</si>
  <si>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</si>
  <si>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</si>
  <si>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</si>
  <si>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</si>
  <si>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</si>
  <si>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</si>
  <si>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</si>
  <si>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</si>
  <si>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</si>
  <si>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</si>
  <si>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</si>
  <si>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</si>
  <si>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</si>
  <si>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</si>
  <si>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</si>
  <si>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</si>
  <si>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</si>
  <si>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</si>
  <si>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</si>
  <si>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</si>
  <si>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</si>
  <si>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</si>
  <si>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</si>
  <si>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</si>
  <si>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</si>
  <si>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</si>
  <si>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</si>
  <si>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</si>
  <si>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</si>
  <si>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</si>
  <si>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</si>
  <si>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</si>
  <si>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</si>
  <si>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</si>
  <si>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</si>
  <si>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</si>
  <si>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</si>
  <si>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</si>
  <si>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</si>
  <si>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</si>
  <si>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</si>
  <si>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</si>
  <si>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</si>
  <si>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</si>
  <si>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</si>
  <si>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</si>
  <si>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</si>
  <si>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</si>
  <si>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</si>
  <si>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</si>
  <si>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</si>
  <si>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</si>
  <si>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</si>
  <si>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</si>
  <si>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</si>
  <si>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</si>
  <si>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</si>
  <si>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</si>
  <si>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</si>
  <si>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</si>
  <si>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</si>
  <si>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</si>
  <si>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</si>
  <si>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</si>
  <si>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</si>
  <si>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</si>
  <si>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</si>
  <si>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</si>
  <si>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</si>
  <si>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</si>
  <si>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</si>
  <si>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</si>
  <si>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</si>
  <si>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</si>
  <si>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</si>
  <si>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</si>
  <si>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</si>
  <si>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</si>
  <si>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</si>
  <si>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</si>
  <si>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</si>
  <si>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</si>
  <si>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</si>
  <si>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</si>
  <si>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</si>
  <si>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</si>
  <si>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</si>
  <si>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</si>
  <si>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</si>
  <si>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</si>
  <si>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</si>
  <si>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</si>
  <si>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</si>
  <si>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</si>
  <si>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</si>
  <si>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</si>
  <si>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</si>
  <si>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</si>
  <si>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</si>
  <si>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</si>
  <si>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</si>
  <si>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</si>
  <si>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</si>
  <si>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</si>
  <si>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</si>
  <si>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</si>
  <si>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</si>
  <si>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</si>
  <si>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</si>
  <si>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</si>
  <si>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</si>
  <si>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</si>
  <si>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</si>
  <si>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</si>
  <si>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</si>
  <si>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</si>
  <si>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</si>
  <si>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</si>
  <si>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</si>
  <si>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</si>
  <si>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</si>
  <si>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</si>
  <si>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</si>
  <si>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</si>
  <si>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</si>
  <si>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</si>
  <si>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</si>
  <si>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</si>
  <si>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</si>
  <si>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</si>
  <si>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</si>
  <si>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</si>
  <si>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</si>
  <si>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</si>
  <si>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</si>
  <si>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</si>
  <si>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</si>
  <si>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</si>
  <si>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</si>
  <si>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</si>
  <si>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</si>
  <si>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</si>
  <si>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</si>
  <si>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</si>
  <si>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</si>
  <si>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</si>
  <si>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</si>
  <si>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</si>
  <si>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</si>
  <si>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</si>
  <si>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</si>
  <si>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</si>
  <si>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</si>
  <si>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</si>
  <si>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</si>
  <si>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</si>
  <si>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</si>
  <si>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</si>
  <si>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</si>
  <si>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</si>
  <si>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</si>
  <si>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</si>
  <si>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</si>
  <si>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</si>
  <si>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</si>
  <si>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</si>
  <si>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</si>
  <si>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</si>
  <si>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</si>
  <si>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</si>
  <si>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</si>
  <si>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</si>
  <si>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</si>
  <si>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</si>
  <si>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</si>
  <si>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</si>
  <si>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</si>
  <si>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</si>
  <si>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</si>
  <si>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</si>
  <si>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</si>
  <si>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</si>
  <si>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</si>
  <si>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</si>
  <si>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</si>
  <si>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</si>
  <si>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</si>
  <si>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</si>
  <si>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</si>
  <si>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</si>
  <si>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</si>
  <si>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</si>
  <si>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</si>
  <si>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</si>
  <si>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</si>
  <si>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</si>
  <si>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</si>
  <si>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</si>
  <si>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</si>
  <si>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</si>
  <si>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</si>
  <si>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</si>
  <si>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</si>
  <si>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</si>
  <si>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</si>
  <si>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</si>
  <si>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</si>
  <si>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</si>
  <si>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</si>
  <si>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</si>
  <si>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</si>
  <si>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</si>
  <si>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</si>
  <si>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</si>
  <si>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</si>
  <si>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</si>
  <si>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</si>
  <si>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</si>
  <si>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</si>
  <si>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</si>
  <si>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</si>
  <si>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</si>
  <si>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</si>
  <si>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</si>
  <si>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</si>
  <si>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</si>
  <si>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</si>
  <si>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</si>
  <si>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</si>
  <si>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</si>
  <si>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</si>
  <si>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</si>
  <si>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</si>
  <si>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</si>
  <si>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</si>
  <si>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</si>
  <si>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</si>
  <si>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</si>
  <si>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</si>
  <si>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</si>
  <si>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</si>
  <si>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</si>
  <si>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</si>
  <si>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</si>
  <si>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</si>
  <si>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</si>
  <si>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</si>
  <si>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</si>
  <si>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</si>
  <si>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</si>
  <si>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</si>
  <si>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</si>
  <si>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</si>
  <si>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</si>
  <si>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</si>
  <si>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</si>
  <si>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</si>
  <si>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</si>
  <si>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</si>
  <si>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</si>
  <si>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</si>
  <si>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</si>
  <si>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</si>
  <si>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</si>
  <si>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</si>
  <si>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</si>
  <si>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</si>
  <si>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</si>
  <si>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</si>
  <si>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</si>
  <si>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</si>
  <si>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</si>
  <si>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</si>
  <si>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</si>
  <si>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</si>
  <si>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</si>
  <si>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</si>
  <si>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</si>
  <si>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</si>
  <si>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</si>
  <si>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</si>
  <si>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</si>
  <si>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</si>
  <si>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</si>
  <si>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</si>
  <si>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</si>
  <si>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</si>
  <si>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</si>
  <si>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</si>
  <si>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</si>
  <si>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</si>
  <si>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</si>
  <si>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</si>
  <si>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</si>
  <si>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</si>
  <si>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</si>
  <si>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</si>
  <si>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</si>
  <si>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</si>
  <si>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</si>
  <si>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</si>
  <si>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</si>
  <si>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</si>
  <si>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</si>
  <si>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</si>
  <si>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</si>
  <si>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</si>
  <si>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</si>
  <si>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</si>
  <si>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</si>
  <si>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</si>
  <si>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</si>
  <si>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</si>
  <si>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</si>
  <si>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</si>
  <si>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</si>
  <si>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</si>
  <si>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</si>
  <si>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</si>
  <si>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</si>
  <si>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</si>
  <si>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</si>
  <si>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</si>
  <si>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</si>
  <si>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</si>
  <si>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</si>
  <si>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</si>
  <si>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</si>
  <si>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</si>
  <si>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</si>
  <si>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</si>
  <si>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</si>
  <si>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</si>
  <si>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</si>
  <si>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</si>
  <si>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</si>
  <si>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</si>
  <si>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</si>
  <si>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</si>
  <si>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</si>
  <si>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</si>
  <si>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</si>
  <si>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</si>
  <si>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</si>
  <si>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</si>
  <si>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</si>
  <si>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</si>
  <si>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</si>
  <si>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</si>
  <si>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</si>
  <si>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</si>
  <si>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</si>
  <si>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</si>
  <si>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</si>
  <si>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</si>
  <si>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</si>
  <si>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</si>
  <si>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</si>
  <si>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</si>
  <si>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</si>
  <si>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</si>
  <si>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</si>
  <si>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</si>
  <si>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</si>
  <si>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</si>
  <si>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</si>
  <si>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</si>
  <si>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</si>
  <si>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</si>
  <si>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</si>
  <si>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</si>
  <si>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</si>
  <si>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</si>
  <si>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</si>
  <si>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</si>
  <si>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</si>
  <si>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</si>
  <si>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</si>
  <si>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</si>
  <si>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</si>
  <si>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</si>
  <si>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</si>
  <si>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</si>
  <si>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</si>
  <si>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</si>
  <si>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</si>
  <si>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</si>
  <si>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</si>
  <si>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</si>
  <si>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</si>
  <si>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</si>
  <si>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</si>
  <si>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</si>
  <si>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</si>
  <si>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</si>
  <si>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</si>
  <si>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</si>
  <si>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</si>
  <si>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</si>
  <si>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</si>
  <si>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</si>
  <si>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</si>
  <si>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</si>
  <si>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</si>
  <si>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</si>
  <si>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</si>
  <si>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</si>
  <si>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</si>
  <si>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</si>
  <si>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</si>
  <si>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</si>
  <si>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</si>
  <si>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</si>
  <si>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</si>
  <si>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</si>
  <si>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</si>
  <si>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</si>
  <si>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</si>
  <si>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</si>
  <si>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</si>
  <si>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</si>
  <si>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</si>
  <si>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</si>
  <si>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</si>
  <si>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</si>
  <si>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</si>
  <si>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</si>
  <si>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</si>
  <si>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</si>
  <si>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</si>
  <si>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</si>
  <si>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</si>
  <si>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</si>
  <si>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</si>
  <si>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</si>
  <si>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</si>
  <si>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</si>
  <si>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</si>
  <si>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</si>
  <si>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</si>
  <si>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</si>
  <si>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</si>
  <si>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</si>
  <si>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</si>
  <si>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</si>
  <si>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</si>
  <si>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</si>
  <si>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</si>
  <si>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</si>
  <si>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</si>
  <si>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</si>
  <si>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</si>
  <si>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</si>
  <si>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</si>
  <si>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</si>
  <si>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</si>
  <si>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</si>
  <si>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</si>
  <si>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</si>
  <si>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</si>
  <si>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</si>
  <si>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</si>
  <si>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</si>
  <si>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</si>
  <si>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</si>
  <si>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</si>
  <si>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</si>
  <si>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</si>
  <si>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</si>
  <si>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</si>
  <si>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</si>
  <si>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</si>
  <si>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</si>
  <si>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</si>
  <si>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</si>
  <si>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</si>
  <si>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</si>
  <si>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</si>
  <si>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</si>
  <si>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</si>
  <si>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</si>
  <si>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</si>
  <si>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</si>
  <si>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</si>
  <si>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</si>
  <si>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</si>
  <si>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</si>
  <si>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</si>
  <si>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</si>
  <si>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</si>
  <si>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</si>
  <si>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</si>
  <si>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</si>
  <si>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</si>
  <si>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</si>
  <si>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</si>
  <si>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</si>
  <si>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</si>
  <si>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</si>
  <si>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</si>
  <si>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</si>
  <si>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</si>
  <si>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</si>
  <si>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</si>
  <si>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</si>
  <si>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</si>
  <si>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</si>
  <si>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</si>
  <si>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</si>
  <si>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</si>
  <si>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</si>
  <si>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</si>
  <si>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</si>
  <si>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</si>
  <si>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</si>
  <si>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</si>
  <si>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</si>
  <si>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</si>
  <si>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</si>
  <si>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</si>
  <si>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</si>
  <si>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</si>
  <si>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</si>
  <si>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</si>
  <si>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</si>
  <si>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</si>
  <si>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</si>
  <si>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</si>
  <si>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</si>
  <si>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</si>
  <si>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</si>
  <si>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</si>
  <si>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</si>
  <si>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</si>
  <si>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</si>
  <si>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</si>
  <si>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</si>
  <si>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</si>
  <si>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</si>
  <si>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</si>
  <si>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</si>
  <si>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</si>
  <si>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</si>
  <si>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</si>
  <si>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</si>
  <si>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</si>
  <si>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</si>
  <si>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</si>
  <si>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</si>
  <si>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</si>
  <si>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</si>
  <si>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</si>
  <si>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</si>
  <si>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</si>
  <si>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</si>
  <si>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</si>
  <si>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</si>
  <si>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</si>
  <si>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</si>
  <si>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</si>
  <si>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</si>
  <si>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</si>
  <si>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</si>
  <si>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</si>
  <si>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</si>
  <si>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</si>
  <si>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</si>
  <si>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</si>
  <si>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</si>
  <si>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</si>
  <si>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</si>
  <si>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</si>
  <si>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</si>
  <si>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</si>
  <si>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</si>
  <si>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</si>
  <si>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</si>
  <si>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</si>
  <si>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</si>
  <si>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</si>
  <si>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</si>
  <si>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</si>
  <si>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</si>
  <si>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</si>
  <si>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</si>
  <si>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</si>
  <si>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</si>
  <si>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</si>
  <si>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</si>
  <si>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</si>
  <si>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</si>
  <si>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</si>
  <si>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</si>
  <si>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</si>
  <si>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</si>
  <si>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</si>
  <si>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</si>
  <si>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</si>
  <si>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</si>
  <si>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</si>
  <si>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</si>
  <si>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</si>
  <si>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</si>
  <si>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</si>
  <si>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</si>
  <si>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</si>
  <si>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</si>
  <si>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</si>
  <si>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</si>
  <si>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</si>
  <si>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</si>
  <si>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</si>
  <si>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</si>
  <si>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</si>
  <si>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</si>
  <si>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</si>
  <si>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</si>
  <si>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</si>
  <si>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</si>
  <si>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</si>
  <si>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</si>
  <si>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</si>
  <si>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</si>
  <si>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</si>
  <si>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</si>
  <si>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</si>
  <si>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</si>
  <si>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</si>
  <si>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</si>
  <si>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</si>
  <si>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</si>
  <si>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</si>
  <si>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</si>
  <si>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</si>
  <si>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</si>
  <si>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</si>
  <si>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</si>
  <si>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</si>
  <si>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</si>
  <si>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</si>
  <si>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</si>
  <si>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</si>
  <si>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</si>
  <si>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</si>
  <si>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</si>
  <si>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</si>
  <si>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</si>
  <si>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</si>
  <si>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</si>
  <si>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</si>
  <si>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</si>
  <si>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</si>
  <si>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</si>
  <si>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</si>
  <si>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</si>
  <si>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</si>
  <si>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</si>
  <si>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</si>
  <si>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</si>
  <si>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</si>
  <si>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</si>
  <si>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</si>
  <si>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</si>
  <si>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</si>
  <si>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</si>
  <si>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</si>
  <si>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</si>
  <si>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</si>
  <si>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</si>
  <si>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</si>
  <si>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</si>
  <si>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</si>
  <si>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</si>
  <si>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</si>
  <si>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</si>
  <si>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</si>
  <si>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</si>
  <si>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</si>
  <si>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</si>
  <si>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</si>
  <si>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</si>
  <si>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</si>
  <si>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</si>
  <si>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</si>
  <si>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</si>
  <si>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</si>
  <si>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</si>
  <si>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</si>
  <si>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</si>
  <si>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</si>
  <si>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</si>
  <si>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</si>
  <si>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</si>
  <si>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</si>
  <si>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</si>
  <si>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</si>
  <si>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</si>
  <si>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</si>
  <si>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</si>
  <si>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</si>
  <si>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</si>
  <si>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</si>
  <si>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</si>
  <si>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</si>
  <si>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</si>
  <si>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</si>
  <si>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</si>
  <si>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</si>
  <si>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</si>
  <si>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</si>
  <si>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</si>
  <si>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</si>
  <si>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</si>
  <si>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</si>
  <si>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</si>
  <si>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</si>
  <si>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</si>
  <si>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</si>
  <si>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</si>
  <si>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</si>
  <si>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</si>
  <si>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</si>
  <si>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</si>
  <si>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</si>
  <si>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</si>
  <si>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</si>
  <si>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</si>
  <si>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</si>
  <si>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</si>
  <si>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</si>
  <si>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</si>
  <si>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</si>
  <si>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</si>
  <si>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</si>
  <si>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</si>
  <si>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</si>
  <si>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</si>
  <si>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</si>
  <si>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</si>
  <si>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</si>
  <si>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</si>
  <si>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</si>
  <si>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</si>
  <si>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</si>
  <si>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</si>
  <si>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</si>
  <si>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</si>
  <si>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</si>
  <si>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</si>
  <si>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</si>
  <si>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</si>
  <si>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</si>
  <si>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</si>
  <si>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</si>
  <si>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</si>
  <si>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</si>
  <si>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</si>
  <si>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</si>
  <si>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</si>
  <si>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</si>
  <si>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</si>
  <si>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</si>
  <si>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</si>
  <si>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</si>
  <si>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</si>
  <si>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</si>
  <si>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</si>
  <si>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</si>
  <si>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</si>
  <si>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</si>
  <si>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</si>
  <si>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</si>
  <si>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</si>
  <si>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</si>
  <si>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</si>
  <si>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</si>
  <si>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</si>
  <si>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</si>
  <si>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</si>
  <si>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</si>
  <si>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</si>
  <si>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</si>
  <si>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</si>
  <si>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</si>
  <si>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</si>
  <si>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</si>
  <si>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</si>
  <si>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</si>
  <si>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</si>
  <si>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</si>
  <si>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</si>
  <si>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</si>
  <si>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</si>
  <si>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</si>
  <si>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</si>
  <si>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</si>
  <si>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</si>
  <si>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</si>
  <si>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</si>
  <si>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</si>
  <si>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</si>
  <si>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</si>
  <si>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</si>
  <si>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</si>
  <si>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</si>
  <si>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</si>
  <si>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</si>
  <si>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</si>
  <si>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</si>
  <si>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</si>
  <si>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</si>
  <si>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</si>
  <si>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</si>
  <si>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</si>
  <si>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</si>
  <si>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</si>
  <si>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</si>
  <si>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</si>
  <si>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</si>
  <si>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</si>
  <si>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</si>
  <si>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</si>
  <si>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</si>
  <si>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</si>
  <si>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</si>
  <si>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</si>
  <si>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</si>
  <si>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</si>
  <si>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</si>
  <si>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</si>
  <si>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</si>
  <si>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</si>
  <si>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</si>
  <si>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</si>
  <si>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</si>
  <si>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</si>
  <si>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</si>
  <si>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</si>
  <si>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</si>
  <si>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</si>
  <si>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</si>
  <si>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</si>
  <si>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</si>
  <si>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</si>
  <si>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</si>
  <si>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</si>
  <si>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</si>
  <si>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</si>
  <si>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</si>
  <si>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</si>
  <si>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</si>
  <si>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</si>
  <si>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</si>
  <si>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</si>
  <si>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</si>
  <si>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</si>
  <si>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</si>
  <si>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</si>
  <si>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</si>
  <si>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</si>
  <si>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</si>
  <si>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</si>
  <si>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</si>
  <si>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</si>
  <si>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</si>
  <si>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</si>
  <si>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</si>
  <si>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</si>
  <si>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</si>
  <si>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</si>
  <si>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</si>
  <si>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</si>
  <si>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</si>
  <si>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</si>
  <si>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</si>
  <si>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</si>
  <si>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</si>
  <si>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</si>
  <si>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</si>
  <si>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</si>
  <si>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</si>
  <si>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</si>
  <si>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</si>
  <si>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</si>
  <si>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</si>
  <si>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</si>
  <si>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</si>
  <si>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</si>
  <si>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</si>
  <si>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</si>
  <si>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</si>
  <si>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</si>
  <si>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</si>
  <si>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</si>
  <si>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</si>
  <si>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</si>
  <si>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</si>
  <si>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</si>
  <si>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</si>
  <si>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</si>
  <si>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</si>
  <si>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</si>
  <si>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</si>
  <si>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</si>
  <si>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</si>
  <si>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</si>
  <si>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</si>
  <si>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</si>
  <si>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</si>
  <si>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</si>
  <si>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</si>
  <si>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</si>
  <si>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</si>
  <si>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</si>
  <si>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</si>
  <si>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</si>
  <si>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</si>
  <si>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</si>
  <si>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</si>
  <si>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</si>
  <si>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</si>
  <si>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</si>
  <si>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</si>
  <si>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</si>
  <si>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</si>
  <si>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</si>
  <si>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</si>
  <si>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</si>
  <si>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</si>
  <si>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</si>
  <si>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</si>
  <si>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</si>
  <si>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</si>
  <si>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</si>
  <si>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</si>
  <si>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</si>
  <si>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</si>
  <si>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</si>
  <si>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</si>
  <si>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</si>
  <si>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</si>
  <si>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</si>
  <si>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</si>
  <si>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</si>
  <si>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</si>
  <si>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</si>
  <si>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</si>
  <si>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</si>
  <si>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</si>
  <si>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</si>
  <si>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</si>
  <si>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</si>
  <si>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</si>
  <si>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</si>
  <si>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</si>
  <si>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</si>
  <si>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</si>
  <si>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</si>
  <si>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</si>
  <si>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</si>
  <si>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</si>
  <si>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</si>
  <si>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</si>
  <si>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</si>
  <si>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</si>
  <si>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</si>
  <si>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</si>
  <si>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</si>
  <si>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</si>
  <si>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</si>
  <si>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</si>
  <si>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</si>
  <si>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</si>
  <si>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</si>
  <si>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</si>
  <si>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</si>
  <si>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</si>
  <si>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</si>
  <si>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</si>
  <si>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</si>
  <si>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</si>
  <si>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</si>
  <si>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</si>
  <si>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</si>
  <si>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</si>
  <si>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</si>
  <si>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</si>
  <si>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</si>
  <si>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</si>
  <si>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</si>
  <si>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</si>
  <si>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</si>
  <si>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</si>
  <si>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</si>
  <si>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</si>
  <si>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</si>
  <si>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</si>
  <si>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</si>
  <si>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</si>
  <si>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</si>
  <si>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</si>
  <si>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</si>
  <si>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</si>
  <si>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</si>
  <si>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</si>
  <si>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</si>
  <si>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</si>
  <si>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</si>
  <si>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</si>
  <si>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</si>
  <si>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</si>
  <si>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</si>
  <si>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</si>
  <si>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</si>
  <si>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</si>
  <si>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</si>
  <si>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</si>
  <si>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</si>
  <si>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</si>
  <si>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</si>
  <si>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</si>
  <si>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</si>
  <si>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</si>
  <si>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</si>
  <si>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</si>
  <si>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</si>
  <si>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</si>
  <si>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</si>
  <si>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</si>
  <si>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</si>
  <si>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</si>
  <si>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</si>
  <si>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</si>
  <si>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</si>
  <si>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</si>
  <si>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</si>
  <si>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</si>
  <si>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</si>
  <si>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</si>
  <si>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</si>
  <si>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</si>
  <si>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</si>
  <si>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</si>
  <si>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</si>
  <si>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</si>
  <si>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</si>
  <si>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</si>
  <si>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</si>
  <si>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</si>
  <si>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</si>
  <si>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</si>
  <si>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</si>
  <si>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</si>
  <si>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</si>
  <si>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</si>
  <si>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</si>
  <si>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</si>
  <si>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</si>
  <si>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</si>
  <si>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</si>
  <si>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</si>
  <si>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</si>
  <si>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</si>
  <si>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</si>
  <si>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</si>
  <si>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</si>
  <si>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</si>
  <si>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</si>
  <si>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</si>
  <si>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</si>
  <si>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</si>
  <si>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</si>
  <si>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</si>
  <si>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</si>
  <si>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</si>
  <si>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</si>
  <si>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</si>
  <si>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</si>
  <si>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</si>
  <si>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</si>
  <si>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</si>
  <si>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</si>
  <si>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</si>
  <si>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</si>
  <si>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</si>
  <si>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</si>
  <si>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</si>
  <si>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</si>
  <si>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</si>
  <si>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</si>
  <si>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</si>
  <si>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</si>
  <si>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</si>
  <si>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</si>
  <si>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</si>
  <si>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</si>
  <si>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</si>
  <si>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</si>
  <si>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</si>
  <si>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</si>
  <si>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</si>
  <si>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</si>
  <si>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</si>
  <si>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</si>
  <si>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</si>
  <si>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</si>
  <si>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</si>
  <si>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</si>
  <si>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</si>
  <si>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</si>
  <si>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</si>
  <si>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</si>
  <si>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</si>
  <si>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</si>
  <si>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</si>
  <si>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</si>
  <si>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</si>
  <si>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</si>
  <si>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</si>
  <si>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</si>
  <si>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</si>
  <si>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</si>
  <si>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</si>
  <si>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</si>
  <si>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</si>
  <si>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</si>
  <si>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</si>
  <si>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</si>
  <si>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</si>
  <si>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</si>
  <si>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</si>
  <si>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</si>
  <si>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</si>
  <si>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</si>
  <si>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</si>
  <si>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</si>
  <si>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</si>
  <si>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</si>
  <si>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</si>
  <si>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</si>
  <si>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</si>
  <si>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</si>
  <si>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</si>
  <si>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</si>
  <si>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</si>
  <si>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</si>
  <si>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</si>
  <si>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</si>
  <si>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</si>
  <si>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</si>
  <si>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</si>
  <si>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</si>
  <si>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</si>
  <si>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</si>
  <si>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</si>
  <si>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</si>
  <si>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</si>
  <si>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</si>
  <si>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</si>
  <si>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</si>
  <si>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</si>
  <si>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</si>
  <si>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</si>
  <si>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</si>
  <si>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</si>
  <si>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</si>
  <si>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</si>
  <si>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</si>
  <si>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</si>
  <si>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</si>
  <si>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</si>
  <si>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</si>
  <si>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</si>
  <si>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</si>
  <si>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</si>
  <si>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</si>
  <si>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</si>
  <si>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</si>
  <si>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</si>
  <si>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</si>
  <si>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</si>
  <si>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</si>
  <si>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</si>
  <si>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</si>
  <si>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</si>
  <si>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</si>
  <si>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</si>
  <si>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</si>
  <si>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</si>
  <si>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</si>
  <si>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</si>
  <si>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</si>
  <si>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</si>
  <si>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</si>
  <si>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</si>
  <si>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</si>
  <si>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</si>
  <si>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</si>
  <si>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</si>
  <si>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</si>
  <si>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</si>
  <si>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</si>
  <si>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</si>
  <si>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</si>
  <si>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</si>
  <si>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</si>
  <si>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</si>
  <si>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</si>
  <si>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</si>
  <si>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</si>
  <si>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</si>
  <si>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</si>
  <si>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</si>
  <si>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</si>
  <si>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</si>
  <si>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</si>
  <si>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</si>
  <si>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</si>
  <si>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</si>
  <si>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</si>
  <si>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</si>
  <si>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</si>
  <si>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</si>
  <si>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</si>
  <si>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</si>
  <si>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</si>
  <si>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</si>
  <si>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</si>
  <si>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</si>
  <si>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</si>
  <si>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</si>
  <si>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</si>
  <si>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</si>
  <si>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</si>
  <si>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</si>
  <si>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</si>
  <si>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</si>
  <si>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</si>
  <si>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</si>
  <si>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</si>
  <si>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</si>
  <si>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</si>
  <si>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</si>
  <si>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</si>
  <si>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</si>
  <si>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</si>
  <si>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</si>
  <si>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</si>
  <si>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</si>
  <si>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</si>
  <si>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</si>
  <si>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</si>
  <si>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</si>
  <si>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</si>
  <si>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</si>
  <si>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</si>
  <si>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</si>
  <si>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</si>
  <si>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</si>
  <si>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</si>
  <si>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</si>
  <si>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</si>
  <si>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</si>
  <si>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</si>
  <si>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</si>
  <si>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</si>
  <si>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</si>
  <si>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</si>
  <si>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</si>
  <si>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</si>
  <si>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</si>
  <si>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</si>
  <si>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</si>
  <si>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</si>
  <si>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</si>
  <si>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</si>
  <si>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</si>
  <si>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</si>
  <si>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</si>
  <si>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</si>
  <si>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</si>
  <si>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</si>
  <si>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</si>
  <si>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</si>
  <si>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</si>
  <si>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</si>
  <si>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</si>
  <si>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</si>
  <si>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</si>
  <si>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</si>
  <si>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</si>
  <si>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</si>
  <si>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</si>
  <si>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</si>
  <si>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</si>
  <si>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</si>
  <si>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</si>
  <si>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</si>
  <si>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</si>
  <si>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</si>
  <si>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</si>
  <si>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</si>
  <si>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</si>
  <si>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</si>
  <si>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</si>
  <si>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</si>
  <si>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</si>
  <si>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</si>
  <si>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</si>
  <si>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</si>
  <si>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</si>
  <si>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</si>
  <si>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</si>
  <si>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</si>
  <si>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</si>
  <si>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</si>
  <si>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</si>
  <si>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</si>
  <si>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</si>
  <si>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</si>
  <si>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</si>
  <si>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</si>
  <si>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</si>
  <si>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</si>
  <si>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</si>
  <si>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</si>
  <si>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</si>
  <si>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</si>
  <si>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</si>
  <si>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</si>
  <si>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</si>
  <si>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</si>
  <si>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</si>
  <si>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</si>
  <si>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</si>
  <si>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</si>
  <si>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</si>
  <si>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</si>
  <si>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</si>
  <si>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</si>
  <si>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</si>
  <si>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</si>
  <si>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</si>
  <si>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</si>
  <si>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</si>
  <si>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</si>
  <si>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</si>
  <si>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</si>
  <si>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</si>
  <si>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</si>
  <si>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</si>
  <si>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</si>
  <si>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</si>
  <si>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</si>
  <si>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</si>
  <si>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</si>
  <si>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</si>
  <si>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</si>
  <si>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</si>
  <si>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</si>
  <si>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</si>
  <si>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</si>
  <si>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</si>
  <si>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</si>
  <si>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</si>
  <si>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</si>
  <si>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</si>
  <si>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</si>
  <si>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</si>
  <si>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</si>
  <si>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</si>
  <si>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</si>
  <si>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</si>
  <si>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</si>
  <si>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</si>
  <si>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</si>
  <si>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</si>
  <si>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</si>
  <si>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</si>
  <si>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</si>
  <si>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</si>
  <si>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</si>
  <si>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</si>
  <si>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</si>
  <si>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</si>
  <si>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</si>
  <si>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</si>
  <si>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</si>
  <si>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</si>
  <si>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</si>
  <si>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</si>
  <si>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</si>
  <si>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</si>
  <si>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</si>
  <si>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</si>
  <si>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</si>
  <si>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</si>
  <si>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</si>
  <si>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</si>
  <si>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</si>
  <si>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</si>
  <si>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</si>
  <si>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</si>
  <si>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</si>
  <si>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</si>
  <si>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</si>
  <si>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</si>
  <si>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</si>
  <si>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</si>
  <si>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</si>
  <si>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</si>
  <si>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</si>
  <si>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</si>
  <si>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</si>
  <si>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</si>
  <si>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</si>
  <si>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</si>
  <si>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</si>
  <si>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</si>
  <si>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</si>
  <si>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</si>
  <si>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</si>
  <si>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</si>
  <si>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</si>
  <si>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</si>
  <si>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</si>
  <si>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</si>
  <si>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</si>
  <si>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</si>
  <si>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</si>
  <si>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</si>
  <si>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</si>
  <si>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</si>
  <si>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</si>
  <si>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</si>
  <si>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</si>
  <si>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</si>
  <si>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</si>
  <si>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</si>
  <si>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</si>
  <si>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</si>
  <si>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</si>
  <si>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</si>
  <si>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</si>
  <si>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</si>
  <si>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</si>
  <si>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</si>
  <si>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</si>
  <si>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</si>
  <si>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</si>
  <si>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</si>
  <si>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</si>
  <si>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</si>
  <si>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</si>
  <si>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</si>
  <si>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</si>
  <si>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</si>
  <si>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</si>
  <si>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</si>
  <si>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</si>
  <si>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</si>
  <si>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</si>
  <si>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</si>
  <si>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</si>
  <si>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</si>
  <si>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</si>
  <si>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</si>
  <si>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</si>
  <si>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</si>
  <si>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</si>
  <si>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</si>
  <si>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</si>
  <si>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</si>
  <si>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</si>
  <si>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</si>
  <si>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</si>
  <si>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</si>
  <si>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</si>
  <si>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</si>
  <si>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</si>
  <si>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</si>
  <si>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</si>
  <si>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</si>
  <si>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</si>
  <si>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</si>
  <si>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</si>
  <si>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</si>
  <si>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</si>
  <si>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</si>
  <si>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</si>
  <si>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</si>
  <si>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</si>
  <si>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</si>
  <si>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</si>
  <si>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</si>
  <si>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</si>
  <si>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</si>
  <si>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</si>
  <si>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</si>
  <si>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</si>
  <si>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</si>
  <si>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</si>
  <si>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</si>
  <si>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</si>
  <si>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</si>
  <si>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</si>
  <si>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</si>
  <si>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</si>
  <si>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</si>
  <si>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</si>
  <si>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</si>
  <si>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</si>
  <si>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</si>
  <si>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</si>
  <si>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</si>
  <si>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</si>
  <si>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</si>
  <si>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</si>
  <si>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</si>
  <si>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</si>
  <si>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</si>
  <si>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</si>
  <si>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</si>
  <si>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</si>
  <si>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</si>
  <si>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</si>
  <si>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</si>
  <si>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</si>
  <si>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</si>
  <si>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</si>
  <si>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</si>
  <si>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</si>
  <si>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</si>
  <si>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</si>
  <si>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</si>
  <si>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</si>
  <si>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</si>
  <si>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</si>
  <si>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</si>
  <si>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</si>
  <si>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</si>
  <si>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</si>
  <si>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</si>
  <si>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</si>
  <si>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</si>
  <si>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</si>
  <si>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</si>
  <si>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</si>
  <si>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</si>
  <si>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</si>
  <si>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</si>
  <si>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</si>
  <si>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</si>
  <si>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</si>
  <si>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</si>
  <si>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</si>
  <si>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</si>
  <si>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</si>
  <si>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</si>
  <si>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</si>
  <si>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</si>
  <si>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</si>
  <si>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</si>
  <si>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</si>
  <si>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</si>
  <si>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</si>
  <si>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</si>
  <si>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</si>
  <si>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</si>
  <si>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</si>
  <si>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</si>
  <si>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</si>
  <si>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</si>
  <si>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</si>
  <si>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</si>
  <si>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</si>
  <si>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</si>
  <si>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</si>
  <si>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</si>
  <si>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</si>
  <si>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</si>
  <si>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</si>
  <si>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</si>
  <si>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</si>
  <si>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</si>
  <si>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</si>
  <si>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</si>
  <si>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</si>
  <si>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</si>
  <si>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</si>
  <si>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</si>
  <si>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</si>
  <si>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</si>
  <si>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</si>
  <si>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</si>
  <si>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</si>
  <si>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</si>
  <si>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</si>
  <si>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</si>
  <si>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</si>
  <si>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</si>
  <si>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</si>
  <si>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</si>
  <si>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</si>
  <si>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</si>
  <si>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</si>
  <si>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</si>
  <si>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</si>
  <si>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</si>
  <si>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</si>
  <si>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</si>
  <si>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</si>
  <si>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</si>
  <si>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</si>
  <si>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</si>
  <si>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</si>
  <si>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</si>
  <si>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</si>
  <si>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</si>
  <si>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</si>
  <si>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</si>
  <si>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</si>
  <si>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</si>
  <si>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</si>
  <si>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</si>
  <si>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</si>
  <si>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</si>
  <si>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</si>
  <si>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</si>
  <si>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</si>
  <si>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</si>
  <si>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</si>
  <si>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</si>
  <si>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</si>
  <si>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</si>
  <si>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</si>
  <si>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</si>
  <si>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</si>
  <si>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</si>
  <si>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</si>
  <si>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</si>
  <si>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</si>
  <si>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</si>
  <si>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</si>
  <si>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</si>
  <si>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</si>
  <si>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</si>
  <si>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</si>
  <si>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</si>
  <si>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</si>
  <si>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</si>
  <si>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</si>
  <si>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</si>
  <si>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</si>
  <si>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</si>
  <si>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</si>
  <si>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</si>
  <si>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</si>
  <si>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</si>
  <si>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</si>
  <si>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</si>
  <si>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</si>
  <si>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</si>
  <si>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</si>
  <si>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</si>
  <si>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</si>
  <si>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</si>
  <si>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</si>
  <si>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</si>
  <si>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</si>
  <si>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</si>
  <si>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</si>
  <si>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</si>
  <si>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</si>
  <si>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</si>
  <si>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</si>
  <si>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</si>
  <si>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</si>
  <si>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</si>
  <si>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</si>
  <si>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</si>
  <si>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</si>
  <si>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</si>
  <si>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</si>
  <si>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</si>
  <si>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</si>
  <si>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</si>
  <si>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</si>
  <si>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</si>
  <si>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</si>
  <si>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</si>
  <si>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</si>
  <si>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</si>
  <si>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</si>
  <si>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</si>
  <si>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</si>
  <si>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</si>
  <si>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</si>
  <si>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</si>
  <si>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</si>
  <si>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</si>
  <si>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</si>
  <si>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</si>
  <si>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</si>
  <si>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</si>
  <si>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</si>
  <si>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</si>
  <si>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</si>
  <si>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</si>
  <si>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</si>
  <si>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</si>
  <si>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</si>
  <si>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</si>
  <si>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</si>
  <si>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</si>
  <si>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</si>
  <si>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</si>
  <si>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</si>
  <si>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</si>
  <si>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</si>
  <si>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</si>
  <si>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</si>
  <si>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</si>
  <si>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</si>
  <si>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</si>
  <si>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</si>
  <si>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</si>
  <si>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</si>
  <si>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</si>
  <si>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</si>
  <si>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</si>
  <si>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</si>
  <si>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</si>
  <si>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</si>
  <si>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</si>
  <si>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</si>
  <si>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</si>
  <si>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</si>
  <si>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</si>
  <si>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</si>
  <si>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</si>
  <si>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</si>
  <si>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</si>
  <si>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</si>
  <si>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</si>
  <si>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</si>
  <si>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</si>
  <si>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</si>
  <si>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</si>
  <si>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</si>
  <si>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</si>
  <si>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</si>
  <si>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</si>
  <si>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</si>
  <si>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</si>
  <si>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</si>
  <si>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</si>
  <si>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</si>
  <si>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</si>
  <si>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</si>
  <si>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</si>
  <si>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</si>
  <si>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</si>
  <si>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</si>
  <si>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</si>
  <si>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</si>
  <si>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</si>
  <si>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</si>
  <si>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</si>
  <si>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</si>
  <si>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</si>
  <si>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</si>
  <si>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</si>
  <si>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</si>
  <si>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</si>
  <si>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</si>
  <si>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</si>
  <si>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</si>
  <si>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</si>
  <si>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</si>
  <si>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</si>
  <si>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</si>
  <si>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</si>
  <si>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</si>
  <si>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</si>
  <si>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</si>
  <si>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</si>
  <si>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</si>
  <si>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</si>
  <si>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</si>
  <si>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</si>
  <si>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</si>
  <si>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</si>
  <si>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</si>
  <si>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</si>
  <si>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</si>
  <si>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</si>
  <si>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</si>
  <si>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</si>
  <si>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</si>
  <si>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</si>
  <si>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</si>
  <si>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</si>
  <si>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</si>
  <si>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</si>
  <si>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</si>
  <si>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</si>
  <si>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</si>
  <si>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</si>
  <si>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</si>
  <si>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</si>
  <si>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</si>
  <si>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</si>
  <si>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</si>
  <si>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</si>
  <si>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</si>
  <si>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</si>
  <si>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</si>
  <si>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</si>
  <si>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</si>
  <si>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</si>
  <si>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</si>
  <si>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</si>
  <si>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</si>
  <si>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</si>
  <si>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</si>
  <si>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</si>
  <si>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</si>
  <si>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</si>
  <si>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</si>
  <si>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</si>
  <si>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</si>
  <si>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</si>
  <si>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</si>
  <si>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</si>
  <si>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</si>
  <si>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</si>
  <si>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</si>
  <si>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</si>
  <si>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</si>
  <si>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</si>
  <si>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</si>
  <si>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</si>
  <si>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</si>
  <si>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</si>
  <si>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</si>
  <si>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</si>
  <si>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</si>
  <si>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</si>
  <si>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</si>
  <si>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</si>
  <si>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</si>
  <si>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</si>
  <si>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</si>
  <si>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</si>
  <si>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</si>
  <si>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</si>
  <si>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</si>
  <si>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</si>
  <si>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</si>
  <si>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</si>
  <si>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</si>
  <si>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</si>
  <si>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</si>
  <si>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</si>
  <si>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</si>
  <si>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</si>
  <si>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</si>
  <si>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</si>
  <si>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</si>
  <si>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</si>
  <si>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</si>
  <si>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</si>
  <si>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</si>
  <si>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</si>
  <si>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</si>
  <si>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</si>
  <si>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</si>
  <si>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</si>
  <si>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</si>
  <si>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</si>
  <si>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</si>
  <si>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</si>
  <si>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</si>
  <si>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</si>
  <si>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</si>
  <si>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</si>
  <si>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</si>
  <si>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</si>
  <si>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</si>
  <si>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</si>
  <si>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</si>
  <si>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</si>
  <si>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</si>
  <si>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</si>
  <si>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</si>
  <si>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</si>
  <si>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</si>
  <si>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</si>
  <si>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</si>
  <si>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</si>
  <si>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</si>
  <si>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</si>
  <si>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</si>
  <si>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</si>
  <si>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</si>
  <si>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</si>
  <si>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</si>
  <si>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</si>
  <si>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</si>
  <si>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</si>
  <si>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</si>
  <si>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</si>
  <si>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</si>
  <si>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</si>
  <si>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</si>
  <si>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</si>
  <si>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</si>
  <si>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</si>
  <si>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</si>
  <si>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</si>
  <si>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</si>
  <si>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</si>
  <si>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</si>
  <si>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</si>
  <si>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</si>
  <si>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</si>
  <si>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</si>
  <si>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</si>
  <si>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</si>
  <si>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</si>
  <si>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</si>
  <si>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</si>
  <si>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</si>
  <si>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</si>
  <si>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</si>
  <si>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</si>
  <si>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</si>
  <si>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</si>
  <si>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</si>
  <si>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</si>
  <si>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</si>
  <si>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</si>
  <si>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</si>
  <si>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</si>
  <si>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</si>
  <si>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</si>
  <si>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</si>
  <si>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</si>
  <si>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</si>
  <si>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</si>
  <si>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</si>
  <si>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</si>
  <si>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</si>
  <si>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</si>
  <si>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</si>
  <si>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</si>
  <si>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</si>
  <si>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</si>
  <si>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</si>
  <si>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</si>
  <si>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</si>
  <si>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</si>
  <si>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</si>
  <si>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</si>
  <si>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</si>
  <si>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</si>
  <si>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</si>
  <si>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</si>
  <si>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</si>
  <si>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</si>
  <si>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</si>
  <si>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</si>
  <si>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</si>
  <si>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</si>
  <si>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</si>
  <si>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</si>
  <si>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</si>
  <si>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</si>
  <si>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</si>
  <si>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</si>
  <si>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</si>
  <si>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</si>
  <si>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</si>
  <si>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</si>
  <si>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</si>
  <si>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</si>
  <si>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</si>
  <si>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</si>
  <si>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</si>
  <si>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</si>
  <si>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</si>
  <si>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</si>
  <si>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</si>
  <si>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</si>
  <si>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</si>
  <si>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</si>
  <si>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</si>
  <si>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</si>
  <si>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</si>
  <si>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</si>
  <si>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</si>
  <si>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</si>
  <si>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</si>
  <si>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</si>
  <si>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</si>
  <si>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</si>
  <si>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</si>
  <si>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</si>
  <si>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</si>
  <si>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</si>
  <si>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</si>
  <si>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</si>
  <si>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</si>
  <si>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</si>
  <si>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</si>
  <si>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</si>
  <si>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</si>
  <si>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</si>
  <si>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</si>
  <si>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</si>
  <si>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</si>
  <si>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</si>
  <si>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</si>
  <si>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</si>
  <si>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</si>
  <si>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</si>
  <si>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</si>
  <si>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</si>
  <si>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</si>
  <si>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</si>
  <si>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</si>
  <si>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</si>
  <si>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</si>
  <si>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</si>
  <si>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</si>
  <si>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</si>
  <si>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</si>
  <si>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</si>
  <si>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</si>
  <si>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</si>
  <si>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</si>
  <si>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</si>
  <si>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</si>
  <si>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</si>
  <si>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</si>
  <si>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</si>
  <si>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</si>
  <si>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</si>
  <si>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</si>
  <si>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</si>
  <si>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</si>
  <si>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</si>
  <si>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</si>
  <si>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</si>
  <si>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</si>
  <si>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</si>
  <si>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</si>
  <si>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</si>
  <si>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</si>
  <si>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</si>
  <si>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</si>
  <si>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</si>
  <si>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</si>
  <si>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</si>
  <si>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</si>
  <si>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</si>
  <si>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</si>
  <si>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</si>
  <si>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</si>
  <si>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</si>
  <si>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</si>
  <si>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</si>
  <si>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</si>
  <si>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</si>
  <si>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</si>
  <si>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</si>
  <si>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</si>
  <si>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</si>
  <si>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</si>
  <si>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</si>
  <si>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</si>
  <si>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</si>
  <si>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</si>
  <si>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</si>
  <si>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</si>
  <si>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</si>
  <si>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</si>
  <si>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</si>
  <si>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</si>
  <si>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</si>
  <si>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</si>
  <si>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</si>
  <si>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</si>
  <si>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</si>
  <si>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</si>
  <si>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</si>
  <si>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</si>
  <si>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</si>
  <si>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</si>
  <si>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</si>
  <si>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</si>
  <si>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</si>
  <si>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</si>
  <si>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</si>
  <si>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</si>
  <si>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</si>
  <si>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</si>
  <si>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</si>
  <si>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</si>
  <si>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</si>
  <si>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</si>
  <si>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</si>
  <si>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</si>
  <si>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</si>
  <si>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</si>
  <si>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</si>
  <si>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</si>
  <si>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</si>
  <si>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</si>
  <si>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</si>
  <si>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</si>
  <si>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</si>
  <si>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</si>
  <si>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</si>
  <si>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</si>
  <si>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</si>
  <si>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</si>
  <si>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</si>
  <si>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</si>
  <si>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</si>
  <si>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</si>
  <si>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</si>
  <si>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</si>
  <si>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</si>
  <si>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</si>
  <si>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</si>
  <si>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</si>
  <si>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</si>
  <si>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</si>
  <si>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</si>
  <si>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</si>
  <si>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</si>
  <si>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</si>
  <si>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</si>
  <si>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</si>
  <si>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</si>
  <si>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</si>
  <si>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</si>
  <si>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</si>
  <si>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</si>
  <si>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</si>
  <si>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</si>
  <si>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</si>
  <si>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</si>
  <si>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</si>
  <si>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</si>
  <si>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</si>
  <si>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</si>
  <si>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</si>
  <si>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</si>
  <si>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</si>
  <si>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</si>
  <si>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</si>
  <si>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</si>
  <si>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</si>
  <si>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</si>
  <si>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</si>
  <si>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</si>
  <si>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</si>
  <si>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</si>
  <si>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</si>
  <si>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</si>
  <si>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</si>
  <si>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</si>
  <si>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</si>
  <si>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</si>
  <si>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</si>
  <si>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</si>
  <si>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</si>
  <si>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</si>
  <si>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</si>
  <si>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</si>
  <si>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</si>
  <si>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</si>
  <si>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</si>
  <si>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</si>
  <si>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</si>
  <si>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</si>
  <si>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</si>
  <si>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</si>
  <si>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</si>
  <si>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</si>
  <si>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</si>
  <si>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</si>
  <si>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</si>
  <si>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</si>
  <si>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</si>
  <si>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</si>
  <si>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</si>
  <si>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</si>
  <si>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</si>
  <si>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</si>
  <si>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</si>
  <si>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</si>
  <si>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</si>
  <si>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</si>
  <si>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</si>
  <si>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</si>
  <si>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</si>
  <si>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</si>
  <si>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</si>
  <si>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</si>
  <si>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</si>
  <si>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</si>
  <si>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</si>
  <si>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</si>
  <si>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</si>
  <si>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</si>
  <si>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</si>
  <si>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</si>
  <si>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</si>
  <si>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</si>
  <si>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</si>
  <si>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</si>
  <si>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</si>
  <si>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</si>
  <si>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</si>
  <si>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</si>
  <si>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</si>
  <si>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</si>
  <si>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</si>
  <si>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</si>
  <si>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</si>
  <si>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</si>
  <si>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</si>
  <si>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</si>
  <si>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</si>
  <si>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</si>
  <si>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</si>
  <si>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</si>
  <si>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</si>
  <si>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</si>
  <si>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</si>
  <si>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</si>
  <si>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</si>
  <si>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</si>
  <si>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</si>
  <si>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</si>
  <si>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</si>
  <si>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</si>
  <si>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</si>
  <si>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</si>
  <si>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</si>
  <si>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</si>
  <si>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</si>
  <si>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</si>
  <si>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</si>
  <si>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</si>
  <si>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</si>
  <si>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</si>
  <si>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</si>
  <si>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</si>
  <si>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</si>
  <si>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</si>
  <si>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</si>
  <si>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</si>
  <si>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</si>
  <si>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</si>
  <si>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</si>
  <si>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</si>
  <si>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</si>
  <si>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</si>
  <si>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</si>
  <si>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</si>
  <si>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</si>
  <si>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</si>
  <si>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</si>
  <si>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</si>
  <si>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</si>
  <si>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</si>
  <si>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</si>
  <si>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</si>
  <si>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</si>
  <si>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</si>
  <si>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</si>
  <si>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</si>
  <si>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</si>
  <si>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</si>
  <si>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</si>
  <si>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</si>
  <si>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</si>
  <si>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</si>
  <si>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</si>
  <si>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</si>
  <si>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</si>
  <si>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</si>
  <si>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</si>
  <si>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</si>
  <si>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</si>
  <si>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</si>
  <si>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</si>
  <si>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</si>
  <si>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</si>
  <si>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</si>
  <si>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</si>
  <si>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</si>
  <si>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</si>
  <si>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</si>
  <si>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</si>
  <si>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</si>
  <si>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</si>
  <si>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</si>
  <si>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</si>
  <si>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</si>
  <si>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</si>
  <si>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</si>
  <si>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</si>
  <si>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</si>
  <si>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</si>
  <si>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</si>
  <si>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</si>
  <si>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</si>
  <si>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</si>
  <si>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</si>
  <si>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</si>
  <si>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</si>
  <si>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</si>
  <si>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</si>
  <si>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</si>
  <si>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</si>
  <si>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</si>
  <si>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</si>
  <si>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</si>
  <si>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</si>
  <si>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</si>
  <si>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</si>
  <si>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</si>
  <si>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</si>
  <si>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</si>
  <si>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</si>
  <si>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</si>
  <si>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</si>
  <si>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</si>
  <si>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</si>
  <si>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</si>
  <si>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</si>
  <si>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</si>
  <si>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</si>
  <si>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</si>
  <si>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</si>
  <si>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</si>
  <si>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</si>
  <si>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</si>
  <si>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</si>
  <si>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</si>
  <si>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</si>
  <si>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</si>
  <si>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</si>
  <si>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</si>
  <si>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</si>
  <si>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</si>
  <si>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</si>
  <si>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</si>
  <si>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</si>
  <si>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</si>
  <si>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</si>
  <si>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</si>
  <si>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</si>
  <si>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</si>
  <si>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</si>
  <si>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</si>
  <si>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</si>
  <si>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</si>
  <si>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</si>
  <si>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</si>
  <si>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</si>
  <si>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</si>
  <si>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</si>
  <si>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</si>
  <si>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</si>
  <si>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</si>
  <si>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</si>
  <si>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</si>
  <si>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</si>
  <si>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</si>
  <si>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</si>
  <si>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</si>
  <si>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</si>
  <si>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</si>
  <si>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</si>
  <si>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</si>
  <si>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</si>
  <si>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</si>
  <si>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</si>
  <si>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</si>
  <si>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</si>
  <si>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</si>
  <si>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</si>
  <si>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</si>
  <si>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</si>
  <si>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</si>
  <si>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</si>
  <si>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</si>
  <si>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</si>
  <si>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</si>
  <si>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</si>
  <si>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</si>
  <si>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</si>
  <si>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</si>
  <si>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</si>
  <si>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</si>
  <si>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</si>
  <si>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</si>
  <si>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</si>
  <si>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</si>
  <si>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</si>
  <si>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</si>
  <si>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</si>
  <si>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</si>
  <si>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</si>
  <si>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</si>
  <si>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</si>
  <si>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</si>
  <si>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</si>
  <si>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</si>
  <si>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</si>
  <si>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</si>
  <si>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</si>
  <si>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</si>
  <si>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</si>
  <si>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</si>
  <si>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</si>
  <si>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</si>
  <si>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</si>
  <si>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</si>
  <si>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</si>
  <si>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</si>
  <si>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</si>
  <si>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</si>
  <si>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</si>
  <si>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</si>
  <si>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</si>
  <si>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</si>
  <si>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</si>
  <si>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</si>
  <si>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</si>
  <si>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</si>
  <si>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</si>
  <si>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</si>
  <si>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</si>
  <si>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</si>
  <si>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</si>
  <si>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</si>
  <si>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</si>
  <si>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</si>
  <si>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</si>
  <si>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</si>
  <si>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</si>
  <si>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</si>
  <si>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</si>
  <si>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</si>
  <si>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</si>
  <si>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</si>
  <si>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</si>
  <si>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</si>
  <si>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</si>
  <si>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</si>
  <si>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</si>
  <si>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</si>
  <si>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</si>
  <si>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</si>
  <si>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</si>
  <si>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</si>
  <si>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</si>
  <si>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</si>
  <si>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</si>
  <si>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</si>
  <si>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</si>
  <si>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</si>
  <si>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</si>
  <si>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</si>
  <si>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</si>
  <si>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</si>
  <si>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</si>
  <si>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</si>
  <si>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</si>
  <si>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</si>
  <si>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</si>
  <si>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</si>
  <si>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</si>
  <si>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</si>
  <si>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</si>
  <si>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</si>
  <si>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</si>
  <si>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</si>
  <si>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</si>
  <si>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</si>
  <si>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</si>
  <si>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</si>
  <si>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</si>
  <si>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</si>
  <si>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</si>
  <si>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</si>
  <si>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</si>
  <si>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</si>
  <si>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</si>
  <si>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</si>
  <si>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</si>
  <si>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</si>
  <si>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</si>
  <si>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</si>
  <si>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</si>
  <si>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</si>
  <si>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</si>
  <si>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</si>
  <si>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</si>
  <si>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</si>
  <si>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</si>
  <si>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</si>
  <si>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</si>
  <si>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</si>
  <si>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</si>
  <si>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</si>
  <si>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</si>
  <si>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</si>
  <si>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</si>
  <si>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</si>
  <si>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</si>
  <si>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</si>
  <si>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</si>
  <si>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</si>
  <si>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</si>
  <si>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</si>
  <si>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</si>
  <si>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</si>
  <si>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</si>
  <si>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</si>
  <si>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</si>
  <si>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</si>
  <si>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</si>
  <si>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</si>
  <si>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</si>
  <si>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</si>
  <si>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</si>
  <si>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</si>
  <si>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</si>
  <si>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</si>
  <si>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</si>
  <si>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</si>
  <si>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</si>
  <si>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</si>
  <si>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</si>
  <si>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</si>
  <si>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</si>
  <si>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</si>
  <si>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</si>
  <si>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</si>
  <si>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</si>
  <si>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</si>
  <si>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</si>
  <si>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</si>
  <si>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</si>
  <si>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</si>
  <si>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</si>
  <si>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</si>
  <si>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</si>
  <si>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</si>
  <si>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</si>
  <si>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</si>
  <si>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</si>
  <si>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</si>
  <si>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</si>
  <si>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</si>
  <si>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</si>
  <si>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</si>
  <si>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</si>
  <si>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</si>
  <si>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</si>
  <si>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</si>
  <si>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</si>
  <si>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</si>
  <si>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</si>
  <si>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</si>
  <si>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</si>
  <si>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</si>
  <si>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</si>
  <si>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</si>
  <si>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</si>
  <si>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</si>
  <si>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</si>
  <si>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</si>
  <si>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</si>
  <si>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</si>
  <si>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</si>
  <si>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</si>
  <si>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</si>
  <si>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</si>
  <si>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</si>
  <si>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</si>
  <si>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</si>
  <si>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</si>
  <si>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</si>
  <si>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</si>
  <si>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</si>
  <si>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</si>
  <si>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</si>
  <si>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</si>
  <si>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</si>
  <si>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</si>
  <si>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</si>
  <si>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</si>
  <si>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</si>
  <si>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</si>
  <si>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</si>
  <si>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</si>
  <si>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</si>
  <si>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</si>
  <si>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</si>
  <si>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</si>
  <si>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</si>
  <si>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</si>
  <si>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</si>
  <si>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</si>
  <si>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</si>
  <si>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</si>
  <si>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</si>
  <si>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</si>
  <si>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</si>
  <si>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</si>
  <si>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</si>
  <si>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</si>
  <si>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</si>
  <si>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</si>
  <si>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</si>
  <si>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</si>
  <si>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</si>
  <si>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</si>
  <si>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</si>
  <si>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</si>
  <si>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</si>
  <si>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</si>
  <si>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</si>
  <si>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</si>
  <si>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</si>
  <si>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</si>
  <si>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</si>
  <si>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</si>
  <si>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</si>
  <si>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</si>
  <si>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</si>
  <si>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</si>
  <si>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</si>
  <si>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</si>
  <si>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</si>
  <si>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</si>
  <si>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</si>
  <si>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</si>
  <si>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</si>
  <si>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</si>
  <si>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</si>
  <si>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</si>
  <si>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</si>
  <si>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</si>
  <si>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</si>
  <si>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</si>
  <si>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</si>
  <si>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</si>
  <si>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</si>
  <si>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</si>
  <si>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</si>
  <si>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</si>
  <si>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</si>
  <si>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</si>
  <si>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</si>
  <si>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</si>
  <si>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</si>
  <si>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</si>
  <si>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</si>
  <si>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</si>
  <si>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</si>
  <si>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</si>
  <si>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</si>
  <si>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</si>
  <si>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</si>
  <si>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</si>
  <si>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</si>
  <si>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</si>
  <si>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</si>
  <si>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</si>
  <si>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</si>
  <si>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</si>
  <si>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</si>
  <si>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</si>
  <si>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</si>
  <si>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</si>
  <si>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</si>
  <si>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</si>
  <si>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</si>
  <si>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</si>
  <si>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</si>
  <si>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</si>
  <si>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</si>
  <si>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</si>
  <si>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</si>
  <si>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</si>
  <si>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</si>
  <si>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</si>
  <si>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</si>
  <si>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</si>
  <si>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</si>
  <si>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</si>
  <si>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</si>
  <si>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</si>
  <si>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</si>
  <si>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</si>
  <si>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</si>
  <si>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</si>
  <si>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</si>
  <si>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</si>
  <si>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</si>
  <si>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</si>
  <si>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</si>
  <si>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</si>
  <si>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</si>
  <si>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</si>
  <si>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</si>
  <si>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</si>
  <si>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</si>
  <si>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</si>
  <si>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</si>
  <si>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</si>
  <si>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</si>
  <si>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</si>
  <si>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</si>
  <si>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</si>
  <si>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</si>
  <si>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</si>
  <si>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</si>
  <si>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</si>
  <si>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</si>
  <si>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</si>
  <si>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</si>
  <si>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一期</t>
    <phoneticPr fontId="140" type="noConversion"/>
  </si>
  <si>
    <t>办公</t>
    <phoneticPr fontId="140" type="noConversion"/>
  </si>
  <si>
    <t>地上商业</t>
    <phoneticPr fontId="140" type="noConversion"/>
  </si>
  <si>
    <t>地下商业</t>
    <phoneticPr fontId="140" type="noConversion"/>
  </si>
  <si>
    <t>汇总</t>
    <phoneticPr fontId="140" type="noConversion"/>
  </si>
  <si>
    <t>土地面积</t>
    <phoneticPr fontId="140" type="noConversion"/>
  </si>
  <si>
    <r>
      <t>1</t>
    </r>
    <r>
      <rPr>
        <sz val="11"/>
        <color theme="1"/>
        <rFont val="宋体"/>
        <family val="3"/>
        <charset val="134"/>
        <scheme val="minor"/>
      </rPr>
      <t>#办公楼</t>
    </r>
    <phoneticPr fontId="140" type="noConversion"/>
  </si>
  <si>
    <t>其中</t>
    <phoneticPr fontId="140" type="noConversion"/>
  </si>
  <si>
    <t>总建筑面积</t>
    <phoneticPr fontId="140" type="noConversion"/>
  </si>
  <si>
    <r>
      <t>2</t>
    </r>
    <r>
      <rPr>
        <sz val="11"/>
        <color theme="1"/>
        <rFont val="宋体"/>
        <family val="3"/>
        <charset val="134"/>
        <scheme val="minor"/>
      </rPr>
      <t>#办公楼</t>
    </r>
    <phoneticPr fontId="140" type="noConversion"/>
  </si>
  <si>
    <t>地上建筑面积</t>
    <phoneticPr fontId="140" type="noConversion"/>
  </si>
  <si>
    <r>
      <t>8</t>
    </r>
    <r>
      <rPr>
        <sz val="11"/>
        <color theme="1"/>
        <rFont val="宋体"/>
        <family val="3"/>
        <charset val="134"/>
        <scheme val="minor"/>
      </rPr>
      <t>#商业楼</t>
    </r>
    <phoneticPr fontId="140" type="noConversion"/>
  </si>
  <si>
    <t>办公</t>
    <phoneticPr fontId="140" type="noConversion"/>
  </si>
  <si>
    <t>9#办公楼</t>
    <phoneticPr fontId="140" type="noConversion"/>
  </si>
  <si>
    <t>商业</t>
    <phoneticPr fontId="140" type="noConversion"/>
  </si>
  <si>
    <t>合计</t>
    <phoneticPr fontId="140" type="noConversion"/>
  </si>
  <si>
    <t>人行通道</t>
    <phoneticPr fontId="140" type="noConversion"/>
  </si>
  <si>
    <t>地面出入口</t>
    <phoneticPr fontId="140" type="noConversion"/>
  </si>
  <si>
    <t>地下建筑面积</t>
    <phoneticPr fontId="140" type="noConversion"/>
  </si>
  <si>
    <t>地下商业</t>
    <phoneticPr fontId="140" type="noConversion"/>
  </si>
  <si>
    <t>二期</t>
    <phoneticPr fontId="140" type="noConversion"/>
  </si>
  <si>
    <t>人行通道</t>
    <phoneticPr fontId="140" type="noConversion"/>
  </si>
  <si>
    <t>办公</t>
    <phoneticPr fontId="140" type="noConversion"/>
  </si>
  <si>
    <t>地上商业</t>
    <phoneticPr fontId="140" type="noConversion"/>
  </si>
  <si>
    <t>地下商业</t>
    <phoneticPr fontId="140" type="noConversion"/>
  </si>
  <si>
    <t>车库</t>
    <phoneticPr fontId="140" type="noConversion"/>
  </si>
  <si>
    <t>设备</t>
    <phoneticPr fontId="140" type="noConversion"/>
  </si>
  <si>
    <t>人防</t>
    <phoneticPr fontId="140" type="noConversion"/>
  </si>
  <si>
    <t>汇总</t>
    <phoneticPr fontId="140" type="noConversion"/>
  </si>
  <si>
    <t>车库、设备用房</t>
    <phoneticPr fontId="140" type="noConversion"/>
  </si>
  <si>
    <t>土地</t>
    <phoneticPr fontId="140" type="noConversion"/>
  </si>
  <si>
    <t>总设备用房</t>
    <phoneticPr fontId="140" type="noConversion"/>
  </si>
  <si>
    <t>地上商业</t>
    <phoneticPr fontId="140" type="noConversion"/>
  </si>
  <si>
    <t>车库</t>
    <phoneticPr fontId="140" type="noConversion"/>
  </si>
  <si>
    <t>设备</t>
    <phoneticPr fontId="140" type="noConversion"/>
  </si>
  <si>
    <t>人防</t>
    <phoneticPr fontId="140" type="noConversion"/>
  </si>
  <si>
    <t>汇总</t>
    <phoneticPr fontId="140" type="noConversion"/>
  </si>
  <si>
    <r>
      <t>1</t>
    </r>
    <r>
      <rPr>
        <sz val="11"/>
        <color theme="1"/>
        <rFont val="宋体"/>
        <family val="3"/>
        <charset val="134"/>
        <scheme val="minor"/>
      </rPr>
      <t>#办公楼</t>
    </r>
    <phoneticPr fontId="140" type="noConversion"/>
  </si>
  <si>
    <r>
      <t>2</t>
    </r>
    <r>
      <rPr>
        <sz val="11"/>
        <color theme="1"/>
        <rFont val="宋体"/>
        <family val="3"/>
        <charset val="134"/>
        <scheme val="minor"/>
      </rPr>
      <t>#办公楼</t>
    </r>
    <phoneticPr fontId="140" type="noConversion"/>
  </si>
  <si>
    <r>
      <t>8</t>
    </r>
    <r>
      <rPr>
        <sz val="11"/>
        <color theme="1"/>
        <rFont val="宋体"/>
        <family val="3"/>
        <charset val="134"/>
        <scheme val="minor"/>
      </rPr>
      <t>#商业楼</t>
    </r>
    <phoneticPr fontId="140" type="noConversion"/>
  </si>
  <si>
    <t>9#办公楼</t>
    <phoneticPr fontId="140" type="noConversion"/>
  </si>
  <si>
    <t>合计</t>
    <phoneticPr fontId="140" type="noConversion"/>
  </si>
  <si>
    <t>抵押</t>
  </si>
  <si>
    <t>房地产抵押价值</t>
  </si>
  <si>
    <t>北京市</t>
  </si>
  <si>
    <t>企业</t>
  </si>
  <si>
    <t>出让</t>
  </si>
  <si>
    <t>Ⅷ-顺1</t>
  </si>
  <si>
    <t>一期</t>
  </si>
  <si>
    <t>一期</t>
    <phoneticPr fontId="3" type="noConversion"/>
  </si>
  <si>
    <t>二期</t>
  </si>
  <si>
    <t>二期</t>
    <phoneticPr fontId="3" type="noConversion"/>
  </si>
  <si>
    <t>是</t>
  </si>
  <si>
    <t>是</t>
    <phoneticPr fontId="3" type="noConversion"/>
  </si>
  <si>
    <t>地上</t>
    <phoneticPr fontId="3" type="noConversion"/>
  </si>
  <si>
    <t>办公</t>
    <phoneticPr fontId="3" type="noConversion"/>
  </si>
  <si>
    <t>商业</t>
    <phoneticPr fontId="3" type="noConversion"/>
  </si>
  <si>
    <t>地下</t>
  </si>
  <si>
    <t>办公</t>
    <phoneticPr fontId="7" type="noConversion"/>
  </si>
  <si>
    <t>收益法</t>
  </si>
  <si>
    <t>期号</t>
  </si>
  <si>
    <t>楼号  Building No.</t>
  </si>
  <si>
    <t>户型                                                                                                                                                                          Room Type</t>
  </si>
  <si>
    <t>总计 Total</t>
  </si>
  <si>
    <t>独立1K （36.6/39.3㎡）</t>
    <phoneticPr fontId="140" type="noConversion"/>
  </si>
  <si>
    <t>独立2K （57.3㎡）</t>
  </si>
  <si>
    <t>独立3K   (90.6㎡）</t>
  </si>
  <si>
    <t xml:space="preserve"> 协护1K （36.6/39.3㎡）  </t>
  </si>
  <si>
    <t>失智照护</t>
    <phoneticPr fontId="140" type="noConversion"/>
  </si>
  <si>
    <t>1#</t>
  </si>
  <si>
    <t>2#</t>
  </si>
  <si>
    <t>9#</t>
  </si>
  <si>
    <t>总计</t>
  </si>
  <si>
    <t>3#</t>
  </si>
  <si>
    <t>4#</t>
  </si>
  <si>
    <t>5#</t>
  </si>
  <si>
    <t>6#</t>
  </si>
  <si>
    <t>7#</t>
  </si>
  <si>
    <t>10#</t>
  </si>
  <si>
    <t>11#</t>
  </si>
  <si>
    <t>一期二期总计</t>
  </si>
  <si>
    <t>总间数</t>
    <phoneticPr fontId="140" type="noConversion"/>
  </si>
  <si>
    <t>总收益</t>
    <phoneticPr fontId="140" type="noConversion"/>
  </si>
  <si>
    <t>押金</t>
    <phoneticPr fontId="140" type="noConversion"/>
  </si>
  <si>
    <t>在建（套用方法）</t>
  </si>
  <si>
    <t>自定义</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</si>
  <si>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</si>
  <si>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</si>
  <si>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</si>
  <si>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</si>
  <si>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</si>
  <si>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</si>
  <si>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</si>
  <si>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</si>
  <si>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</si>
  <si>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</si>
  <si>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</si>
  <si>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</si>
  <si>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</si>
  <si>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</si>
  <si>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</si>
  <si>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</si>
  <si>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</si>
  <si>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</si>
  <si>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</si>
  <si>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</si>
  <si>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</si>
  <si>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</si>
  <si>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</si>
  <si>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</si>
  <si>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</si>
  <si>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</si>
  <si>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</si>
  <si>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</si>
  <si>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</si>
  <si>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</si>
  <si>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</si>
  <si>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</si>
  <si>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</si>
  <si>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</si>
  <si>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</si>
  <si>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</si>
  <si>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</si>
  <si>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</si>
  <si>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</si>
  <si>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</si>
  <si>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</si>
  <si>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</si>
  <si>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</si>
  <si>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</si>
  <si>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</si>
  <si>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</si>
  <si>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</si>
  <si>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</si>
  <si>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</si>
  <si>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</si>
  <si>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</si>
  <si>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</si>
  <si>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</si>
  <si>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</si>
  <si>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</si>
  <si>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</si>
  <si>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</si>
  <si>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</si>
  <si>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</si>
  <si>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</si>
  <si>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</si>
  <si>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</si>
  <si>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</si>
  <si>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</si>
  <si>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</si>
  <si>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</si>
  <si>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</si>
  <si>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</si>
  <si>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</si>
  <si>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</si>
  <si>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</si>
  <si>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</si>
  <si>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</si>
  <si>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</si>
  <si>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</si>
  <si>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</si>
  <si>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</si>
  <si>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</si>
  <si>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</si>
  <si>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</si>
  <si>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phoneticPr fontId="140" type="noConversion"/>
  </si>
  <si>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</si>
  <si>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</si>
  <si>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</si>
  <si>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</si>
  <si>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</si>
  <si>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</si>
  <si>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</si>
  <si>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</si>
  <si>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</si>
  <si>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</si>
  <si>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</si>
  <si>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</si>
  <si>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</si>
  <si>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</si>
  <si>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</si>
  <si>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</si>
  <si>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</si>
  <si>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</si>
  <si>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</si>
  <si>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</si>
  <si>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</si>
  <si>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</si>
  <si>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</si>
  <si>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</si>
  <si>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</si>
  <si>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</si>
  <si>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</si>
  <si>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</si>
  <si>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</si>
  <si>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</si>
  <si>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</si>
  <si>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</si>
  <si>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</si>
  <si>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</si>
  <si>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</si>
  <si>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</si>
  <si>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</si>
  <si>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</si>
  <si>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</si>
  <si>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</si>
  <si>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</si>
  <si>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</si>
  <si>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</si>
  <si>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</si>
  <si>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</si>
  <si>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</si>
  <si>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</si>
  <si>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</si>
  <si>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</si>
  <si>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</si>
  <si>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</si>
  <si>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</si>
  <si>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</si>
  <si>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</si>
  <si>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</si>
  <si>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</si>
  <si>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</si>
  <si>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</si>
  <si>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</si>
  <si>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</si>
  <si>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</si>
  <si>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</si>
  <si>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</si>
  <si>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</si>
  <si>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</si>
  <si>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</si>
  <si>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</si>
  <si>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</si>
  <si>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</si>
  <si>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</si>
  <si>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</si>
  <si>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</si>
  <si>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</si>
  <si>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</si>
  <si>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</si>
  <si>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</si>
  <si>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</si>
  <si>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正常</t>
    <phoneticPr fontId="31" type="noConversion"/>
  </si>
  <si>
    <t>正常</t>
    <phoneticPr fontId="31" type="noConversion"/>
  </si>
  <si>
    <t>养老</t>
    <phoneticPr fontId="31" type="noConversion"/>
  </si>
  <si>
    <t>办公</t>
    <phoneticPr fontId="31" type="noConversion"/>
  </si>
  <si>
    <t>办公</t>
    <phoneticPr fontId="31" type="noConversion"/>
  </si>
  <si>
    <t>0-20</t>
    <phoneticPr fontId="31" type="noConversion"/>
  </si>
  <si>
    <t>溢价率</t>
    <phoneticPr fontId="31" type="noConversion"/>
  </si>
  <si>
    <t>20-40</t>
    <phoneticPr fontId="31" type="noConversion"/>
  </si>
  <si>
    <t>40-60</t>
    <phoneticPr fontId="31" type="noConversion"/>
  </si>
  <si>
    <t>40-60</t>
    <phoneticPr fontId="31" type="noConversion"/>
  </si>
  <si>
    <t>一般</t>
    <phoneticPr fontId="31" type="noConversion"/>
  </si>
  <si>
    <t>较好</t>
    <phoneticPr fontId="31" type="noConversion"/>
  </si>
  <si>
    <t>七通</t>
    <phoneticPr fontId="31" type="noConversion"/>
  </si>
  <si>
    <t>七通</t>
    <phoneticPr fontId="31" type="noConversion"/>
  </si>
  <si>
    <t>未包含在土地购买价格中</t>
  </si>
  <si>
    <t>全部缴纳</t>
  </si>
  <si>
    <t>已包含在土地取得成本中</t>
  </si>
  <si>
    <t>成本法</t>
  </si>
  <si>
    <t>假设开发法</t>
  </si>
  <si>
    <t>总价</t>
  </si>
  <si>
    <t>医卫慈善用地</t>
  </si>
  <si>
    <t>与级别开发程度一致</t>
  </si>
  <si>
    <t>地价指数</t>
  </si>
  <si>
    <t>容积率修正</t>
  </si>
  <si>
    <t>二期办公</t>
  </si>
  <si>
    <t>二期办公</t>
    <phoneticPr fontId="7" type="noConversion"/>
  </si>
  <si>
    <t>收益法-二期</t>
  </si>
  <si>
    <t>收益法-二期</t>
    <phoneticPr fontId="16" type="noConversion"/>
  </si>
  <si>
    <t>土地（套用方法）</t>
  </si>
  <si>
    <t>车库—办公</t>
  </si>
  <si>
    <t>一般</t>
  </si>
  <si>
    <t>较好</t>
  </si>
  <si>
    <t>一期</t>
    <phoneticPr fontId="3" type="noConversion"/>
  </si>
  <si>
    <t>二期</t>
    <phoneticPr fontId="3" type="noConversion"/>
  </si>
  <si>
    <t>设备</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</si>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</sst>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1"/>
      <color theme="1"/>
      <name val="宋体"/>
      <family val="2"/>
      <scheme val="minor"/>
    </font>
    <font>
      <b/>
      <sz val="14"/>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67" fillId="0" borderId="0"/>
  </cellStyleXfs>
  <cellXfs count="34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0" fillId="5" borderId="1" xfId="0" applyFill="1" applyBorder="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97" fontId="167" fillId="0" borderId="6" xfId="17" applyNumberFormat="1" applyBorder="1" applyAlignment="1">
      <alignment horizontal="center" vertical="center" wrapText="1"/>
    </xf>
    <xf numFmtId="197" fontId="167" fillId="0" borderId="9" xfId="17" applyNumberFormat="1" applyBorder="1" applyAlignment="1">
      <alignment horizontal="center" vertical="center" wrapText="1"/>
    </xf>
    <xf numFmtId="197" fontId="167" fillId="0" borderId="10" xfId="17" applyNumberFormat="1" applyBorder="1" applyAlignment="1">
      <alignment horizontal="center" vertical="center" wrapText="1"/>
    </xf>
    <xf numFmtId="0" fontId="167" fillId="0" borderId="23" xfId="17" applyBorder="1" applyAlignment="1">
      <alignment horizontal="center" vertical="center"/>
    </xf>
    <xf numFmtId="0" fontId="167" fillId="0" borderId="1" xfId="17" applyBorder="1" applyAlignment="1">
      <alignment horizontal="center" vertical="center"/>
    </xf>
    <xf numFmtId="197" fontId="167" fillId="20" borderId="1" xfId="17" applyNumberFormat="1" applyFill="1" applyBorder="1" applyAlignment="1">
      <alignment horizontal="center" vertical="center" wrapText="1"/>
    </xf>
    <xf numFmtId="197" fontId="167" fillId="21" borderId="1" xfId="17" applyNumberFormat="1" applyFill="1" applyBorder="1" applyAlignment="1">
      <alignment horizontal="center" vertical="center" wrapText="1"/>
    </xf>
    <xf numFmtId="0" fontId="98" fillId="22" borderId="0" xfId="17" applyFont="1" applyFill="1" applyBorder="1" applyAlignment="1">
      <alignment horizontal="center" vertical="center"/>
    </xf>
    <xf numFmtId="0" fontId="167" fillId="0" borderId="24" xfId="17" applyBorder="1" applyAlignment="1">
      <alignment horizontal="center" vertical="center"/>
    </xf>
    <xf numFmtId="0" fontId="167" fillId="0" borderId="1" xfId="17" applyBorder="1" applyAlignment="1">
      <alignment horizontal="center"/>
    </xf>
    <xf numFmtId="0" fontId="167" fillId="0" borderId="1" xfId="17" applyFill="1" applyBorder="1" applyAlignment="1">
      <alignment horizontal="center" vertical="center"/>
    </xf>
    <xf numFmtId="0" fontId="254" fillId="0" borderId="24" xfId="17" applyFont="1" applyFill="1" applyBorder="1" applyAlignment="1">
      <alignment horizontal="center" vertical="center"/>
    </xf>
    <xf numFmtId="0" fontId="167"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67" fillId="0" borderId="23" xfId="17" applyBorder="1" applyAlignment="1">
      <alignment vertical="center"/>
    </xf>
    <xf numFmtId="0" fontId="167" fillId="0" borderId="1" xfId="17" applyBorder="1" applyAlignment="1">
      <alignment vertical="center"/>
    </xf>
    <xf numFmtId="0" fontId="167" fillId="0" borderId="24" xfId="17" applyBorder="1" applyAlignment="1">
      <alignment vertical="center"/>
    </xf>
    <xf numFmtId="0" fontId="167" fillId="0" borderId="23" xfId="17" applyFill="1" applyBorder="1" applyAlignment="1">
      <alignment horizontal="center" vertical="center"/>
    </xf>
    <xf numFmtId="0" fontId="167"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8" fillId="0" borderId="0" xfId="0" applyFont="1" applyFill="1" applyBorder="1">
      <alignment vertical="center"/>
    </xf>
    <xf numFmtId="0" fontId="19" fillId="0" borderId="0" xfId="0" applyFont="1" applyFill="1" applyBorder="1" applyAlignment="1"/>
    <xf numFmtId="0" fontId="0" fillId="23" borderId="0" xfId="0" applyFill="1">
      <alignment vertical="center"/>
    </xf>
    <xf numFmtId="0" fontId="98" fillId="5" borderId="0" xfId="0" applyFont="1" applyFill="1" applyAlignment="1"/>
    <xf numFmtId="0" fontId="0" fillId="5" borderId="0" xfId="0" applyFill="1" applyAlignment="1"/>
    <xf numFmtId="0" fontId="0" fillId="8" borderId="0" xfId="0" applyFill="1" applyAlignment="1"/>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46" fillId="9" borderId="24" xfId="1" applyNumberFormat="1" applyFont="1" applyFill="1" applyBorder="1" applyAlignment="1" applyProtection="1">
      <alignment horizontal="center"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197" fontId="167" fillId="0" borderId="29" xfId="17" applyNumberFormat="1" applyBorder="1" applyAlignment="1">
      <alignment horizontal="center" vertical="center" wrapText="1"/>
    </xf>
    <xf numFmtId="197" fontId="167" fillId="0" borderId="19" xfId="17" applyNumberFormat="1" applyBorder="1" applyAlignment="1">
      <alignment horizontal="center" vertical="center" wrapText="1"/>
    </xf>
    <xf numFmtId="197" fontId="167"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8</xdr:col>
      <xdr:colOff>589705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8</xdr:col>
      <xdr:colOff>161925</xdr:colOff>
      <xdr:row>85</xdr:row>
      <xdr:rowOff>152959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338-F02DYGJ2&#65288;&#22312;&#24314;&#37096;&#20998;&#65289;&#21271;&#20140;&#24066;&#39034;&#20041;&#21306;&#26446;&#26725;&#38215;&#24196;&#23376;&#33829;&#26449;&#19968;&#23447;&#21830;&#21153;&#37329;&#34701;&#29992;&#22320;&#20986;&#35753;&#22269;&#26377;&#24314;&#35774;&#29992;&#22320;&#20351;&#29992;&#26435;&#21450;&#22312;&#24314;&#24314;&#31569;&#29289;&#25151;&#22320;&#20135;&#25269;&#25276;&#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预测绘"/>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G6">
            <v>3811.86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B2">
            <v>60.81</v>
          </cell>
          <cell r="C2">
            <v>51.84</v>
          </cell>
        </row>
        <row r="3">
          <cell r="B3">
            <v>95.24</v>
          </cell>
          <cell r="C3">
            <v>46.74</v>
          </cell>
        </row>
        <row r="4">
          <cell r="B4">
            <v>50.4</v>
          </cell>
          <cell r="C4">
            <v>50.22</v>
          </cell>
        </row>
        <row r="5">
          <cell r="B5">
            <v>42.72</v>
          </cell>
          <cell r="C5">
            <v>49.95</v>
          </cell>
        </row>
        <row r="6">
          <cell r="B6">
            <v>38.42</v>
          </cell>
        </row>
        <row r="7">
          <cell r="B7">
            <v>34.119999999999997</v>
          </cell>
        </row>
        <row r="8">
          <cell r="B8">
            <v>31.69</v>
          </cell>
        </row>
        <row r="28">
          <cell r="E28">
            <v>4945.95</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105258.64000000001</v>
          </cell>
          <cell r="C14">
            <v>33856.980000000003</v>
          </cell>
          <cell r="D14">
            <v>118667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Sheet2"/>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251495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估价对象为北京市房地产，为所有。根据《国有土地使用证》[]，估价对象（分摊）出让国有建设用地使用权面积为49477.2平方米，建筑面积为153820.67平方米。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估价对象为北京市房地产,属开发建设的，该项目尚在开发建设中。根据《国有土地使用证》[]，估价对象（分摊）出让国有建设用地使用权面积为49477.2平方米，规划建筑面积为153820.67平方米。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2020年12月11日</v>
      </c>
    </row>
    <row r="13" spans="1:2" s="1364" customFormat="1">
      <c r="A13" s="1362" t="s">
        <v>1194</v>
      </c>
      <c r="B13" s="1363" t="str">
        <f>'预评函-1'!A18</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266858</v>
      </c>
    </row>
    <row r="21" spans="1:2" s="1364" customFormat="1">
      <c r="A21" s="1362" t="s">
        <v>1202</v>
      </c>
      <c r="B21" s="1363">
        <f ca="1">'预评函-2'!D7</f>
        <v>17349</v>
      </c>
    </row>
    <row r="22" spans="1:2" s="1364" customFormat="1">
      <c r="A22" s="1362" t="s">
        <v>1203</v>
      </c>
      <c r="B22" s="1363" t="str">
        <f ca="1">'预评函-2'!D6</f>
        <v>贰拾陆亿陆仟捌佰伍拾捌万元整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266858</v>
      </c>
    </row>
    <row r="31" spans="1:2" s="1364" customFormat="1">
      <c r="A31" s="1362" t="s">
        <v>1241</v>
      </c>
      <c r="B31" s="1363">
        <f ca="1">'预评函-2'!D15</f>
        <v>17349</v>
      </c>
    </row>
    <row r="32" spans="1:2" s="1364" customFormat="1">
      <c r="A32" s="1362" t="s">
        <v>1208</v>
      </c>
      <c r="B32" s="1363" t="str">
        <f ca="1">'预评函-2'!D14</f>
        <v>贰拾陆亿陆仟捌佰伍拾捌万元整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153820.67000000001</v>
      </c>
    </row>
    <row r="44" spans="1:2" s="1364" customFormat="1">
      <c r="A44" s="1362" t="s">
        <v>1240</v>
      </c>
      <c r="B44" s="1363" t="str">
        <f>'预评函-3'!C2</f>
        <v>(分摊)土地面积</v>
      </c>
    </row>
    <row r="45" spans="1:2" s="1364" customFormat="1">
      <c r="A45" s="1362" t="s">
        <v>1212</v>
      </c>
      <c r="B45" s="1363">
        <f>'预评函-3'!C4</f>
        <v>49477.2</v>
      </c>
    </row>
    <row r="46" spans="1:2" s="1364" customFormat="1">
      <c r="A46" s="1362" t="s">
        <v>1238</v>
      </c>
      <c r="B46" s="1363" t="str">
        <f>'预评函-3'!D2</f>
        <v>出让国有建设用地使用权价值</v>
      </c>
    </row>
    <row r="47" spans="1:2" s="1364" customFormat="1">
      <c r="A47" s="1362" t="s">
        <v>1213</v>
      </c>
      <c r="B47" s="1363">
        <f ca="1">'预评函-3'!D4</f>
        <v>246043</v>
      </c>
    </row>
    <row r="48" spans="1:2" s="1364" customFormat="1">
      <c r="A48" s="1362" t="s">
        <v>1214</v>
      </c>
      <c r="B48" s="1363">
        <f ca="1">'预评函-3'!E4</f>
        <v>15996</v>
      </c>
    </row>
    <row r="49" spans="1:2" s="1364" customFormat="1">
      <c r="A49" s="1362" t="s">
        <v>1215</v>
      </c>
      <c r="B49" s="1363" t="str">
        <f ca="1">'预评函-3'!D5</f>
        <v>贰拾肆亿陆仟零肆拾叁万元整</v>
      </c>
    </row>
    <row r="50" spans="1:2" s="1364" customFormat="1">
      <c r="A50" s="1362" t="s">
        <v>1239</v>
      </c>
      <c r="B50" s="1363" t="str">
        <f>'预评函-3'!F2</f>
        <v>在建建筑物价值</v>
      </c>
    </row>
    <row r="51" spans="1:2" s="1364" customFormat="1">
      <c r="A51" s="1362" t="s">
        <v>1216</v>
      </c>
      <c r="B51" s="1363">
        <f ca="1">'预评函-3'!F4</f>
        <v>20815</v>
      </c>
    </row>
    <row r="52" spans="1:2" s="1364" customFormat="1">
      <c r="A52" s="1362" t="s">
        <v>1217</v>
      </c>
      <c r="B52" s="1363">
        <f ca="1">'预评函-3'!G4</f>
        <v>1353</v>
      </c>
    </row>
    <row r="53" spans="1:2" s="1364" customFormat="1">
      <c r="A53" s="1362" t="s">
        <v>1245</v>
      </c>
      <c r="B53" s="1363" t="str">
        <f ca="1">'预评函-3'!F5</f>
        <v>贰亿零捌佰壹拾伍万元整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3331</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740" t="s">
        <v>832</v>
      </c>
      <c r="C54" s="1737" t="s">
        <v>1248</v>
      </c>
    </row>
    <row r="55" spans="1:4">
      <c r="A55" s="3157"/>
      <c r="B55" s="1740" t="s">
        <v>833</v>
      </c>
      <c r="C55" s="1737" t="s">
        <v>1249</v>
      </c>
    </row>
    <row r="56" spans="1:4">
      <c r="A56" s="3157"/>
      <c r="B56" s="1740" t="s">
        <v>834</v>
      </c>
      <c r="C56" s="1737" t="s">
        <v>1253</v>
      </c>
    </row>
    <row r="57" spans="1:4">
      <c r="A57" s="315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66" t="str">
        <f>IF(B10="北京市","北京市",C10)&amp;F10&amp;IF(结果表!G1="在建","出让国有建设用地使用权及在建建筑物",IF(结果表!G1="土地","出让国有建设用地使用权",))&amp;B9&amp;"预评估"</f>
        <v>北京市房地产抵押价值预评估</v>
      </c>
      <c r="C1" s="3167"/>
      <c r="D1" s="3167"/>
      <c r="E1" s="3167"/>
      <c r="F1" s="3167"/>
      <c r="G1" s="3167"/>
      <c r="H1" s="3167"/>
      <c r="I1" s="3168"/>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c r="C3" s="2599" t="s">
        <v>2916</v>
      </c>
      <c r="D3" s="2598">
        <v>44176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3102</v>
      </c>
      <c r="C8" s="2615"/>
      <c r="D8" s="3169" t="s">
        <v>2922</v>
      </c>
      <c r="E8" s="2616" t="s">
        <v>3103</v>
      </c>
      <c r="F8" s="2617"/>
      <c r="G8" s="2891"/>
      <c r="H8" s="2891"/>
      <c r="I8" s="2891"/>
      <c r="J8" s="2666"/>
      <c r="K8" s="2841"/>
      <c r="L8" s="2840"/>
      <c r="M8" s="2840"/>
      <c r="N8" s="2666"/>
      <c r="O8" s="2677"/>
      <c r="P8" s="2666"/>
      <c r="Q8" s="2666"/>
      <c r="R8" s="2666"/>
    </row>
    <row r="9" spans="1:28" ht="13.5" thickBot="1">
      <c r="A9" s="2618" t="s">
        <v>2923</v>
      </c>
      <c r="B9" s="2619" t="s">
        <v>3103</v>
      </c>
      <c r="C9" s="2620"/>
      <c r="D9" s="3170"/>
      <c r="E9" s="2619"/>
      <c r="F9" s="2621"/>
      <c r="G9" s="2893"/>
      <c r="H9" s="2893"/>
      <c r="I9" s="2893"/>
      <c r="J9" s="2666"/>
      <c r="K9" s="2843"/>
      <c r="L9" s="2840"/>
      <c r="M9" s="2840"/>
      <c r="N9" s="2666"/>
      <c r="O9" s="2677"/>
      <c r="P9" s="2666"/>
      <c r="Q9" s="2666"/>
      <c r="R9" s="2666"/>
    </row>
    <row r="10" spans="1:28" ht="13.5" thickTop="1">
      <c r="A10" s="2622" t="s">
        <v>2924</v>
      </c>
      <c r="B10" s="2623" t="s">
        <v>3104</v>
      </c>
      <c r="C10" s="2624"/>
      <c r="D10" s="2607"/>
      <c r="E10" s="2625" t="s">
        <v>2925</v>
      </c>
      <c r="F10" s="2894"/>
      <c r="G10" s="2895"/>
      <c r="H10" s="2896"/>
      <c r="I10" s="2897"/>
      <c r="J10" s="2666"/>
      <c r="K10" s="2843"/>
      <c r="L10" s="2840"/>
      <c r="M10" s="2840"/>
      <c r="N10" s="2666"/>
      <c r="O10" s="2677"/>
      <c r="P10" s="2666"/>
      <c r="Q10" s="2666"/>
      <c r="R10" s="2666"/>
    </row>
    <row r="11" spans="1:28">
      <c r="A11" s="2626" t="s">
        <v>2926</v>
      </c>
      <c r="B11" s="2627" t="s">
        <v>3105</v>
      </c>
      <c r="C11" s="2628"/>
      <c r="D11" s="2629"/>
      <c r="E11" s="2595"/>
      <c r="F11" s="2595"/>
      <c r="G11" s="2595"/>
      <c r="H11" s="2595"/>
      <c r="I11" s="2595"/>
      <c r="J11" s="2666"/>
      <c r="K11" s="2843"/>
      <c r="L11" s="2840"/>
      <c r="M11" s="2840"/>
      <c r="N11" s="2666"/>
      <c r="O11" s="2677"/>
      <c r="P11" s="2666"/>
      <c r="Q11" s="2666"/>
      <c r="R11" s="2666"/>
    </row>
    <row r="12" spans="1:28">
      <c r="A12" s="2630" t="s">
        <v>2927</v>
      </c>
      <c r="B12" s="2627" t="s">
        <v>3106</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v>57056</v>
      </c>
      <c r="F13" s="965">
        <v>60708</v>
      </c>
      <c r="G13" s="965">
        <v>60708</v>
      </c>
      <c r="H13" s="965"/>
      <c r="I13" s="965"/>
      <c r="J13" s="2666"/>
      <c r="K13" s="2843"/>
      <c r="L13" s="2840"/>
      <c r="M13" s="2840"/>
      <c r="N13" s="2666"/>
      <c r="O13" s="2677"/>
      <c r="P13" s="2666"/>
      <c r="Q13" s="2666"/>
      <c r="R13" s="2666"/>
    </row>
    <row r="14" spans="1:28">
      <c r="A14" s="1241"/>
      <c r="B14" s="2632"/>
      <c r="C14" s="2633" t="s">
        <v>2936</v>
      </c>
      <c r="D14" s="2634"/>
      <c r="E14" s="2634">
        <v>40</v>
      </c>
      <c r="F14" s="2634">
        <v>50</v>
      </c>
      <c r="G14" s="2634">
        <v>50</v>
      </c>
      <c r="H14" s="2634"/>
      <c r="I14" s="2634"/>
      <c r="J14" s="2666"/>
      <c r="K14" s="2844"/>
      <c r="L14" s="2840"/>
      <c r="M14" s="2840"/>
      <c r="N14" s="2666"/>
      <c r="O14" s="2677"/>
      <c r="P14" s="2666"/>
      <c r="Q14" s="2666"/>
      <c r="R14" s="2666"/>
    </row>
    <row r="15" spans="1:28">
      <c r="A15" s="326"/>
      <c r="B15" s="2635"/>
      <c r="C15" s="2636" t="s">
        <v>2937</v>
      </c>
      <c r="D15" s="2637" t="str">
        <f>IF(B12="出让",IF(D13="","",ROUNDDOWN(MIN((D13-$D$3)/365,D14),2)),D14)</f>
        <v/>
      </c>
      <c r="E15" s="2637">
        <f>IF(B12="出让",IF(E13="","",ROUNDDOWN(MIN((E13-$D$3)/365,E14),2)),E14)</f>
        <v>35.28</v>
      </c>
      <c r="F15" s="2637">
        <f>IF(B12="出让",IF(F13="","",ROUNDDOWN(MIN((F13-$D$3)/365,F14),2)),F14)</f>
        <v>45.29</v>
      </c>
      <c r="G15" s="2637">
        <f>IF(B12="出让",IF(G13="","",ROUNDDOWN(MIN((G13-$D$3)/365,G14),2)),G14)</f>
        <v>45.29</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2938</v>
      </c>
      <c r="B16" s="3176"/>
      <c r="C16" s="3177"/>
      <c r="D16" s="3178"/>
      <c r="E16" s="2640" t="s">
        <v>2939</v>
      </c>
      <c r="F16" s="3179"/>
      <c r="G16" s="3180"/>
      <c r="H16" s="3180"/>
      <c r="I16" s="3181"/>
      <c r="J16" s="2666"/>
      <c r="K16" s="2845"/>
      <c r="L16" s="2678"/>
      <c r="M16" s="2678"/>
      <c r="N16" s="2736"/>
      <c r="O16" s="2678"/>
      <c r="P16" s="2736"/>
      <c r="Q16" s="2666"/>
      <c r="R16" s="2666"/>
    </row>
    <row r="17" spans="1:28">
      <c r="A17" s="319" t="s">
        <v>2940</v>
      </c>
      <c r="B17" s="308" t="s">
        <v>2941</v>
      </c>
      <c r="C17" s="11">
        <f>'数据-汇总表'!E3</f>
        <v>153820.67000000001</v>
      </c>
      <c r="D17" s="2546" t="s">
        <v>2942</v>
      </c>
      <c r="E17" s="3182" t="s">
        <v>2943</v>
      </c>
      <c r="F17" s="3183"/>
      <c r="G17" s="3183"/>
      <c r="H17" s="3183"/>
      <c r="I17" s="3184"/>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49477.2</v>
      </c>
      <c r="D18" s="1252" t="s">
        <v>2946</v>
      </c>
      <c r="E18" s="3185" t="s">
        <v>2947</v>
      </c>
      <c r="F18" s="3186"/>
      <c r="G18" s="3186"/>
      <c r="H18" s="3186"/>
      <c r="I18" s="3187"/>
      <c r="J18" s="2666"/>
      <c r="K18" s="2846"/>
      <c r="L18" s="2678"/>
      <c r="M18" s="2678"/>
      <c r="N18" s="2736"/>
      <c r="O18" s="2678"/>
      <c r="P18" s="2736"/>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72" t="s">
        <v>2951</v>
      </c>
      <c r="C20" s="3173"/>
      <c r="D20" s="3174" t="s">
        <v>2952</v>
      </c>
      <c r="E20" s="3175"/>
      <c r="F20" s="2875" t="s">
        <v>1742</v>
      </c>
      <c r="G20" s="2892"/>
      <c r="H20" s="2892"/>
      <c r="I20" s="2892"/>
      <c r="J20" s="2666"/>
      <c r="K20" s="317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7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7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9"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9"/>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9"/>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60"/>
      <c r="B30" s="308" t="s">
        <v>2963</v>
      </c>
      <c r="C30" s="3161"/>
      <c r="D30" s="3162"/>
      <c r="E30" s="2892"/>
      <c r="F30" s="2892"/>
      <c r="G30" s="2892"/>
      <c r="H30" s="2892"/>
      <c r="I30" s="2892"/>
      <c r="J30" s="2666"/>
      <c r="K30" s="2843"/>
      <c r="L30" s="2840"/>
      <c r="M30" s="2840"/>
      <c r="N30" s="2666"/>
      <c r="O30" s="2677"/>
      <c r="P30" s="2666"/>
      <c r="Q30" s="2666"/>
      <c r="R30" s="2666"/>
      <c r="S30" s="2666"/>
      <c r="T30" s="2666"/>
      <c r="U30" s="2666"/>
      <c r="V30" s="2666"/>
    </row>
    <row r="31" spans="1:28">
      <c r="A31" s="3163"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64"/>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64"/>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58" t="s">
        <v>2973</v>
      </c>
      <c r="T34" s="2655" t="str">
        <f>NUMBERSTRING(7-K34,1)&amp;"通"</f>
        <v>七通</v>
      </c>
      <c r="U34" s="2666"/>
      <c r="V34" s="2666"/>
    </row>
    <row r="35" spans="1:30">
      <c r="A35" s="2656"/>
      <c r="B35" s="3165" t="s">
        <v>2974</v>
      </c>
      <c r="C35" s="3165"/>
      <c r="D35" s="3165"/>
      <c r="E35" s="3165"/>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8"/>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t="s">
        <v>528</v>
      </c>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t="s">
        <v>3107</v>
      </c>
      <c r="C38" s="2659" t="s">
        <v>3107</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面积!D3</f>
        <v>49477.2</v>
      </c>
      <c r="B3" s="14">
        <f>IF(C3="否",G5-AT5,G5)</f>
        <v>153820.67000000001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168937.67</v>
      </c>
      <c r="H5" s="16">
        <f t="shared" ref="H5:AT5" si="0">SUM(H13:H656)</f>
        <v>141515.38</v>
      </c>
      <c r="I5" s="16">
        <f t="shared" si="0"/>
        <v>119316.69</v>
      </c>
      <c r="J5" s="16">
        <f t="shared" si="0"/>
        <v>0</v>
      </c>
      <c r="K5" s="16">
        <f t="shared" si="0"/>
        <v>3464.95</v>
      </c>
      <c r="L5" s="16">
        <f t="shared" si="0"/>
        <v>0</v>
      </c>
      <c r="M5" s="16">
        <f t="shared" si="0"/>
        <v>1895.3900000000006</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12305.290000000008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12305.290000000008</v>
      </c>
      <c r="AO5" s="16">
        <f t="shared" si="0"/>
        <v>0</v>
      </c>
      <c r="AP5" s="16">
        <f t="shared" si="0"/>
        <v>0</v>
      </c>
      <c r="AQ5" s="16">
        <f t="shared" si="0"/>
        <v>0</v>
      </c>
      <c r="AR5" s="16">
        <f t="shared" si="0"/>
        <v>0</v>
      </c>
      <c r="AS5" s="16">
        <f t="shared" si="0"/>
        <v>0</v>
      </c>
      <c r="AT5" s="16">
        <f t="shared" si="0"/>
        <v>15117</v>
      </c>
      <c r="AU5" s="1531"/>
      <c r="AV5" s="15" t="s">
        <v>1757</v>
      </c>
      <c r="AW5" s="1532"/>
      <c r="AX5" s="1532"/>
      <c r="AY5" s="17" t="s">
        <v>3</v>
      </c>
      <c r="AZ5" s="18">
        <f t="shared" ref="AZ5:BT5" si="1">SUM(AZ13:AZ656)</f>
        <v>153820.67000000001</v>
      </c>
      <c r="BA5" s="18">
        <f t="shared" si="1"/>
        <v>141515.38</v>
      </c>
      <c r="BB5" s="18">
        <f t="shared" si="1"/>
        <v>119316.69</v>
      </c>
      <c r="BC5" s="18">
        <f t="shared" si="1"/>
        <v>3464.95</v>
      </c>
      <c r="BD5" s="18">
        <f t="shared" si="1"/>
        <v>1895.3900000000006</v>
      </c>
      <c r="BE5" s="18">
        <f t="shared" si="1"/>
        <v>16838.349999999999</v>
      </c>
      <c r="BF5" s="18">
        <f t="shared" si="1"/>
        <v>0</v>
      </c>
      <c r="BG5" s="18">
        <f t="shared" si="1"/>
        <v>0</v>
      </c>
      <c r="BH5" s="18">
        <f t="shared" si="1"/>
        <v>0</v>
      </c>
      <c r="BI5" s="18">
        <f t="shared" si="1"/>
        <v>0</v>
      </c>
      <c r="BJ5" s="18">
        <f t="shared" si="1"/>
        <v>0</v>
      </c>
      <c r="BK5" s="18">
        <f t="shared" si="1"/>
        <v>0</v>
      </c>
      <c r="BL5" s="18">
        <f t="shared" si="1"/>
        <v>12305.290000000008</v>
      </c>
      <c r="BM5" s="18">
        <f t="shared" si="1"/>
        <v>0</v>
      </c>
      <c r="BN5" s="18">
        <f t="shared" si="1"/>
        <v>0</v>
      </c>
      <c r="BO5" s="18">
        <f t="shared" si="1"/>
        <v>0</v>
      </c>
      <c r="BP5" s="18">
        <f t="shared" si="1"/>
        <v>0</v>
      </c>
      <c r="BQ5" s="18">
        <f t="shared" si="1"/>
        <v>0</v>
      </c>
      <c r="BR5" s="18">
        <f t="shared" si="1"/>
        <v>12305.290000000008</v>
      </c>
      <c r="BS5" s="18">
        <f t="shared" si="1"/>
        <v>0</v>
      </c>
      <c r="BT5" s="19">
        <f t="shared" si="1"/>
        <v>0</v>
      </c>
    </row>
    <row r="6" spans="1:72" s="1775" customFormat="1" ht="12.75">
      <c r="A6" s="15" t="s">
        <v>1758</v>
      </c>
      <c r="B6" s="1772"/>
      <c r="C6" s="1772"/>
      <c r="D6" s="1773"/>
      <c r="E6" s="16">
        <f>H6+AC6+AT6</f>
        <v>49477.2</v>
      </c>
      <c r="F6" s="16" t="s">
        <v>1</v>
      </c>
      <c r="G6" s="16" t="s">
        <v>2</v>
      </c>
      <c r="H6" s="20">
        <f>SUMIF(I$12:AB$12,"总值",I6:AB6)</f>
        <v>45519.14</v>
      </c>
      <c r="I6" s="16">
        <f t="shared" ref="I6:AB6" si="2">ROUND($A$3*I5/$B$3,2)</f>
        <v>38378.82</v>
      </c>
      <c r="J6" s="16">
        <f t="shared" si="2"/>
        <v>0</v>
      </c>
      <c r="K6" s="16">
        <f t="shared" si="2"/>
        <v>1114.52</v>
      </c>
      <c r="L6" s="16">
        <f t="shared" si="2"/>
        <v>0</v>
      </c>
      <c r="M6" s="16">
        <f t="shared" si="2"/>
        <v>609.66</v>
      </c>
      <c r="N6" s="16">
        <f t="shared" si="2"/>
        <v>0</v>
      </c>
      <c r="O6" s="16">
        <f t="shared" si="2"/>
        <v>5416.14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3958.06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3958.06</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49477.2</v>
      </c>
      <c r="AZ6" s="16" t="s">
        <v>3</v>
      </c>
      <c r="BA6" s="16">
        <f>ROUND($AY$6*BA5/$AZ$5,2)</f>
        <v>45519.14</v>
      </c>
      <c r="BB6" s="16">
        <f>ROUND($AY$6*BB5/$AZ$5,2)</f>
        <v>38378.82</v>
      </c>
      <c r="BC6" s="16">
        <f t="shared" ref="BC6:BH6" si="4">ROUND($AY$6*BC5/$AZ$5,2)</f>
        <v>1114.52</v>
      </c>
      <c r="BD6" s="16">
        <f t="shared" si="4"/>
        <v>609.66</v>
      </c>
      <c r="BE6" s="16">
        <f t="shared" si="4"/>
        <v>5416.14</v>
      </c>
      <c r="BF6" s="16">
        <f t="shared" si="4"/>
        <v>0</v>
      </c>
      <c r="BG6" s="16">
        <f t="shared" si="4"/>
        <v>0</v>
      </c>
      <c r="BH6" s="16">
        <f t="shared" si="4"/>
        <v>0</v>
      </c>
      <c r="BI6" s="16">
        <f t="shared" ref="BI6:BT6" si="5">ROUND($AY$6*BI5/$AZ$5,2)</f>
        <v>0</v>
      </c>
      <c r="BJ6" s="16">
        <f t="shared" si="5"/>
        <v>0</v>
      </c>
      <c r="BK6" s="16">
        <f t="shared" si="5"/>
        <v>0</v>
      </c>
      <c r="BL6" s="16">
        <f t="shared" si="5"/>
        <v>3958.06</v>
      </c>
      <c r="BM6" s="16">
        <f t="shared" si="5"/>
        <v>0</v>
      </c>
      <c r="BN6" s="16">
        <f t="shared" si="5"/>
        <v>0</v>
      </c>
      <c r="BO6" s="16">
        <f t="shared" si="5"/>
        <v>0</v>
      </c>
      <c r="BP6" s="16">
        <f t="shared" si="5"/>
        <v>0</v>
      </c>
      <c r="BQ6" s="16">
        <f t="shared" si="5"/>
        <v>0</v>
      </c>
      <c r="BR6" s="16">
        <f t="shared" si="5"/>
        <v>3958.06</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3052" t="s">
        <v>3114</v>
      </c>
      <c r="J9" s="918"/>
      <c r="K9" s="3052" t="s">
        <v>3114</v>
      </c>
      <c r="L9" s="918"/>
      <c r="M9" s="1789" t="s">
        <v>3117</v>
      </c>
      <c r="N9" s="918"/>
      <c r="O9" s="1789" t="s">
        <v>3117</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3052" t="s">
        <v>3115</v>
      </c>
      <c r="J10" s="918"/>
      <c r="K10" s="3053" t="s">
        <v>3116</v>
      </c>
      <c r="L10" s="918"/>
      <c r="M10" s="1795" t="s">
        <v>1343</v>
      </c>
      <c r="N10" s="918"/>
      <c r="O10" s="1795" t="s">
        <v>3333</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3049" t="s">
        <v>3109</v>
      </c>
      <c r="D13" s="3051" t="s">
        <v>3113</v>
      </c>
      <c r="E13" s="16">
        <f>IF($C$3="是",ROUND($A$3*G13/$B$3,2),ROUND($A$3*(G13-AT13)/$B$3,2))</f>
        <v>15620.22</v>
      </c>
      <c r="F13" s="32"/>
      <c r="G13" s="33">
        <f>H13+AC13+AT13</f>
        <v>48562.030000000006</v>
      </c>
      <c r="H13" s="20">
        <f>SUMIF(I$12:AB$12,"总值",I13:AB13)</f>
        <v>48562.030000000006</v>
      </c>
      <c r="I13" s="1812">
        <f>面积!G7</f>
        <v>44781.41</v>
      </c>
      <c r="J13" s="1812"/>
      <c r="K13" s="1812">
        <f>面积!H7</f>
        <v>2723.12</v>
      </c>
      <c r="L13" s="1812"/>
      <c r="M13" s="1812">
        <f>面积!I7</f>
        <v>1057.5000000000005</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一期</v>
      </c>
      <c r="AY13" s="1534">
        <f>ROUND($AY$6*AZ13/$AZ$5,2)</f>
        <v>15620.22</v>
      </c>
      <c r="AZ13" s="16">
        <f>BA13+BL13</f>
        <v>48562.030000000006</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3050" t="s">
        <v>3111</v>
      </c>
      <c r="D14" s="3051" t="s">
        <v>3112</v>
      </c>
      <c r="E14" s="16">
        <f>IF($C$3="是",ROUND($A$3*G14/$B$3,2),ROUND($A$3*(G14-AT14)/$B$3,2))</f>
        <v>33856.980000000003</v>
      </c>
      <c r="F14" s="32"/>
      <c r="G14" s="33">
        <f>H14+AC14+AT14</f>
        <v>120375.64000000001</v>
      </c>
      <c r="H14" s="20">
        <f>SUMIF(I$12:AB$12,"总值",I14:AB14)</f>
        <v>92953.35</v>
      </c>
      <c r="I14" s="1812">
        <f>面积!G13</f>
        <v>74535.28</v>
      </c>
      <c r="J14" s="1812"/>
      <c r="K14" s="1812">
        <f>面积!H13</f>
        <v>741.82999999999993</v>
      </c>
      <c r="L14" s="1812"/>
      <c r="M14" s="1812">
        <f>面积!I13</f>
        <v>837.8900000000001</v>
      </c>
      <c r="N14" s="1812"/>
      <c r="O14" s="1812">
        <f>面积!J13</f>
        <v>16838.349999999999</v>
      </c>
      <c r="P14" s="1812"/>
      <c r="Q14" s="1812"/>
      <c r="R14" s="1812"/>
      <c r="S14" s="1812"/>
      <c r="T14" s="1812"/>
      <c r="U14" s="1812"/>
      <c r="V14" s="1812"/>
      <c r="W14" s="1812"/>
      <c r="X14" s="1812"/>
      <c r="Y14" s="1812"/>
      <c r="Z14" s="1812"/>
      <c r="AA14" s="1812"/>
      <c r="AB14" s="1812"/>
      <c r="AC14" s="16">
        <f>SUMIF(AD$12:AS$12,"总值",AD14:AS14)</f>
        <v>12305.290000000008</v>
      </c>
      <c r="AD14" s="1813"/>
      <c r="AE14" s="1813"/>
      <c r="AF14" s="1813"/>
      <c r="AG14" s="1813"/>
      <c r="AH14" s="1813"/>
      <c r="AI14" s="1813"/>
      <c r="AJ14" s="1813"/>
      <c r="AK14" s="1813"/>
      <c r="AL14" s="1813"/>
      <c r="AM14" s="1813"/>
      <c r="AN14" s="1813">
        <f>面积!K13</f>
        <v>12305.290000000008</v>
      </c>
      <c r="AO14" s="1813"/>
      <c r="AP14" s="1813"/>
      <c r="AQ14" s="1813"/>
      <c r="AR14" s="1813"/>
      <c r="AS14" s="1813"/>
      <c r="AT14" s="1814">
        <f>面积!L13</f>
        <v>15117</v>
      </c>
      <c r="AU14" s="1815"/>
      <c r="AV14" s="11">
        <f t="shared" si="6"/>
        <v>0</v>
      </c>
      <c r="AW14" s="11">
        <f t="shared" si="6"/>
        <v>0</v>
      </c>
      <c r="AX14" s="11" t="str">
        <f t="shared" si="6"/>
        <v>二期</v>
      </c>
      <c r="AY14" s="1534">
        <f>ROUND($AY$6*AZ14/$AZ$5,2)</f>
        <v>33856.980000000003</v>
      </c>
      <c r="AZ14" s="16">
        <f>BA14+BL14</f>
        <v>105258.64000000001</v>
      </c>
      <c r="BA14" s="16">
        <f>SUM(BB14:BK14)</f>
        <v>92953.35</v>
      </c>
      <c r="BB14" s="16">
        <f>IF($D14="是",I14-J14,0)</f>
        <v>74535.28</v>
      </c>
      <c r="BC14" s="16">
        <f>IF($D14="是",K14-L14,0)</f>
        <v>741.82999999999993</v>
      </c>
      <c r="BD14" s="16">
        <f>IF($D14="是",M14-N14,0)</f>
        <v>837.8900000000001</v>
      </c>
      <c r="BE14" s="16">
        <f>IF($D14="是",O14-P14,0)</f>
        <v>16838.349999999999</v>
      </c>
      <c r="BF14" s="16">
        <f>IF($D14="是",Q14-R14,0)</f>
        <v>0</v>
      </c>
      <c r="BG14" s="16">
        <f>IF($D14="是",S14-T14,0)</f>
        <v>0</v>
      </c>
      <c r="BH14" s="16">
        <f>IF($D14="是",U14-V14,0)</f>
        <v>0</v>
      </c>
      <c r="BI14" s="16">
        <f>IF($D14="是",W14-X14,0)</f>
        <v>0</v>
      </c>
      <c r="BJ14" s="16">
        <f>IF($D14="是",Y14-Z14,0)</f>
        <v>0</v>
      </c>
      <c r="BK14" s="16">
        <f>IF($D14="是",AA14-AB14,0)</f>
        <v>0</v>
      </c>
      <c r="BL14" s="16">
        <f>SUM(BM14:BT14)</f>
        <v>12305.290000000008</v>
      </c>
      <c r="BM14" s="16">
        <f>IF($D14="是",AD14-AE14,0)</f>
        <v>0</v>
      </c>
      <c r="BN14" s="16">
        <f>IF($D14="是",AF14-AG14,0)</f>
        <v>0</v>
      </c>
      <c r="BO14" s="16">
        <f>IF($D14="是",AH14-AI14,0)</f>
        <v>0</v>
      </c>
      <c r="BP14" s="16">
        <f>IF($D14="是",AJ14-AK14,0)</f>
        <v>0</v>
      </c>
      <c r="BQ14" s="16">
        <f>IF($D14="是",AL14-AM14,0)</f>
        <v>0</v>
      </c>
      <c r="BR14" s="16">
        <f>IF($D14="是",AN14-AO14,0)</f>
        <v>12305.290000000008</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8" t="s">
        <v>0</v>
      </c>
      <c r="B1" s="3188" t="s">
        <v>4</v>
      </c>
      <c r="C1" s="3188" t="s">
        <v>5</v>
      </c>
      <c r="D1" s="3189" t="s">
        <v>53</v>
      </c>
      <c r="E1" s="3189" t="s">
        <v>54</v>
      </c>
      <c r="F1" s="3189"/>
      <c r="G1" s="3189"/>
      <c r="H1" s="3189"/>
      <c r="I1" s="3189"/>
      <c r="J1" s="3189"/>
      <c r="K1" s="3189"/>
      <c r="L1" s="3189"/>
      <c r="M1" s="3189"/>
    </row>
    <row r="2" spans="1:13" ht="27" customHeight="1">
      <c r="A2" s="3188"/>
      <c r="B2" s="3188"/>
      <c r="C2" s="3188"/>
      <c r="D2" s="3189"/>
      <c r="E2" s="3189" t="s">
        <v>37</v>
      </c>
      <c r="F2" s="3189" t="s">
        <v>38</v>
      </c>
      <c r="G2" s="3189"/>
      <c r="H2" s="3189"/>
      <c r="I2" s="3189"/>
      <c r="J2" s="3189" t="s">
        <v>39</v>
      </c>
      <c r="K2" s="3189"/>
      <c r="L2" s="3189"/>
      <c r="M2" s="3189"/>
    </row>
    <row r="3" spans="1:13" ht="28.5">
      <c r="A3" s="3188"/>
      <c r="B3" s="3188"/>
      <c r="C3" s="3188"/>
      <c r="D3" s="3189"/>
      <c r="E3" s="31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9" t="s">
        <v>55</v>
      </c>
      <c r="B9" s="3189"/>
      <c r="C9" s="31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
  <sheetViews>
    <sheetView topLeftCell="G1" workbookViewId="0">
      <selection activeCell="K38" sqref="K38"/>
    </sheetView>
  </sheetViews>
  <sheetFormatPr defaultRowHeight="13.5"/>
  <cols>
    <col min="1" max="1" width="5.125" customWidth="1"/>
    <col min="2" max="2" width="5.875" customWidth="1"/>
    <col min="3" max="3" width="16.125" customWidth="1"/>
    <col min="4" max="4" width="15.375" customWidth="1"/>
    <col min="10" max="10" width="10.5" customWidth="1"/>
    <col min="11" max="11" width="9.375" customWidth="1"/>
    <col min="12" max="12" width="11.5" customWidth="1"/>
    <col min="13" max="13" width="11.875" customWidth="1"/>
  </cols>
  <sheetData>
    <row r="1" spans="1:13">
      <c r="F1" s="3190" t="s">
        <v>3060</v>
      </c>
      <c r="G1" s="3191"/>
      <c r="H1" s="3191"/>
      <c r="I1" s="3191"/>
      <c r="J1" s="3191"/>
      <c r="K1" s="3192"/>
    </row>
    <row r="2" spans="1:13">
      <c r="F2" s="3044"/>
      <c r="G2" s="3044" t="s">
        <v>3061</v>
      </c>
      <c r="H2" s="3044" t="s">
        <v>3062</v>
      </c>
      <c r="I2" s="3044" t="s">
        <v>3063</v>
      </c>
      <c r="J2" s="3045" t="s">
        <v>3064</v>
      </c>
    </row>
    <row r="3" spans="1:13">
      <c r="A3" s="3193" t="s">
        <v>3065</v>
      </c>
      <c r="B3" s="3193"/>
      <c r="C3" s="3193"/>
      <c r="D3" s="3046">
        <v>49477.2</v>
      </c>
      <c r="F3" s="3044" t="s">
        <v>3066</v>
      </c>
      <c r="G3" s="3046">
        <v>21934.42</v>
      </c>
      <c r="H3" s="3046">
        <f>614.7-I3</f>
        <v>261.3</v>
      </c>
      <c r="I3" s="3046">
        <f>SUM([1]预测绘!B2:B8)</f>
        <v>353.40000000000003</v>
      </c>
      <c r="J3" s="3046">
        <f>SUM(G3:I3)</f>
        <v>22549.119999999999</v>
      </c>
    </row>
    <row r="4" spans="1:13">
      <c r="A4" s="3193" t="s">
        <v>3067</v>
      </c>
      <c r="B4" s="3193" t="s">
        <v>3068</v>
      </c>
      <c r="C4" s="3193"/>
      <c r="D4" s="3046">
        <v>176601.82</v>
      </c>
      <c r="F4" s="3044" t="s">
        <v>3069</v>
      </c>
      <c r="G4" s="3046">
        <v>19035.13</v>
      </c>
      <c r="H4" s="3046">
        <f>410.75-I4</f>
        <v>212</v>
      </c>
      <c r="I4" s="3046">
        <f>SUM([1]预测绘!C2:C5)</f>
        <v>198.75</v>
      </c>
      <c r="J4" s="3046">
        <f>SUM(G4:I4)</f>
        <v>19445.88</v>
      </c>
    </row>
    <row r="5" spans="1:13">
      <c r="A5" s="3194"/>
      <c r="B5" s="3193" t="s">
        <v>3067</v>
      </c>
      <c r="C5" s="3044" t="s">
        <v>3070</v>
      </c>
      <c r="D5" s="3046">
        <v>123693</v>
      </c>
      <c r="F5" s="3044" t="s">
        <v>3071</v>
      </c>
      <c r="G5" s="3046"/>
      <c r="H5" s="3046">
        <v>1115.73</v>
      </c>
      <c r="I5" s="3046">
        <f>1178.49-H5</f>
        <v>62.759999999999991</v>
      </c>
      <c r="J5" s="3046">
        <f>SUM(G5:I5)</f>
        <v>1178.49</v>
      </c>
    </row>
    <row r="6" spans="1:13">
      <c r="A6" s="3194"/>
      <c r="B6" s="3194"/>
      <c r="C6" s="3044" t="s">
        <v>3072</v>
      </c>
      <c r="D6" s="3047">
        <v>119034.73</v>
      </c>
      <c r="F6" s="3044" t="s">
        <v>3073</v>
      </c>
      <c r="G6" s="3046">
        <v>3811.86</v>
      </c>
      <c r="H6" s="3046">
        <f>[1]预测绘!E28-[1]面积!G6</f>
        <v>1134.0899999999997</v>
      </c>
      <c r="I6" s="3046">
        <f>1576.68-H6</f>
        <v>442.59000000000037</v>
      </c>
      <c r="J6" s="3046">
        <f>SUM(G6:I6)</f>
        <v>5388.54</v>
      </c>
    </row>
    <row r="7" spans="1:13">
      <c r="A7" s="3194"/>
      <c r="B7" s="3194"/>
      <c r="C7" s="3044" t="s">
        <v>3074</v>
      </c>
      <c r="D7" s="3047">
        <v>3438.87</v>
      </c>
      <c r="F7" s="3045" t="s">
        <v>3075</v>
      </c>
      <c r="G7" s="3046">
        <f>SUM(G3:G6)</f>
        <v>44781.41</v>
      </c>
      <c r="H7" s="3046">
        <f>SUM(H3:H6)</f>
        <v>2723.12</v>
      </c>
      <c r="I7" s="3046">
        <f>SUM(I3:I6)</f>
        <v>1057.5000000000005</v>
      </c>
      <c r="J7" s="3046">
        <f>SUM(J3:J6)</f>
        <v>48562.03</v>
      </c>
    </row>
    <row r="8" spans="1:13">
      <c r="A8" s="3194"/>
      <c r="B8" s="3194"/>
      <c r="C8" s="3044" t="s">
        <v>3076</v>
      </c>
      <c r="D8" s="3046">
        <v>603.53</v>
      </c>
    </row>
    <row r="9" spans="1:13">
      <c r="A9" s="3194"/>
      <c r="B9" s="3194"/>
      <c r="C9" s="3044" t="s">
        <v>3077</v>
      </c>
      <c r="D9" s="3046">
        <v>615.87</v>
      </c>
    </row>
    <row r="10" spans="1:13">
      <c r="A10" s="3194"/>
      <c r="B10" s="3193" t="s">
        <v>3078</v>
      </c>
      <c r="C10" s="3193"/>
      <c r="D10" s="3046">
        <v>52908.82</v>
      </c>
    </row>
    <row r="11" spans="1:13">
      <c r="A11" s="3194"/>
      <c r="B11" s="3193" t="s">
        <v>3067</v>
      </c>
      <c r="C11" s="3044" t="s">
        <v>3079</v>
      </c>
      <c r="D11" s="3047">
        <v>1800.63</v>
      </c>
      <c r="F11" s="3193" t="s">
        <v>3080</v>
      </c>
      <c r="G11" s="3193"/>
      <c r="H11" s="3193"/>
      <c r="I11" s="3193"/>
      <c r="J11" s="3193"/>
      <c r="K11" s="3193"/>
      <c r="L11" s="3193"/>
      <c r="M11" s="3193"/>
    </row>
    <row r="12" spans="1:13">
      <c r="A12" s="3194"/>
      <c r="B12" s="3194"/>
      <c r="C12" s="3044" t="s">
        <v>3081</v>
      </c>
      <c r="D12" s="3046">
        <v>2293.9</v>
      </c>
      <c r="F12" s="3046"/>
      <c r="G12" s="3044" t="s">
        <v>3082</v>
      </c>
      <c r="H12" s="3044" t="s">
        <v>3083</v>
      </c>
      <c r="I12" s="3044" t="s">
        <v>3084</v>
      </c>
      <c r="J12" s="3044" t="s">
        <v>3085</v>
      </c>
      <c r="K12" s="3044" t="s">
        <v>3086</v>
      </c>
      <c r="L12" s="3045" t="s">
        <v>3087</v>
      </c>
      <c r="M12" s="3045" t="s">
        <v>3088</v>
      </c>
    </row>
    <row r="13" spans="1:13">
      <c r="A13" s="3194"/>
      <c r="B13" s="3194"/>
      <c r="C13" s="3044" t="s">
        <v>3089</v>
      </c>
      <c r="D13" s="3046">
        <v>48814.29</v>
      </c>
      <c r="F13" s="3044" t="s">
        <v>3090</v>
      </c>
      <c r="G13" s="3046">
        <f>D6-G21</f>
        <v>74535.28</v>
      </c>
      <c r="H13" s="3046">
        <f>D7-H21</f>
        <v>741.82999999999993</v>
      </c>
      <c r="I13" s="3046">
        <f>D11-I21</f>
        <v>837.8900000000001</v>
      </c>
      <c r="J13" s="3046">
        <v>16838.349999999999</v>
      </c>
      <c r="K13" s="3046">
        <f>D16-K21-L13-J13</f>
        <v>12305.290000000008</v>
      </c>
      <c r="L13" s="3046">
        <f>14961+156</f>
        <v>15117</v>
      </c>
      <c r="M13" s="3046">
        <f>SUM(G13:L13)</f>
        <v>120375.64000000001</v>
      </c>
    </row>
    <row r="16" spans="1:13">
      <c r="C16" s="3048" t="s">
        <v>3091</v>
      </c>
      <c r="D16">
        <f>D8+D9+D12+D13</f>
        <v>52327.590000000004</v>
      </c>
      <c r="F16" s="3044"/>
      <c r="G16" s="3044" t="s">
        <v>3072</v>
      </c>
      <c r="H16" s="3044" t="s">
        <v>3092</v>
      </c>
      <c r="I16" s="3044" t="s">
        <v>3079</v>
      </c>
      <c r="J16" s="3044" t="s">
        <v>3093</v>
      </c>
      <c r="K16" s="3044" t="s">
        <v>3094</v>
      </c>
      <c r="L16" s="3045" t="s">
        <v>3095</v>
      </c>
      <c r="M16" s="3045" t="s">
        <v>3096</v>
      </c>
    </row>
    <row r="17" spans="6:13">
      <c r="F17" s="3044" t="s">
        <v>3097</v>
      </c>
      <c r="G17" s="3046">
        <v>21819.18</v>
      </c>
      <c r="H17" s="3046">
        <v>239.28</v>
      </c>
      <c r="I17" s="3046">
        <v>338.66</v>
      </c>
      <c r="J17" s="3046"/>
      <c r="K17" s="3046">
        <f>227.89+2412.46</f>
        <v>2640.35</v>
      </c>
      <c r="L17" s="3046"/>
      <c r="M17" s="3046">
        <f>SUM(G17:L17)</f>
        <v>25037.469999999998</v>
      </c>
    </row>
    <row r="18" spans="6:13">
      <c r="F18" s="3044" t="s">
        <v>3098</v>
      </c>
      <c r="G18" s="3046">
        <v>18948.23</v>
      </c>
      <c r="H18" s="3046">
        <v>194.54</v>
      </c>
      <c r="I18" s="3046">
        <v>193.87</v>
      </c>
      <c r="J18" s="3046"/>
      <c r="K18" s="3046">
        <f>1216.49+2048.37</f>
        <v>3264.8599999999997</v>
      </c>
      <c r="L18" s="3046"/>
      <c r="M18" s="3046">
        <f>SUM(G18:L18)</f>
        <v>22601.5</v>
      </c>
    </row>
    <row r="19" spans="6:13">
      <c r="F19" s="3044" t="s">
        <v>3099</v>
      </c>
      <c r="G19" s="3046"/>
      <c r="H19" s="3046">
        <v>1115.73</v>
      </c>
      <c r="I19" s="3046"/>
      <c r="J19" s="3046"/>
      <c r="K19" s="3046">
        <v>540.45000000000005</v>
      </c>
      <c r="L19" s="3046"/>
      <c r="M19" s="3046">
        <f>SUM(G19:L19)</f>
        <v>1656.18</v>
      </c>
    </row>
    <row r="20" spans="6:13">
      <c r="F20" s="3044" t="s">
        <v>3100</v>
      </c>
      <c r="G20" s="3046">
        <v>3732.04</v>
      </c>
      <c r="H20" s="3046">
        <v>1147.49</v>
      </c>
      <c r="I20" s="3046">
        <v>430.21</v>
      </c>
      <c r="J20" s="3046"/>
      <c r="K20" s="3046">
        <f>112.53+237.84+1270.92</f>
        <v>1621.29</v>
      </c>
      <c r="L20" s="3046"/>
      <c r="M20" s="3046">
        <f>SUM(G20:L20)</f>
        <v>6931.03</v>
      </c>
    </row>
    <row r="21" spans="6:13">
      <c r="F21" s="3045" t="s">
        <v>3101</v>
      </c>
      <c r="G21" s="3046">
        <f>SUM(G17:G20)</f>
        <v>44499.450000000004</v>
      </c>
      <c r="H21" s="3046">
        <f t="shared" ref="H21:M21" si="0">SUM(H17:H20)</f>
        <v>2697.04</v>
      </c>
      <c r="I21" s="3046">
        <f t="shared" si="0"/>
        <v>962.74</v>
      </c>
      <c r="J21" s="3046">
        <f t="shared" si="0"/>
        <v>0</v>
      </c>
      <c r="K21" s="3046">
        <f>SUM(K17:K20)</f>
        <v>8066.9499999999989</v>
      </c>
      <c r="L21" s="3046">
        <f t="shared" si="0"/>
        <v>0</v>
      </c>
      <c r="M21" s="3046">
        <f t="shared" si="0"/>
        <v>56226.18</v>
      </c>
    </row>
  </sheetData>
  <mergeCells count="8">
    <mergeCell ref="F1:K1"/>
    <mergeCell ref="A3:C3"/>
    <mergeCell ref="A4:A13"/>
    <mergeCell ref="B4:C4"/>
    <mergeCell ref="B5:B9"/>
    <mergeCell ref="B10:C10"/>
    <mergeCell ref="B11:B13"/>
    <mergeCell ref="F11:M11"/>
  </mergeCells>
  <phoneticPr fontId="140"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D22" sqref="D22"/>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204" t="s">
        <v>1817</v>
      </c>
      <c r="B2" s="3204"/>
      <c r="C2" s="3204"/>
      <c r="D2" s="904" t="s">
        <v>1793</v>
      </c>
      <c r="E2" s="1825" t="s">
        <v>1794</v>
      </c>
      <c r="F2" s="2887"/>
      <c r="G2" s="2878"/>
      <c r="H2" s="2879"/>
      <c r="I2" s="2549" t="s">
        <v>1818</v>
      </c>
      <c r="J2" s="2887"/>
      <c r="K2" s="2887"/>
      <c r="L2" s="2887"/>
      <c r="M2" s="2887"/>
      <c r="N2" s="2889"/>
      <c r="O2" s="2887"/>
      <c r="P2" s="2887"/>
    </row>
    <row r="3" spans="1:16" ht="15.75" thickBot="1">
      <c r="A3" s="3205" t="s">
        <v>1791</v>
      </c>
      <c r="B3" s="3205"/>
      <c r="C3" s="3205"/>
      <c r="D3" s="46">
        <f>'数据-基础表'!AY6</f>
        <v>49477.2</v>
      </c>
      <c r="E3" s="46">
        <f>'数据-基础表'!AZ5</f>
        <v>153820.67000000001</v>
      </c>
      <c r="F3" s="2887"/>
      <c r="G3" s="1307"/>
      <c r="H3" s="1157" t="s">
        <v>1792</v>
      </c>
      <c r="I3" s="964">
        <f>ROUND('数据-基础表'!B3/'数据-基础表'!A3,2)</f>
        <v>3.11</v>
      </c>
      <c r="J3" s="2887"/>
      <c r="K3" s="2887"/>
      <c r="L3" s="2887"/>
      <c r="M3" s="2887"/>
      <c r="N3" s="2889"/>
      <c r="O3" s="2887"/>
      <c r="P3" s="2887"/>
    </row>
    <row r="4" spans="1:16" ht="15">
      <c r="A4" s="3206"/>
      <c r="B4" s="3207"/>
      <c r="C4" s="3208"/>
      <c r="D4" s="1827" t="s">
        <v>1793</v>
      </c>
      <c r="E4" s="1828" t="s">
        <v>1794</v>
      </c>
      <c r="F4" s="2887"/>
      <c r="G4" s="2880" t="s">
        <v>1819</v>
      </c>
      <c r="H4" s="1157" t="s">
        <v>1799</v>
      </c>
      <c r="I4" s="964">
        <f>ROUND(SUMIF('数据-基础表'!I9:AS9,"地上",'数据-基础表'!I5:AS5)/'数据-基础表'!A3,2)</f>
        <v>2.48</v>
      </c>
      <c r="J4" s="2887"/>
      <c r="K4" s="2887"/>
      <c r="L4" s="2887"/>
      <c r="M4" s="2887"/>
      <c r="N4" s="2889"/>
      <c r="O4" s="2887"/>
      <c r="P4" s="2887"/>
    </row>
    <row r="5" spans="1:16">
      <c r="A5" s="47" t="s">
        <v>1795</v>
      </c>
      <c r="B5" s="3209" t="s">
        <v>1796</v>
      </c>
      <c r="C5" s="3209"/>
      <c r="D5" s="48">
        <f>ROUND($D$3*E5/$E$3,2)</f>
        <v>0</v>
      </c>
      <c r="E5" s="49">
        <f>SUMIF('数据-基础表'!$11:$11,"住宅",'数据-基础表'!$5:$5)</f>
        <v>0</v>
      </c>
      <c r="F5" s="2887"/>
      <c r="G5" s="1307"/>
      <c r="H5" s="1157" t="s">
        <v>1792</v>
      </c>
      <c r="I5" s="964">
        <f>ROUND(E31/D31,2)</f>
        <v>3.11</v>
      </c>
      <c r="J5" s="2887"/>
      <c r="K5" s="2887"/>
      <c r="L5" s="2887"/>
      <c r="M5" s="2887"/>
      <c r="N5" s="2887"/>
      <c r="O5" s="2887"/>
      <c r="P5" s="2887"/>
    </row>
    <row r="6" spans="1:16" ht="15" thickBot="1">
      <c r="A6" s="1830"/>
      <c r="B6" s="3209" t="s">
        <v>1797</v>
      </c>
      <c r="C6" s="3209"/>
      <c r="D6" s="48">
        <f>ROUND($D$3*E6/$E$3,2)</f>
        <v>49477.2</v>
      </c>
      <c r="E6" s="49">
        <f>E3-E5</f>
        <v>153820.67000000001</v>
      </c>
      <c r="F6" s="2887"/>
      <c r="G6" s="2881" t="s">
        <v>1798</v>
      </c>
      <c r="H6" s="1308" t="s">
        <v>1799</v>
      </c>
      <c r="I6" s="2882">
        <f>ROUND(F31/D31,2)</f>
        <v>2.48</v>
      </c>
      <c r="J6" s="2887"/>
      <c r="K6" s="2887"/>
      <c r="L6" s="2887"/>
      <c r="M6" s="2887"/>
      <c r="N6" s="2887"/>
      <c r="O6" s="2887"/>
      <c r="P6" s="2887"/>
    </row>
    <row r="7" spans="1:16" ht="15.75" thickBot="1">
      <c r="A7" s="3201"/>
      <c r="B7" s="3202"/>
      <c r="C7" s="3203"/>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39493.339999999997</v>
      </c>
      <c r="E8" s="51">
        <f>SUMIF('数据-基础表'!BB10:BK10,"地上",'数据-基础表'!BB5:BK5)</f>
        <v>122781.64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609.66</v>
      </c>
      <c r="E10" s="51">
        <f>SUMPRODUCT(('数据-基础表'!BB10:BK10="地下")*('数据-基础表'!BB11:BK11="商业")*('数据-基础表'!BB5:BK5))</f>
        <v>1895.3900000000006</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5416.14</v>
      </c>
      <c r="E15" s="51">
        <f>SUMPRODUCT(('数据-基础表'!BB10:BK10="地下")*('数据-基础表'!BB11:BK11="车库—办公")*('数据-基础表'!BB5:BK5))</f>
        <v>16838.349999999999</v>
      </c>
      <c r="F15" s="2887"/>
      <c r="G15" s="2888"/>
      <c r="H15" s="2888"/>
      <c r="I15" s="2887"/>
      <c r="J15" s="2887"/>
      <c r="K15" s="2887"/>
      <c r="L15" s="2887"/>
      <c r="M15" s="2887"/>
      <c r="N15" s="2887"/>
      <c r="O15" s="2887"/>
      <c r="P15" s="2887"/>
    </row>
    <row r="16" spans="1:16" ht="15.75" thickBot="1">
      <c r="A16" s="1830"/>
      <c r="B16" s="1833"/>
      <c r="C16" s="50" t="s">
        <v>1809</v>
      </c>
      <c r="D16" s="50">
        <f>SUM(D8:D15)</f>
        <v>45519.14</v>
      </c>
      <c r="E16" s="53">
        <f>SUM(E8:E15)</f>
        <v>141515.38</v>
      </c>
      <c r="F16" s="2887"/>
      <c r="G16" s="2888"/>
      <c r="H16" s="1834" t="s">
        <v>1821</v>
      </c>
      <c r="I16" s="1835"/>
      <c r="J16" s="1301"/>
      <c r="K16" s="3198" t="s">
        <v>1821</v>
      </c>
      <c r="L16" s="3199"/>
      <c r="M16" s="3199"/>
      <c r="N16" s="3199"/>
      <c r="O16" s="3199"/>
      <c r="P16" s="3200"/>
    </row>
    <row r="17" spans="1:19" ht="15">
      <c r="A17" s="1836" t="s">
        <v>1822</v>
      </c>
      <c r="B17" s="1837" t="s">
        <v>1823</v>
      </c>
      <c r="C17" s="1838" t="s">
        <v>1824</v>
      </c>
      <c r="D17" s="1839" t="s">
        <v>1812</v>
      </c>
      <c r="E17" s="1840" t="s">
        <v>1813</v>
      </c>
      <c r="F17" s="1841"/>
      <c r="G17" s="1842"/>
      <c r="H17" s="1843" t="s">
        <v>1825</v>
      </c>
      <c r="I17" s="1844" t="s">
        <v>1810</v>
      </c>
      <c r="J17" s="1301"/>
      <c r="K17" s="3195" t="s">
        <v>1826</v>
      </c>
      <c r="L17" s="3196"/>
      <c r="M17" s="3197"/>
      <c r="N17" s="3195" t="s">
        <v>1827</v>
      </c>
      <c r="O17" s="3196"/>
      <c r="P17" s="3197"/>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3118</v>
      </c>
      <c r="D19" s="48">
        <f>ROUND($D$3*E19/$E$3,2)</f>
        <v>45519.14</v>
      </c>
      <c r="E19" s="56">
        <f t="shared" ref="E19:E26" si="1">SUM(F19:G19)</f>
        <v>141515.38</v>
      </c>
      <c r="F19" s="3027">
        <f>'数据-基础表'!I13+'数据-基础表'!I14+'数据-基础表'!K13+'数据-基础表'!K14</f>
        <v>122781.64</v>
      </c>
      <c r="G19" s="3028">
        <f>'数据-基础表'!M13+'数据-基础表'!M14+'数据-基础表'!O14</f>
        <v>18733.739999999998</v>
      </c>
      <c r="H19" s="679">
        <f>ROUND($D$3*I19/$E$3,2)</f>
        <v>3958.06</v>
      </c>
      <c r="I19" s="51">
        <f t="shared" ref="I19:I26" si="2">IF($I$17="自定义",P19,M19)</f>
        <v>12305.29</v>
      </c>
      <c r="J19" s="1301"/>
      <c r="K19" s="1300">
        <f t="shared" ref="K19:K26" si="3">ROUND(E$28*E19/E$27,2)</f>
        <v>12305.29</v>
      </c>
      <c r="L19" s="1157">
        <f t="shared" ref="L19:L26" si="4">ROUND(IF(COUNTIF(C19,"*住宅*")&gt;0,E$29*E19/E$32,0),2)</f>
        <v>0</v>
      </c>
      <c r="M19" s="1312">
        <f>K19+L19</f>
        <v>12305.29</v>
      </c>
      <c r="N19" s="1855"/>
      <c r="O19" s="1856"/>
      <c r="P19" s="1312">
        <f>N19+O19</f>
        <v>0</v>
      </c>
      <c r="R19" s="1157">
        <f t="shared" ref="R19:S26" si="5">D19+H19</f>
        <v>49477.2</v>
      </c>
      <c r="S19" s="1158">
        <f t="shared" si="5"/>
        <v>153820.67000000001</v>
      </c>
    </row>
    <row r="20" spans="1:19">
      <c r="A20" s="1857"/>
      <c r="B20" s="50" t="s">
        <v>1839</v>
      </c>
      <c r="C20" s="3054" t="s">
        <v>3329</v>
      </c>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45519.14</v>
      </c>
      <c r="E27" s="1303">
        <f>IF(SUM(E19:E26)='数据-基础表'!BA5,SUM(E19:E26),IF(F27="地上面积有误","面积有误","地下面积有误"))</f>
        <v>141515.38</v>
      </c>
      <c r="F27" s="1302">
        <f>IF(SUM(F19:F26)=E8,SUM(F19:F26),"地上面积有误")</f>
        <v>122781.64</v>
      </c>
      <c r="G27" s="1304">
        <f>SUM(G19:G26)</f>
        <v>18733.739999999998</v>
      </c>
      <c r="H27" s="1305">
        <f>SUM(H19:H26)</f>
        <v>3958.06</v>
      </c>
      <c r="I27" s="1306">
        <f>SUM(I19:I26)</f>
        <v>12305.29</v>
      </c>
      <c r="J27" s="1301"/>
      <c r="K27" s="1309">
        <f t="shared" ref="K27:P27" si="10">SUM(K19:K26)</f>
        <v>12305.29</v>
      </c>
      <c r="L27" s="1310">
        <f t="shared" si="10"/>
        <v>0</v>
      </c>
      <c r="M27" s="1313">
        <f t="shared" si="10"/>
        <v>12305.29</v>
      </c>
      <c r="N27" s="1309">
        <f t="shared" si="10"/>
        <v>0</v>
      </c>
      <c r="O27" s="1310">
        <f t="shared" si="10"/>
        <v>0</v>
      </c>
      <c r="P27" s="1311">
        <f t="shared" si="10"/>
        <v>0</v>
      </c>
      <c r="R27" s="1159">
        <f>IF(SUM(R19:R26)=$D$3,SUM(R19:R26),SUM(R19:R26)&amp;"误差"&amp;ROUND(SUM(R19:R26)-$D$3,2))</f>
        <v>49477.2</v>
      </c>
      <c r="S27" s="1157">
        <f>IF(SUM(S19:S26)=$E$3,SUM(S19:S26),SUM(S19:S26)&amp;"误差"&amp;ROUND(SUM(S19:S26)-E3,2))</f>
        <v>153820.67000000001</v>
      </c>
    </row>
    <row r="28" spans="1:19">
      <c r="A28" s="1857"/>
      <c r="B28" s="50" t="s">
        <v>1841</v>
      </c>
      <c r="C28" s="1169" t="s">
        <v>1842</v>
      </c>
      <c r="D28" s="48">
        <f>ROUND($D$3*E28/$E$3,2)</f>
        <v>3958.06</v>
      </c>
      <c r="E28" s="56">
        <f>SUM(F28:G28)</f>
        <v>12305.290000000008</v>
      </c>
      <c r="F28" s="60">
        <f>'数据-基础表'!BQ5+'数据-基础表'!BS5</f>
        <v>0</v>
      </c>
      <c r="G28" s="61">
        <f>'数据-基础表'!BR5+'数据-基础表'!BT5</f>
        <v>12305.290000000008</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3958.06</v>
      </c>
      <c r="E30" s="1302">
        <f>SUM(E28:E29)</f>
        <v>12305.290000000008</v>
      </c>
      <c r="F30" s="1302">
        <f>SUM(F28:F29)</f>
        <v>0</v>
      </c>
      <c r="G30" s="1304">
        <f>SUM(G28:G29)</f>
        <v>12305.290000000008</v>
      </c>
      <c r="H30" s="2887"/>
      <c r="I30" s="2887"/>
      <c r="J30" s="2887"/>
      <c r="K30" s="2887"/>
      <c r="L30" s="2887"/>
      <c r="M30" s="2887"/>
      <c r="N30" s="2887"/>
      <c r="O30" s="2887"/>
      <c r="P30" s="2887"/>
    </row>
    <row r="31" spans="1:19" ht="15.75" thickBot="1">
      <c r="A31" s="1863"/>
      <c r="B31" s="1864"/>
      <c r="C31" s="944" t="s">
        <v>1844</v>
      </c>
      <c r="D31" s="685">
        <f>D27+D30</f>
        <v>49477.2</v>
      </c>
      <c r="E31" s="685">
        <f>E27+E30</f>
        <v>153820.67000000001</v>
      </c>
      <c r="F31" s="686">
        <f>F27+F30</f>
        <v>122781.64</v>
      </c>
      <c r="G31" s="687">
        <f>G27+G30</f>
        <v>31039.030000000006</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7">
      <c r="D33" s="1865"/>
    </row>
    <row r="35" spans="4:7">
      <c r="F35" s="1824">
        <v>32000</v>
      </c>
      <c r="G35" s="1824">
        <v>10000</v>
      </c>
    </row>
    <row r="36" spans="4:7">
      <c r="F36" s="1824">
        <f>F31*F35/10000</f>
        <v>392901.24800000002</v>
      </c>
      <c r="G36" s="1824">
        <f>G31*G35/10000</f>
        <v>31039.030000000006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P17" sqref="P1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8" style="1869" customWidth="1"/>
    <col min="26" max="30" width="6.75" style="1869" customWidth="1"/>
    <col min="31" max="31" width="8" style="1869" customWidth="1"/>
    <col min="32" max="33" width="7.25" style="1869" customWidth="1"/>
    <col min="34" max="34" width="12"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6">
        <f>项目基本情况!D3</f>
        <v>44176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0.5">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1867</v>
      </c>
      <c r="O5" s="1889" t="s">
        <v>1868</v>
      </c>
      <c r="P5" s="1892" t="s">
        <v>1869</v>
      </c>
      <c r="Q5" s="65" t="s">
        <v>1870</v>
      </c>
      <c r="R5" s="1893" t="s">
        <v>1871</v>
      </c>
      <c r="S5" s="1894" t="s">
        <v>1872</v>
      </c>
      <c r="T5" s="1895" t="s">
        <v>1873</v>
      </c>
      <c r="U5" s="1177" t="s">
        <v>1874</v>
      </c>
      <c r="V5" s="1178" t="s">
        <v>1875</v>
      </c>
      <c r="W5" s="1178" t="s">
        <v>1876</v>
      </c>
      <c r="X5" s="67"/>
      <c r="Y5" s="66" t="s">
        <v>1877</v>
      </c>
      <c r="Z5" s="1896" t="s">
        <v>1874</v>
      </c>
      <c r="AA5" s="1178" t="s">
        <v>1875</v>
      </c>
      <c r="AB5" s="1178" t="s">
        <v>1876</v>
      </c>
      <c r="AC5" s="67"/>
      <c r="AD5" s="67" t="s">
        <v>1877</v>
      </c>
      <c r="AE5" s="1177" t="s">
        <v>1878</v>
      </c>
      <c r="AF5" s="1178" t="s">
        <v>1879</v>
      </c>
      <c r="AG5" s="66" t="s">
        <v>1880</v>
      </c>
      <c r="AH5" s="1177" t="s">
        <v>1881</v>
      </c>
      <c r="AI5" s="1896" t="s">
        <v>1882</v>
      </c>
      <c r="AJ5" s="1896" t="s">
        <v>1883</v>
      </c>
      <c r="AK5" s="1178" t="s">
        <v>1884</v>
      </c>
      <c r="AL5" s="1178" t="s">
        <v>1885</v>
      </c>
      <c r="AM5" s="66" t="s">
        <v>1886</v>
      </c>
      <c r="AN5" s="1897" t="s">
        <v>1887</v>
      </c>
      <c r="AO5" s="1748" t="s">
        <v>1888</v>
      </c>
      <c r="AP5" s="1159" t="s">
        <v>1889</v>
      </c>
      <c r="AQ5" s="1898" t="s">
        <v>1890</v>
      </c>
      <c r="AR5" s="1898" t="s">
        <v>1891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60708</v>
      </c>
      <c r="F6" s="68">
        <f>SUMIF(项目基本情况!D$12:I$12,C6,项目基本情况!D$15:I$15)</f>
        <v>45.29</v>
      </c>
      <c r="G6" s="69">
        <f t="shared" ref="G6:G13" si="0">IF(ISERROR(ROUND(POWER(1+H6,D6-F6)*(POWER(1+H6,F6)-1)/(POWER(1+H6,D6)-1),3)),0,ROUND(POWER(1+H6,D6-F6)*(POWER(1+H6,F6)-1)/(POWER(1+H6,D6)-1),3))</f>
        <v>0.97499999999999998</v>
      </c>
      <c r="H6" s="741">
        <v>0.05</v>
      </c>
      <c r="I6" s="741">
        <v>5.5E-2</v>
      </c>
      <c r="J6" s="70">
        <v>0.08</v>
      </c>
      <c r="K6" s="1161">
        <f>SUMIF('数据-汇总表'!C$19:C$33,A6,'数据-汇总表'!E$19:E$33)</f>
        <v>141515.38</v>
      </c>
      <c r="L6" s="742">
        <v>5000</v>
      </c>
      <c r="M6" s="71">
        <f t="shared" ref="M6:M14" si="1">ROUND(K6*L6/10000,0)</f>
        <v>70758</v>
      </c>
      <c r="N6" s="740">
        <f>O26</f>
        <v>0.26100000000000001</v>
      </c>
      <c r="O6" s="71">
        <f>IF($N$5="成新度","——",ROUND(M6*N6,0))</f>
        <v>18468</v>
      </c>
      <c r="P6" s="72">
        <f>IF($N$5="成新度","——",M6-O6)</f>
        <v>52290</v>
      </c>
      <c r="Q6" s="743">
        <v>0.15</v>
      </c>
      <c r="R6" s="73">
        <f ca="1">SUMIF('数据-汇总表'!C$19:C$33,A6,'数据-汇总表'!R$19:R$27)</f>
        <v>49477.2</v>
      </c>
      <c r="S6" s="54">
        <f>IF('数据-汇总表'!$I$17="按面积比例",SUMIF('数据-汇总表'!C$19:C$33,A6,'数据-汇总表'!K$19:K$33),SUMIF('数据-汇总表'!C$19:C$33,A6,'数据-汇总表'!N$19:N$33))</f>
        <v>12305.29</v>
      </c>
      <c r="T6" s="1334">
        <f>ROUND($L$14*S6/10000,0)</f>
        <v>4307</v>
      </c>
      <c r="U6" s="74">
        <v>3.2</v>
      </c>
      <c r="V6" s="75">
        <v>0.03</v>
      </c>
      <c r="W6" s="75">
        <v>0</v>
      </c>
      <c r="X6" s="1171"/>
      <c r="Y6" s="76">
        <v>1</v>
      </c>
      <c r="Z6" s="77"/>
      <c r="AA6" s="70"/>
      <c r="AB6" s="70"/>
      <c r="AC6" s="1171"/>
      <c r="AD6" s="78"/>
      <c r="AE6" s="1172">
        <f ca="1">IF(AN6="",0,SUMIF(INDIRECT("'"&amp;AN6&amp;"'"&amp;"!E:E"),$AE$5,INDIRECT("'"&amp;AN6&amp;"'"&amp;"!F:F")))</f>
        <v>43.073</v>
      </c>
      <c r="AF6" s="1533"/>
      <c r="AG6" s="143">
        <f>IF(AF6="",0,AE6-AF6)</f>
        <v>0</v>
      </c>
      <c r="AH6" s="79">
        <f>'数据-基础表'!I13+'数据-基础表'!I14+'数据-基础表'!K13+'数据-基础表'!K14</f>
        <v>122781.64</v>
      </c>
      <c r="AI6" s="81">
        <v>365</v>
      </c>
      <c r="AJ6" s="82"/>
      <c r="AK6" s="83">
        <v>1.4999999999999999E-2</v>
      </c>
      <c r="AL6" s="84">
        <v>1.5E-3</v>
      </c>
      <c r="AM6" s="85">
        <v>0.02</v>
      </c>
      <c r="AN6" s="1902" t="s">
        <v>3119</v>
      </c>
      <c r="AO6" s="55">
        <f ca="1">SUMIF(INDIRECT("'"&amp;AN6&amp;"'"&amp;"!A:A"),"总价",INDIRECT("'"&amp;AN6&amp;"'"&amp;"!B:B"))</f>
        <v>347171</v>
      </c>
      <c r="AP6" s="1903">
        <f>IF(C6="住宅",K6*L6,0)</f>
        <v>0</v>
      </c>
      <c r="AQ6" s="55">
        <f>ROUND($L$14*$N$14*S6/10000,0)</f>
        <v>1124</v>
      </c>
      <c r="AR6" s="55">
        <f>ROUND($L$14*(1-$N$14)*S6/10000,0)</f>
        <v>3183</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二期办公</v>
      </c>
      <c r="B7" s="1900" t="str">
        <f t="shared" ref="B7:B13" si="2">IF(A7=0,"","经营性")</f>
        <v>经营性</v>
      </c>
      <c r="C7" s="1901" t="s">
        <v>27</v>
      </c>
      <c r="D7" s="967">
        <f>SUMIF(项目基本情况!D$12:I$12,C7,项目基本情况!D$14:I$14)</f>
        <v>50</v>
      </c>
      <c r="E7" s="966">
        <f>IF(B7="","",SUMIF(项目基本情况!D$12:I$12,C7,项目基本情况!D$13:I$13))</f>
        <v>60708</v>
      </c>
      <c r="F7" s="68">
        <f>SUMIF(项目基本情况!D$12:I$12,C7,项目基本情况!D$15:I$15)</f>
        <v>45.29</v>
      </c>
      <c r="G7" s="69">
        <f t="shared" si="0"/>
        <v>0</v>
      </c>
      <c r="H7" s="741"/>
      <c r="I7" s="741"/>
      <c r="J7" s="70"/>
      <c r="K7" s="1161">
        <f>SUMIF('数据-汇总表'!C$19:C$33,A7,'数据-汇总表'!E$19:E$33)</f>
        <v>0</v>
      </c>
      <c r="L7" s="742"/>
      <c r="M7" s="71">
        <f t="shared" si="1"/>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43.073</v>
      </c>
      <c r="AF7" s="1533"/>
      <c r="AG7" s="143">
        <f t="shared" ref="AG7:AG13" si="7">IF(AF7="",0,AE7-AF7)</f>
        <v>0</v>
      </c>
      <c r="AH7" s="79"/>
      <c r="AI7" s="81"/>
      <c r="AJ7" s="82"/>
      <c r="AK7" s="83"/>
      <c r="AL7" s="84"/>
      <c r="AM7" s="85"/>
      <c r="AN7" s="1902" t="s">
        <v>3330</v>
      </c>
      <c r="AO7" s="55" t="e">
        <f t="shared" ref="AO7:AO13" ca="1" si="8">SUMIF(INDIRECT("'"&amp;AN7&amp;"'"&amp;"!A:A"),"总价",INDIRECT("'"&amp;AN7&amp;"'"&amp;"!B:B"))</f>
        <v>#DIV/0!</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1892</v>
      </c>
      <c r="B14" s="1900" t="s">
        <v>1893</v>
      </c>
      <c r="C14" s="1905" t="s">
        <v>1892</v>
      </c>
      <c r="D14" s="967"/>
      <c r="E14" s="966"/>
      <c r="F14" s="68"/>
      <c r="G14" s="69"/>
      <c r="H14" s="1160"/>
      <c r="I14" s="1160"/>
      <c r="J14" s="1160"/>
      <c r="K14" s="1161">
        <f>SUMIF('数据-汇总表'!C$19:C$33,A14,'数据-汇总表'!E$19:E$33)</f>
        <v>12305.290000000008</v>
      </c>
      <c r="L14" s="87">
        <v>3500</v>
      </c>
      <c r="M14" s="71">
        <f t="shared" si="1"/>
        <v>4307</v>
      </c>
      <c r="N14" s="88">
        <f>N6</f>
        <v>0.26100000000000001</v>
      </c>
      <c r="O14" s="71">
        <f t="shared" si="3"/>
        <v>1124</v>
      </c>
      <c r="P14" s="72">
        <f t="shared" si="4"/>
        <v>3183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1894</v>
      </c>
      <c r="B15" s="1900" t="s">
        <v>1893</v>
      </c>
      <c r="C15" s="1905"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1896</v>
      </c>
      <c r="B16" s="93"/>
      <c r="C16" s="942"/>
      <c r="D16" s="1907"/>
      <c r="E16" s="93"/>
      <c r="F16" s="93"/>
      <c r="G16" s="94">
        <f>ROUND(SUMPRODUCT(G6:G13,K6:K13)/SUMPRODUCT((G6:G13&gt;0)*(K6:K13)),3)</f>
        <v>0.97499999999999998</v>
      </c>
      <c r="H16" s="95">
        <f>ROUND(SUMPRODUCT(H6:H13,K6:K13)/SUMPRODUCT((H6:H13&gt;0)*(K6:K13)),3)</f>
        <v>0.05</v>
      </c>
      <c r="I16" s="96"/>
      <c r="J16" s="96"/>
      <c r="K16" s="97">
        <f>SUM(K6:K15)</f>
        <v>153820.67000000001</v>
      </c>
      <c r="L16" s="98">
        <f>ROUND(M16*10000/SUM(K6:K14),0)</f>
        <v>4880</v>
      </c>
      <c r="M16" s="98">
        <f>SUM(M6:M14)</f>
        <v>75065</v>
      </c>
      <c r="N16" s="99">
        <f>ROUND(SUMPRODUCT(M6:M14,N6:N14)/M16,3)</f>
        <v>0.26100000000000001</v>
      </c>
      <c r="O16" s="98">
        <f>SUM(O6:O14)</f>
        <v>19592</v>
      </c>
      <c r="P16" s="98">
        <f>SUM(P6:P14)</f>
        <v>55473</v>
      </c>
      <c r="Q16" s="100">
        <f>ROUND(SUMPRODUCT(Q6:Q13,K6:K13)/SUMPRODUCT((Q6:Q13&gt;0)*(K6:K13)),2)</f>
        <v>0.15</v>
      </c>
      <c r="R16" s="1165">
        <f ca="1">SUM(R6:R13)</f>
        <v>49477.2</v>
      </c>
      <c r="S16" s="101">
        <f>SUM(S6:S13)</f>
        <v>12305.29</v>
      </c>
      <c r="T16" s="102">
        <f>IF(SUMIF(T6:T13,"&lt;9E307")=M14,SUMIF(T6:T13,"&lt;9E307"),"有误，请检查")</f>
        <v>4307</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1897</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1898</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1899</v>
      </c>
      <c r="B20" s="3111">
        <v>3</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1900</v>
      </c>
      <c r="B21" s="109">
        <f>B20*N16</f>
        <v>0.78300000000000003</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1901</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1902</v>
      </c>
      <c r="B23" s="110">
        <f>B19+B21</f>
        <v>0.78300000000000003</v>
      </c>
      <c r="C23" s="2903"/>
      <c r="D23" s="2906"/>
      <c r="E23" s="2903"/>
      <c r="F23" s="2903"/>
      <c r="G23" s="2903"/>
      <c r="H23" s="2903"/>
      <c r="I23" s="2903"/>
      <c r="J23" s="2903"/>
      <c r="K23" s="2902">
        <f>K6/K16</f>
        <v>0.9200023637915502</v>
      </c>
      <c r="L23" s="2902"/>
      <c r="M23" s="3112" t="s">
        <v>3336</v>
      </c>
      <c r="N23" s="2901">
        <v>48562.03</v>
      </c>
      <c r="O23" s="3113">
        <v>0.8</v>
      </c>
      <c r="P23" s="3113">
        <v>0.7</v>
      </c>
      <c r="Q23" s="3113">
        <v>0.75</v>
      </c>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1903</v>
      </c>
      <c r="B24" s="111">
        <f>B20-B21</f>
        <v>2.2170000000000001</v>
      </c>
      <c r="C24" s="2903"/>
      <c r="D24" s="2906"/>
      <c r="E24" s="2903"/>
      <c r="F24" s="2903"/>
      <c r="G24" s="2903"/>
      <c r="H24" s="2903"/>
      <c r="I24" s="2903"/>
      <c r="J24" s="2903"/>
      <c r="K24" s="2902"/>
      <c r="L24" s="2902"/>
      <c r="M24" s="3112" t="s">
        <v>3337</v>
      </c>
      <c r="N24" s="2901">
        <v>92953.35</v>
      </c>
      <c r="O24" s="3113">
        <v>0</v>
      </c>
      <c r="P24" s="3113">
        <v>0</v>
      </c>
      <c r="Q24" s="3113">
        <v>0</v>
      </c>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3112" t="s">
        <v>3338</v>
      </c>
      <c r="N25" s="2901">
        <v>12305.29</v>
      </c>
      <c r="O25" s="3113">
        <v>0</v>
      </c>
      <c r="P25" s="3113">
        <v>0</v>
      </c>
      <c r="Q25" s="3113">
        <v>0</v>
      </c>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1904</v>
      </c>
      <c r="B26" s="1913" t="s">
        <v>1905</v>
      </c>
      <c r="C26" s="2907" t="s">
        <v>1906</v>
      </c>
      <c r="D26" s="2906"/>
      <c r="E26" s="2903"/>
      <c r="F26" s="2903"/>
      <c r="G26" s="2903"/>
      <c r="H26" s="2903"/>
      <c r="I26" s="2903"/>
      <c r="J26" s="2903"/>
      <c r="K26" s="2902"/>
      <c r="L26" s="2902"/>
      <c r="M26" s="2901"/>
      <c r="N26" s="2901"/>
      <c r="O26" s="3114">
        <v>0.26100000000000001</v>
      </c>
      <c r="P26" s="3114">
        <v>0.22800000000000001</v>
      </c>
      <c r="Q26" s="3114">
        <v>0.245</v>
      </c>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1907</v>
      </c>
      <c r="B27" s="112"/>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1908</v>
      </c>
      <c r="B28" s="115">
        <v>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1909</v>
      </c>
      <c r="B29" s="117">
        <f ca="1">成本法!C10</f>
        <v>0</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1910</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1911</v>
      </c>
      <c r="B31" s="116">
        <f>B30-B32</f>
        <v>100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1912</v>
      </c>
      <c r="B32" s="681">
        <v>100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1913</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1914</v>
      </c>
      <c r="B34" s="118">
        <v>0.05</v>
      </c>
      <c r="C34" s="3035" t="s">
        <v>3041</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1915</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1916</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1917</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1918</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1919</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1920</v>
      </c>
      <c r="B40" s="1210">
        <f ca="1">存贷款利率!G1</f>
        <v>4.7500000000000001E-2</v>
      </c>
      <c r="C40" s="3035" t="s">
        <v>3045</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1921</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1922</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1923</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1924</v>
      </c>
      <c r="B44" s="124">
        <v>0.05</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1925</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1926</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1927</v>
      </c>
      <c r="B47" s="125"/>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1928</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1929</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1930</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1931</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1932</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1933</v>
      </c>
      <c r="B53" s="1925" t="s">
        <v>56</v>
      </c>
      <c r="C53" s="2889" t="s">
        <v>1934</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1935</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1936</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1937</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1938</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1939</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1940</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1941</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1942</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1943</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1944</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210" t="s">
        <v>3031</v>
      </c>
      <c r="B1" s="3211"/>
      <c r="C1" s="3211"/>
      <c r="D1" s="3211"/>
      <c r="E1" s="3211"/>
      <c r="F1" s="3211"/>
      <c r="G1" s="321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259079.31000000003</v>
      </c>
      <c r="C1" s="2916"/>
      <c r="D1" s="2916"/>
      <c r="E1" s="2916"/>
      <c r="F1" s="2916"/>
      <c r="G1" s="2917"/>
      <c r="H1" s="2918"/>
      <c r="I1" s="2918"/>
      <c r="J1" s="2918"/>
      <c r="K1" s="2918"/>
    </row>
    <row r="2" spans="1:11" ht="16.5">
      <c r="A2" s="2739" t="s">
        <v>1319</v>
      </c>
      <c r="B2" s="2739">
        <f>SUM(C14:C23)</f>
        <v>83334.179999999993</v>
      </c>
      <c r="C2" s="2916"/>
      <c r="D2" s="2916"/>
      <c r="E2" s="2916"/>
      <c r="F2" s="2916"/>
      <c r="G2" s="2917"/>
      <c r="H2" s="2918"/>
      <c r="I2" s="2918"/>
      <c r="J2" s="2918"/>
      <c r="K2" s="2918"/>
    </row>
    <row r="3" spans="1:11" ht="16.5">
      <c r="A3" s="2739" t="s">
        <v>1328</v>
      </c>
      <c r="B3" s="2741">
        <f>项目基本情况!D3</f>
        <v>44176</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385525</v>
      </c>
      <c r="C5" s="2739">
        <f ca="1">ROUND(B5*10000/$B$1,0)</f>
        <v>14881</v>
      </c>
      <c r="D5" s="2739">
        <f ca="1">ROUND(B5*10000/$B$2,0)</f>
        <v>46263</v>
      </c>
      <c r="E5" s="2916"/>
      <c r="F5" s="2917"/>
      <c r="G5" s="2917"/>
      <c r="H5" s="2918"/>
      <c r="I5" s="2918"/>
      <c r="J5" s="2918"/>
      <c r="K5" s="2918"/>
    </row>
    <row r="6" spans="1:11" ht="16.5">
      <c r="A6" s="2739" t="s">
        <v>1322</v>
      </c>
      <c r="B6" s="2739">
        <f ca="1">SUM(G14:G23)</f>
        <v>385525</v>
      </c>
      <c r="C6" s="2739">
        <f ca="1">ROUND(B6*10000/$B$1,0)</f>
        <v>14881</v>
      </c>
      <c r="D6" s="2739">
        <f ca="1">ROUND(B6*10000/$B$2,0)</f>
        <v>46263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153820.67000000001</v>
      </c>
      <c r="C14" s="2745">
        <f>结果表!C118</f>
        <v>49477.2</v>
      </c>
      <c r="D14" s="2745">
        <f ca="1">结果表!H118</f>
        <v>266858</v>
      </c>
      <c r="E14" s="2745">
        <f ca="1">ROUND(D14*10000/B14,0)</f>
        <v>17349</v>
      </c>
      <c r="F14" s="2745">
        <f ca="1">ROUND(D14*10000/C14,0)</f>
        <v>53936</v>
      </c>
      <c r="G14" s="2745">
        <f ca="1">结果表!D122</f>
        <v>266858</v>
      </c>
      <c r="H14" s="2745" t="str">
        <f>结果表!D124</f>
        <v>——</v>
      </c>
      <c r="I14" s="2745" t="str">
        <f>结果表!D126</f>
        <v>——</v>
      </c>
      <c r="J14" s="2917">
        <v>121774</v>
      </c>
      <c r="K14" s="2918">
        <f ca="1">G14-J14</f>
        <v>145084</v>
      </c>
    </row>
    <row r="15" spans="1:11" ht="16.5">
      <c r="A15" s="2744" t="s">
        <v>1315</v>
      </c>
      <c r="B15" s="2746">
        <f>[2]系统读取表!$B$14</f>
        <v>105258.64000000001</v>
      </c>
      <c r="C15" s="2746">
        <f>[2]系统读取表!$C$14</f>
        <v>33856.980000000003</v>
      </c>
      <c r="D15" s="2746">
        <f>[2]系统读取表!$D$14</f>
        <v>118667</v>
      </c>
      <c r="E15" s="2745">
        <f t="shared" ref="E15:E23" si="0">ROUND(D15*10000/B15,0)</f>
        <v>11274</v>
      </c>
      <c r="F15" s="2745">
        <f t="shared" ref="F15:F23" si="1">ROUND(D15*10000/C15,0)</f>
        <v>35049</v>
      </c>
      <c r="G15" s="1501">
        <f>D15</f>
        <v>118667</v>
      </c>
      <c r="H15" s="1501"/>
      <c r="I15" s="2746"/>
      <c r="J15" s="2917">
        <v>121118</v>
      </c>
      <c r="K15" s="2918">
        <f>G15-J15</f>
        <v>-2451</v>
      </c>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SheetLayoutView="80" zoomScalePageLayoutView="80" workbookViewId="0">
      <selection activeCell="L116" sqref="L11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1950</v>
      </c>
      <c r="B1" s="1934"/>
      <c r="C1" s="1935"/>
      <c r="D1" s="1934"/>
      <c r="E1" s="1934"/>
      <c r="F1" s="1936" t="s">
        <v>1951</v>
      </c>
      <c r="G1" s="1747"/>
      <c r="H1" s="1937" t="str">
        <f>IF(G1="现房","——","估价对象范围")</f>
        <v>估价对象范围</v>
      </c>
      <c r="I1" s="1938"/>
    </row>
    <row r="2" spans="1:12" ht="21.75" customHeight="1" thickBot="1">
      <c r="A2" s="3246" t="str">
        <f>项目基本情况!S2</f>
        <v>北京市房地产</v>
      </c>
      <c r="B2" s="3247"/>
      <c r="C2" s="3247"/>
      <c r="D2" s="3247"/>
      <c r="E2" s="3247"/>
      <c r="F2" s="3247"/>
      <c r="G2" s="3247"/>
      <c r="H2" s="3247"/>
      <c r="I2" s="3248"/>
    </row>
    <row r="3" spans="1:12" ht="12.75">
      <c r="A3" s="3250" t="s">
        <v>1952</v>
      </c>
      <c r="B3" s="3251"/>
      <c r="C3" s="3251"/>
      <c r="D3" s="3251"/>
      <c r="E3" s="3251"/>
      <c r="F3" s="3251"/>
      <c r="G3" s="3251"/>
      <c r="H3" s="3251"/>
      <c r="I3" s="3251"/>
    </row>
    <row r="4" spans="1:12" ht="14.25">
      <c r="A4" s="1941" t="s">
        <v>1953</v>
      </c>
      <c r="B4" s="1942" t="s">
        <v>1954</v>
      </c>
      <c r="C4" s="1943" t="s">
        <v>3321</v>
      </c>
      <c r="D4" s="1943" t="s">
        <v>3322</v>
      </c>
      <c r="E4" s="3252" t="s">
        <v>1955</v>
      </c>
      <c r="F4" s="3253"/>
      <c r="G4" s="3253"/>
      <c r="H4" s="3253"/>
      <c r="I4" s="325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26" t="s">
        <v>1956</v>
      </c>
      <c r="B5" s="3213">
        <v>25</v>
      </c>
      <c r="C5" s="3229"/>
      <c r="D5" s="3249"/>
      <c r="E5" s="136" t="s">
        <v>1957</v>
      </c>
      <c r="F5" s="1944"/>
      <c r="G5" s="1944"/>
      <c r="H5" s="1944"/>
      <c r="I5" s="1558"/>
    </row>
    <row r="6" spans="1:12" ht="12.75">
      <c r="A6" s="3226"/>
      <c r="B6" s="3213"/>
      <c r="C6" s="3230"/>
      <c r="D6" s="3249"/>
      <c r="E6" s="136" t="s">
        <v>1958</v>
      </c>
      <c r="F6" s="1944"/>
      <c r="G6" s="1944"/>
      <c r="H6" s="1944"/>
      <c r="I6" s="1558"/>
    </row>
    <row r="7" spans="1:12" ht="12.75">
      <c r="A7" s="3226"/>
      <c r="B7" s="3213"/>
      <c r="C7" s="3231"/>
      <c r="D7" s="3249"/>
      <c r="E7" s="136" t="s">
        <v>1959</v>
      </c>
      <c r="F7" s="1944"/>
      <c r="G7" s="1944"/>
      <c r="H7" s="1944"/>
      <c r="I7" s="1558"/>
    </row>
    <row r="8" spans="1:12" ht="12.75">
      <c r="A8" s="3226" t="s">
        <v>1960</v>
      </c>
      <c r="B8" s="3213">
        <v>15</v>
      </c>
      <c r="C8" s="3229"/>
      <c r="D8" s="3249"/>
      <c r="E8" s="136" t="s">
        <v>1961</v>
      </c>
      <c r="F8" s="1944"/>
      <c r="G8" s="1944"/>
      <c r="H8" s="1944"/>
      <c r="I8" s="1558"/>
    </row>
    <row r="9" spans="1:12" ht="12.75">
      <c r="A9" s="3226"/>
      <c r="B9" s="3213"/>
      <c r="C9" s="3231"/>
      <c r="D9" s="3249"/>
      <c r="E9" s="136" t="s">
        <v>1962</v>
      </c>
      <c r="F9" s="1944"/>
      <c r="G9" s="1944"/>
      <c r="H9" s="1944"/>
      <c r="I9" s="1558"/>
    </row>
    <row r="10" spans="1:12" ht="12.75">
      <c r="A10" s="3226" t="s">
        <v>1963</v>
      </c>
      <c r="B10" s="3213">
        <v>15</v>
      </c>
      <c r="C10" s="3229"/>
      <c r="D10" s="3249"/>
      <c r="E10" s="136" t="s">
        <v>1964</v>
      </c>
      <c r="F10" s="1944"/>
      <c r="G10" s="1944"/>
      <c r="H10" s="1944"/>
      <c r="I10" s="1558"/>
    </row>
    <row r="11" spans="1:12" ht="12.75">
      <c r="A11" s="3226"/>
      <c r="B11" s="3213"/>
      <c r="C11" s="3231"/>
      <c r="D11" s="3249"/>
      <c r="E11" s="136" t="s">
        <v>1965</v>
      </c>
      <c r="F11" s="1944"/>
      <c r="G11" s="1944"/>
      <c r="H11" s="1944"/>
      <c r="I11" s="1558"/>
    </row>
    <row r="12" spans="1:12" ht="12.75">
      <c r="A12" s="3226" t="s">
        <v>1966</v>
      </c>
      <c r="B12" s="3213">
        <v>15</v>
      </c>
      <c r="C12" s="3229"/>
      <c r="D12" s="3249"/>
      <c r="E12" s="136" t="s">
        <v>1967</v>
      </c>
      <c r="F12" s="1944"/>
      <c r="G12" s="1944"/>
      <c r="H12" s="1944"/>
      <c r="I12" s="1558"/>
    </row>
    <row r="13" spans="1:12" ht="12.75">
      <c r="A13" s="3226"/>
      <c r="B13" s="3213"/>
      <c r="C13" s="3231"/>
      <c r="D13" s="3249"/>
      <c r="E13" s="136" t="s">
        <v>1968</v>
      </c>
      <c r="F13" s="1944"/>
      <c r="G13" s="1944"/>
      <c r="H13" s="1944"/>
      <c r="I13" s="1558"/>
    </row>
    <row r="14" spans="1:12" ht="12.75">
      <c r="A14" s="3226" t="s">
        <v>1969</v>
      </c>
      <c r="B14" s="3213">
        <v>30</v>
      </c>
      <c r="C14" s="3229">
        <v>45</v>
      </c>
      <c r="D14" s="3249">
        <v>55</v>
      </c>
      <c r="E14" s="136" t="s">
        <v>1970</v>
      </c>
      <c r="F14" s="1944"/>
      <c r="G14" s="1944"/>
      <c r="H14" s="1944"/>
      <c r="I14" s="1558"/>
    </row>
    <row r="15" spans="1:12" ht="12.75">
      <c r="A15" s="3226"/>
      <c r="B15" s="3213"/>
      <c r="C15" s="3230"/>
      <c r="D15" s="3249"/>
      <c r="E15" s="136" t="s">
        <v>1971</v>
      </c>
      <c r="F15" s="1944"/>
      <c r="G15" s="1944"/>
      <c r="H15" s="1944"/>
      <c r="I15" s="1558"/>
    </row>
    <row r="16" spans="1:12" ht="12.75">
      <c r="A16" s="3226"/>
      <c r="B16" s="3213"/>
      <c r="C16" s="3231"/>
      <c r="D16" s="3249"/>
      <c r="E16" s="136" t="s">
        <v>1972</v>
      </c>
      <c r="F16" s="1944"/>
      <c r="G16" s="1944"/>
      <c r="H16" s="1944"/>
      <c r="I16" s="1558"/>
    </row>
    <row r="17" spans="1:36" ht="15">
      <c r="A17" s="1945" t="s">
        <v>1973</v>
      </c>
      <c r="B17" s="60"/>
      <c r="C17" s="137">
        <f>SUM(C5:C16)</f>
        <v>45</v>
      </c>
      <c r="D17" s="137">
        <f>SUM(D5:D16)</f>
        <v>55</v>
      </c>
      <c r="E17" s="134"/>
      <c r="F17" s="134"/>
      <c r="G17" s="134"/>
      <c r="H17" s="134"/>
      <c r="I17" s="134"/>
      <c r="K17" s="308"/>
      <c r="L17" s="308" t="s">
        <v>1974</v>
      </c>
      <c r="M17" s="308" t="s">
        <v>1975</v>
      </c>
    </row>
    <row r="18" spans="1:36" ht="31.9" customHeight="1" thickBot="1">
      <c r="A18" s="1946" t="s">
        <v>1976</v>
      </c>
      <c r="B18" s="1947"/>
      <c r="C18" s="138">
        <f>ROUND(C17/SUM(C17:D17),2)</f>
        <v>0.45</v>
      </c>
      <c r="D18" s="138">
        <f>1-C18</f>
        <v>0.55000000000000004</v>
      </c>
      <c r="E18" s="3236" t="s">
        <v>2872</v>
      </c>
      <c r="F18" s="3237"/>
      <c r="G18" s="3237"/>
      <c r="H18" s="3237"/>
      <c r="I18" s="3237"/>
      <c r="K18" s="308" t="s">
        <v>1977</v>
      </c>
      <c r="L18" s="308">
        <f>IF(C1="",'数据-汇总表'!E3,SUMIF(项目类型,C1,'数据-汇总表'!E17:E26)+SUMIF(项目类型,C1,'数据-汇总表'!I17:I26))</f>
        <v>153820.67000000001</v>
      </c>
      <c r="M18" s="308">
        <f>IF(C1="",'数据-汇总表'!E3,SUMIF(项目类型,C1,'数据-汇总表'!E17:E26))</f>
        <v>153820.67000000001</v>
      </c>
    </row>
    <row r="19" spans="1:36" ht="15">
      <c r="A19" s="1948" t="s">
        <v>1978</v>
      </c>
      <c r="B19" s="1949" t="s">
        <v>1979</v>
      </c>
      <c r="C19" s="139">
        <f ca="1">SUMIF(INDIRECT("'"&amp;C4&amp;"'"&amp;"!A:A"),结果表!B19,INDIRECT("'"&amp;C4&amp;"'"&amp;"!B:B"))</f>
        <v>352373</v>
      </c>
      <c r="D19" s="140">
        <f ca="1">SUMIF(INDIRECT("'"&amp;D4&amp;"'"&amp;"!A:A"),结果表!B19,INDIRECT("'"&amp;D4&amp;"'"&amp;"!B:B"))</f>
        <v>196891</v>
      </c>
      <c r="E19" s="1948" t="s">
        <v>1980</v>
      </c>
      <c r="F19" s="1949" t="s">
        <v>1979</v>
      </c>
      <c r="G19" s="141">
        <f ca="1">ROUND(C19*$C$18+D19*$D$18,0)</f>
        <v>266858</v>
      </c>
      <c r="H19" s="1950" t="s">
        <v>1981</v>
      </c>
      <c r="I19" s="134">
        <f>[3]系统读取表!$B$5</f>
        <v>251495</v>
      </c>
      <c r="J19" s="734">
        <f ca="1">G19-I19</f>
        <v>15363</v>
      </c>
      <c r="K19" s="308" t="s">
        <v>1982</v>
      </c>
      <c r="L19" s="308">
        <f>IF(C1="",'数据-汇总表'!D3,SUMIF(项目类型,C1,'数据-汇总表'!D17:D26)+SUMIF(项目类型,C1,'数据-汇总表'!H17:H27))</f>
        <v>49477.2</v>
      </c>
      <c r="M19" s="308">
        <f>IF(C1="",'数据-汇总表'!D3,SUMIF(项目类型,C1,'数据-汇总表'!D17:D26))</f>
        <v>49477.2</v>
      </c>
    </row>
    <row r="20" spans="1:36" ht="15">
      <c r="A20" s="1951"/>
      <c r="B20" s="1157" t="s">
        <v>1983</v>
      </c>
      <c r="C20" s="142">
        <f ca="1">SUMIF(INDIRECT("'"&amp;C4&amp;"'"&amp;"!A:A"),结果表!B20,INDIRECT("'"&amp;C4&amp;"'"&amp;"!B:B"))</f>
        <v>22908</v>
      </c>
      <c r="D20" s="143">
        <f ca="1">SUMIF(INDIRECT("'"&amp;D4&amp;"'"&amp;"!A:A"),结果表!B20,INDIRECT("'"&amp;D4&amp;"'"&amp;"!B:B"))</f>
        <v>12800</v>
      </c>
      <c r="E20" s="1951"/>
      <c r="F20" s="1157" t="s">
        <v>1983</v>
      </c>
      <c r="G20" s="144">
        <f ca="1">ROUND(C20*$C$18+D20*$D$18,0)</f>
        <v>17349</v>
      </c>
      <c r="H20" s="917" t="s">
        <v>1984</v>
      </c>
      <c r="I20" s="134"/>
    </row>
    <row r="21" spans="1:36" ht="15" customHeight="1" thickBot="1">
      <c r="A21" s="937"/>
      <c r="B21" s="1952" t="s">
        <v>1985</v>
      </c>
      <c r="C21" s="728">
        <f ca="1">ROUND(C19*10000/L19,0)</f>
        <v>71219</v>
      </c>
      <c r="D21" s="729">
        <f ca="1">ROUND(D19*10000/L19,0)</f>
        <v>39794</v>
      </c>
      <c r="E21" s="937"/>
      <c r="F21" s="1952" t="s">
        <v>1985</v>
      </c>
      <c r="G21" s="145">
        <f ca="1">ROUND(G19*10000/L19,0)</f>
        <v>53936</v>
      </c>
      <c r="H21" s="1953" t="s">
        <v>1984</v>
      </c>
      <c r="I21" s="134"/>
    </row>
    <row r="22" spans="1:36" ht="15" thickBot="1">
      <c r="A22" s="1875" t="s">
        <v>1986</v>
      </c>
      <c r="B22" s="1954"/>
      <c r="C22" s="1955"/>
      <c r="D22" s="730">
        <f ca="1">IF(C19&lt;D19,D19/C19-1,C19/D19-1)</f>
        <v>0.7896856636413041</v>
      </c>
      <c r="E22" s="134"/>
      <c r="F22" s="134"/>
      <c r="G22" s="134"/>
      <c r="H22" s="134"/>
      <c r="I22" s="134"/>
    </row>
    <row r="23" spans="1:36" ht="13.5" thickBot="1">
      <c r="A23" s="1934"/>
      <c r="B23" s="1934"/>
      <c r="C23" s="1934"/>
      <c r="D23" s="1934"/>
      <c r="E23" s="134"/>
      <c r="F23" s="134"/>
      <c r="G23" s="134"/>
      <c r="H23" s="134"/>
      <c r="I23" s="134"/>
    </row>
    <row r="24" spans="1:36" ht="14.25">
      <c r="A24" s="3220" t="s">
        <v>1987</v>
      </c>
      <c r="B24" s="1949" t="s">
        <v>1979</v>
      </c>
      <c r="C24" s="141">
        <f>IF(B30=0,0,D30)</f>
        <v>0</v>
      </c>
      <c r="D24" s="1956"/>
      <c r="E24" s="134"/>
      <c r="F24" s="134"/>
      <c r="G24" s="134"/>
      <c r="H24" s="134"/>
      <c r="I24" s="134"/>
    </row>
    <row r="25" spans="1:36" ht="14.25">
      <c r="A25" s="3221"/>
      <c r="B25" s="1157" t="s">
        <v>1983</v>
      </c>
      <c r="C25" s="146">
        <f>IF(B30=0,0,C30)</f>
        <v>0</v>
      </c>
      <c r="D25" s="1957"/>
      <c r="E25" s="134"/>
      <c r="F25" s="134"/>
      <c r="G25" s="134">
        <f ca="1">G19/'数据-汇总表'!F31</f>
        <v>2.1734357026017896</v>
      </c>
      <c r="H25" s="134"/>
      <c r="I25" s="134"/>
    </row>
    <row r="26" spans="1:36" ht="13.5" customHeight="1">
      <c r="A26" s="1958" t="s">
        <v>1988</v>
      </c>
      <c r="B26" s="147" t="s">
        <v>1989</v>
      </c>
      <c r="C26" s="147" t="s">
        <v>1990</v>
      </c>
      <c r="D26" s="148" t="s">
        <v>1991</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1992</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1993</v>
      </c>
      <c r="B32" s="1961"/>
      <c r="C32" s="149">
        <f ca="1">IF(D32="总价",G19-C24,G20-C25)</f>
        <v>266858</v>
      </c>
      <c r="D32" s="1962" t="s">
        <v>3323</v>
      </c>
      <c r="E32" s="134"/>
      <c r="F32" s="134"/>
      <c r="G32" s="134"/>
      <c r="H32" s="134"/>
      <c r="I32" s="134"/>
    </row>
    <row r="33" spans="1:15" ht="15">
      <c r="A33" s="894" t="s">
        <v>1994</v>
      </c>
      <c r="B33" s="1963"/>
      <c r="C33" s="1964" t="s">
        <v>3339</v>
      </c>
      <c r="D33" s="1965" t="s">
        <v>3321</v>
      </c>
      <c r="E33" s="1966" t="s">
        <v>1995</v>
      </c>
      <c r="F33" s="1967" t="str">
        <f>IF(D32="楼面单价","取值（单价）","取值（总价）")</f>
        <v>取值（总价）</v>
      </c>
      <c r="G33" s="134"/>
      <c r="H33" s="134"/>
      <c r="I33" s="134"/>
    </row>
    <row r="34" spans="1:15" ht="15">
      <c r="A34" s="1968"/>
      <c r="B34" s="1969" t="s">
        <v>1996</v>
      </c>
      <c r="C34" s="153">
        <f ca="1">IF(C33="自定义",F34,C32-C35)</f>
        <v>246043</v>
      </c>
      <c r="D34" s="970">
        <f ca="1">IF(C33="自定义",ROUND(C34/C32,3),IF(C33="收益比率",SUMIF(INDIRECT("'"&amp;D33&amp;"'"&amp;"!b:b"),"土地收益比率",INDIRECT("'"&amp;D33&amp;"'"&amp;"!c:c")),SUMIF(INDIRECT("'"&amp;D33&amp;"'"&amp;"!b:b"),"土地成本比率",INDIRECT("'"&amp;D33&amp;"'"&amp;"!c:c"))))</f>
        <v>0.92200000000000004</v>
      </c>
      <c r="E34" s="1970" t="s">
        <v>1997</v>
      </c>
      <c r="F34" s="1499"/>
      <c r="G34" s="134"/>
      <c r="H34" s="134"/>
      <c r="I34" s="134"/>
    </row>
    <row r="35" spans="1:15" ht="15.75" thickBot="1">
      <c r="A35" s="1971"/>
      <c r="B35" s="1972" t="s">
        <v>1998</v>
      </c>
      <c r="C35" s="1332">
        <f ca="1">IF(C33="自定义",F35,ROUND(C32*D35,0))</f>
        <v>20815</v>
      </c>
      <c r="D35" s="1333">
        <f ca="1">IF(C33="自定义",ROUND(C35/C32,3),IF(C33="收益比率",SUMIF(INDIRECT("'"&amp;D33&amp;"'"&amp;"!b:b"),"建筑物收益比率",INDIRECT("'"&amp;D33&amp;"'"&amp;"!c:c")),SUMIF(INDIRECT("'"&amp;D33&amp;"'"&amp;"!b:b"),"建筑物成本比率",INDIRECT("'"&amp;D33&amp;"'"&amp;"!c:c"))))</f>
        <v>7.8E-2</v>
      </c>
      <c r="E35" s="1973" t="s">
        <v>1999</v>
      </c>
      <c r="F35" s="159"/>
      <c r="G35" s="134"/>
      <c r="H35" s="134"/>
      <c r="I35" s="134"/>
    </row>
    <row r="36" spans="1:15" ht="15.75" thickBot="1">
      <c r="A36" s="3240" t="s">
        <v>2000</v>
      </c>
      <c r="B36" s="1974" t="s">
        <v>2001</v>
      </c>
      <c r="C36" s="150"/>
      <c r="D36" s="1975"/>
      <c r="E36" s="1976"/>
      <c r="F36" s="1977"/>
      <c r="G36" s="134"/>
      <c r="H36" s="134"/>
      <c r="I36" s="134"/>
    </row>
    <row r="37" spans="1:15" ht="15.75" thickBot="1">
      <c r="A37" s="3241"/>
      <c r="B37" s="1861" t="s">
        <v>2002</v>
      </c>
      <c r="C37" s="152"/>
      <c r="D37" s="1301"/>
      <c r="E37" s="1301"/>
      <c r="F37" s="1977"/>
      <c r="G37" s="134"/>
      <c r="H37" s="134"/>
      <c r="I37" s="134"/>
    </row>
    <row r="38" spans="1:15" ht="15.75" thickBot="1">
      <c r="A38" s="3242"/>
      <c r="B38" s="1978" t="s">
        <v>2003</v>
      </c>
      <c r="C38" s="683"/>
      <c r="D38" s="1979" t="s">
        <v>2004</v>
      </c>
      <c r="E38" s="1301"/>
      <c r="F38" s="1977"/>
      <c r="G38" s="134"/>
      <c r="H38" s="134"/>
      <c r="I38" s="134"/>
    </row>
    <row r="39" spans="1:15" ht="15">
      <c r="A39" s="1951" t="s">
        <v>2005</v>
      </c>
      <c r="B39" s="1980" t="s">
        <v>2006</v>
      </c>
      <c r="C39" s="1981" t="s">
        <v>2007</v>
      </c>
      <c r="D39" s="1981" t="s">
        <v>2008</v>
      </c>
      <c r="E39" s="1982" t="s">
        <v>2009</v>
      </c>
      <c r="F39" s="1977"/>
      <c r="G39" s="134"/>
      <c r="H39" s="134"/>
      <c r="I39" s="134"/>
    </row>
    <row r="40" spans="1:15" ht="14.25">
      <c r="A40" s="1983" t="s">
        <v>2010</v>
      </c>
      <c r="B40" s="154"/>
      <c r="C40" s="155"/>
      <c r="D40" s="155"/>
      <c r="E40" s="156"/>
      <c r="F40" s="1977"/>
      <c r="G40" s="134"/>
      <c r="H40" s="134"/>
      <c r="I40" s="134"/>
    </row>
    <row r="41" spans="1:15" ht="14.25">
      <c r="A41" s="1983" t="s">
        <v>2011</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2012</v>
      </c>
      <c r="B44" s="1988"/>
      <c r="C44" s="1988"/>
      <c r="D44" s="1989"/>
      <c r="E44" s="1989"/>
      <c r="F44" s="1990"/>
      <c r="G44" s="1990"/>
      <c r="H44" s="1990"/>
      <c r="I44" s="1990"/>
      <c r="J44" s="1991" t="s">
        <v>2013</v>
      </c>
      <c r="K44" s="1992"/>
      <c r="L44" s="1992"/>
      <c r="M44" s="1992"/>
      <c r="N44" s="1992"/>
      <c r="O44" s="1992"/>
    </row>
    <row r="45" spans="1:15" ht="14.25" customHeight="1" thickBot="1">
      <c r="A45" s="3217" t="s">
        <v>2014</v>
      </c>
      <c r="B45" s="3218"/>
      <c r="C45" s="3219"/>
      <c r="D45" s="160">
        <f ca="1">ROUND(H101*F45,0)</f>
        <v>266858</v>
      </c>
      <c r="E45" s="161" t="s">
        <v>2015</v>
      </c>
      <c r="F45" s="162">
        <v>1</v>
      </c>
      <c r="G45" s="163" t="s">
        <v>2016</v>
      </c>
      <c r="H45" s="134"/>
      <c r="I45" s="134"/>
      <c r="J45" s="3298" t="s">
        <v>2017</v>
      </c>
      <c r="K45" s="3298"/>
      <c r="L45" s="3298"/>
      <c r="M45" s="3298"/>
      <c r="N45" s="3298"/>
      <c r="O45" s="3298"/>
    </row>
    <row r="46" spans="1:15" ht="14.25" customHeight="1">
      <c r="A46" s="3214" t="s">
        <v>2018</v>
      </c>
      <c r="B46" s="3215"/>
      <c r="C46" s="3215"/>
      <c r="D46" s="3215"/>
      <c r="E46" s="3215"/>
      <c r="F46" s="3215"/>
      <c r="G46" s="3216"/>
      <c r="H46" s="1993"/>
      <c r="I46" s="164"/>
      <c r="J46" s="2750">
        <v>1</v>
      </c>
      <c r="K46" s="3279" t="s">
        <v>2019</v>
      </c>
      <c r="L46" s="3279"/>
      <c r="M46" s="3299"/>
      <c r="N46" s="3299"/>
      <c r="O46" s="3299"/>
    </row>
    <row r="47" spans="1:15" ht="12" customHeight="1">
      <c r="A47" s="165" t="s">
        <v>2020</v>
      </c>
      <c r="B47" s="166"/>
      <c r="C47" s="167"/>
      <c r="D47" s="1247" t="s">
        <v>2021</v>
      </c>
      <c r="E47" s="308" t="s">
        <v>2022</v>
      </c>
      <c r="F47" s="168" t="s">
        <v>2023</v>
      </c>
      <c r="G47" s="2773" t="s">
        <v>2024</v>
      </c>
      <c r="H47" s="2774"/>
      <c r="I47" s="164"/>
      <c r="J47" s="2750">
        <v>2</v>
      </c>
      <c r="K47" s="3279" t="s">
        <v>2025</v>
      </c>
      <c r="L47" s="3279"/>
      <c r="M47" s="3300">
        <f>'数据-取费表'!B2</f>
        <v>44176</v>
      </c>
      <c r="N47" s="3300"/>
      <c r="O47" s="3300"/>
    </row>
    <row r="48" spans="1:15" ht="25.5">
      <c r="A48" s="3245" t="s">
        <v>2026</v>
      </c>
      <c r="B48" s="3228"/>
      <c r="C48" s="3228"/>
      <c r="D48" s="2548" t="b">
        <f>IF(H48="情况1",0,IF(H48="情况2",D52,IF(H48="情况3",D53,IF(H48="情况4",D54))))</f>
        <v>0</v>
      </c>
      <c r="E48" s="2558" t="str">
        <f>IF(H48="情况4","(销售额-原购置价)×税（费）率","销售额×税（费）率")</f>
        <v>销售额×税（费）率</v>
      </c>
      <c r="F48" s="2775">
        <f>IF(H48="情况1","免征",'数据-取费表'!B41)</f>
        <v>5.5000000000000007E-2</v>
      </c>
      <c r="G48" s="2776" t="s">
        <v>2027</v>
      </c>
      <c r="H48" s="2777"/>
      <c r="I48" s="1993"/>
      <c r="J48" s="2750">
        <v>3</v>
      </c>
      <c r="K48" s="3279" t="s">
        <v>2028</v>
      </c>
      <c r="L48" s="3279"/>
      <c r="M48" s="3301">
        <f ca="1">H101</f>
        <v>266858</v>
      </c>
      <c r="N48" s="3301"/>
      <c r="O48" s="3301"/>
    </row>
    <row r="49" spans="1:35" ht="25.5" customHeight="1">
      <c r="A49" s="2557" t="s">
        <v>2029</v>
      </c>
      <c r="B49" s="3212" t="s">
        <v>2030</v>
      </c>
      <c r="C49" s="3212"/>
      <c r="D49" s="1776">
        <v>0</v>
      </c>
      <c r="E49" s="330" t="s">
        <v>2031</v>
      </c>
      <c r="F49" s="2651" t="s">
        <v>34</v>
      </c>
      <c r="G49" s="3285"/>
      <c r="H49" s="2529" t="s">
        <v>2875</v>
      </c>
      <c r="I49" s="2530"/>
      <c r="J49" s="2750">
        <v>4</v>
      </c>
      <c r="K49" s="3279" t="str">
        <f>IF(项目基本情况!E8="房地产抵押价值","房地产抵押价值","抵押担保权已注销时的房地产抵押价值")</f>
        <v>房地产抵押价值</v>
      </c>
      <c r="L49" s="3279"/>
      <c r="M49" s="3301">
        <f ca="1">IF(项目基本情况!E8="房地产抵押价值",H107,H109)</f>
        <v>266858</v>
      </c>
      <c r="N49" s="3301"/>
      <c r="O49" s="3301"/>
    </row>
    <row r="50" spans="1:35" ht="25.5" customHeight="1">
      <c r="A50" s="2778"/>
      <c r="B50" s="3212" t="s">
        <v>2032</v>
      </c>
      <c r="C50" s="3212"/>
      <c r="D50" s="2779"/>
      <c r="E50" s="338"/>
      <c r="F50" s="2651"/>
      <c r="G50" s="3286"/>
      <c r="H50" s="2531" t="s">
        <v>2876</v>
      </c>
      <c r="I50" s="2530"/>
      <c r="J50" s="3298" t="s">
        <v>2033</v>
      </c>
      <c r="K50" s="3298"/>
      <c r="L50" s="3298"/>
      <c r="M50" s="3298"/>
      <c r="N50" s="3298"/>
      <c r="O50" s="3298"/>
    </row>
    <row r="51" spans="1:35" ht="20.45" customHeight="1">
      <c r="A51" s="2780"/>
      <c r="B51" s="3212" t="s">
        <v>2034</v>
      </c>
      <c r="C51" s="3212"/>
      <c r="D51" s="1247"/>
      <c r="E51" s="333"/>
      <c r="F51" s="2651"/>
      <c r="G51" s="3287"/>
      <c r="H51" s="2531" t="s">
        <v>2877</v>
      </c>
      <c r="I51" s="2530"/>
      <c r="J51" s="2751" t="s">
        <v>2035</v>
      </c>
      <c r="K51" s="3279" t="s">
        <v>2036</v>
      </c>
      <c r="L51" s="3279"/>
      <c r="M51" s="2751" t="s">
        <v>2037</v>
      </c>
      <c r="N51" s="2751" t="s">
        <v>2038</v>
      </c>
      <c r="O51" s="2751" t="s">
        <v>2039</v>
      </c>
    </row>
    <row r="52" spans="1:35" ht="24" customHeight="1">
      <c r="A52" s="2559" t="s">
        <v>2040</v>
      </c>
      <c r="B52" s="3212" t="s">
        <v>2041</v>
      </c>
      <c r="C52" s="3212"/>
      <c r="D52" s="1247">
        <f ca="1">ROUND(D45*'数据-取费表'!B41/(1+'数据-取费表'!C42),0)</f>
        <v>13978</v>
      </c>
      <c r="E52" s="2558" t="s">
        <v>2042</v>
      </c>
      <c r="F52" s="2781">
        <f>'数据-取费表'!B41</f>
        <v>5.5000000000000007E-2</v>
      </c>
      <c r="G52" s="2782"/>
      <c r="H52" s="2771"/>
      <c r="I52" s="1994"/>
      <c r="J52" s="2750">
        <v>1</v>
      </c>
      <c r="K52" s="3280" t="s">
        <v>2043</v>
      </c>
      <c r="L52" s="3280"/>
      <c r="M52" s="2752" t="b">
        <f>D48</f>
        <v>0</v>
      </c>
      <c r="N52" s="2750" t="str">
        <f>E48</f>
        <v>销售额×税（费）率</v>
      </c>
      <c r="O52" s="2753">
        <f>F48</f>
        <v>5.5000000000000007E-2</v>
      </c>
    </row>
    <row r="53" spans="1:35" ht="12" customHeight="1">
      <c r="A53" s="2559" t="s">
        <v>2044</v>
      </c>
      <c r="B53" s="3238" t="s">
        <v>3036</v>
      </c>
      <c r="C53" s="3239"/>
      <c r="D53" s="1247">
        <f ca="1">ROUND(D45*'数据-取费表'!B41/(1+'数据-取费表'!C42),0)</f>
        <v>13978</v>
      </c>
      <c r="E53" s="2558" t="s">
        <v>2042</v>
      </c>
      <c r="F53" s="2781">
        <f>'数据-取费表'!B41</f>
        <v>5.5000000000000007E-2</v>
      </c>
      <c r="G53" s="2782"/>
      <c r="H53" s="2771"/>
      <c r="I53" s="1994"/>
      <c r="J53" s="2750">
        <v>2</v>
      </c>
      <c r="K53" s="3280" t="s">
        <v>2045</v>
      </c>
      <c r="L53" s="3280"/>
      <c r="M53" s="2752">
        <f t="shared" ref="M53:O54" ca="1" si="0">D55</f>
        <v>133</v>
      </c>
      <c r="N53" s="2750" t="str">
        <f t="shared" si="0"/>
        <v>销售额×税（费）率</v>
      </c>
      <c r="O53" s="2753" t="str">
        <f t="shared" si="0"/>
        <v>免征</v>
      </c>
    </row>
    <row r="54" spans="1:35" ht="12" customHeight="1">
      <c r="A54" s="2559" t="s">
        <v>2046</v>
      </c>
      <c r="B54" s="3238" t="s">
        <v>3037</v>
      </c>
      <c r="C54" s="3239"/>
      <c r="D54" s="1247">
        <f ca="1">C68</f>
        <v>13978</v>
      </c>
      <c r="E54" s="333" t="s">
        <v>2047</v>
      </c>
      <c r="F54" s="2781">
        <f>'数据-取费表'!B41</f>
        <v>5.5000000000000007E-2</v>
      </c>
      <c r="G54" s="2782"/>
      <c r="H54" s="2783"/>
      <c r="I54" s="1994"/>
      <c r="J54" s="2750">
        <v>3</v>
      </c>
      <c r="K54" s="3280" t="s">
        <v>2048</v>
      </c>
      <c r="L54" s="3280"/>
      <c r="M54" s="2752">
        <f t="shared" ca="1" si="0"/>
        <v>151283</v>
      </c>
      <c r="N54" s="2750" t="str">
        <f t="shared" si="0"/>
        <v>增值额×税（费）率</v>
      </c>
      <c r="O54" s="2754" t="str">
        <f t="shared" si="0"/>
        <v>免征</v>
      </c>
    </row>
    <row r="55" spans="1:35" ht="24" customHeight="1">
      <c r="A55" s="3227" t="s">
        <v>2049</v>
      </c>
      <c r="B55" s="3228"/>
      <c r="C55" s="3228"/>
      <c r="D55" s="2548">
        <f ca="1">IF(H55="个人住宅",0,ROUND(D45*I55,0))</f>
        <v>133</v>
      </c>
      <c r="E55" s="2558" t="s">
        <v>2050</v>
      </c>
      <c r="F55" s="2781" t="str">
        <f>IF(H55="正常",I55,"免征")</f>
        <v>免征</v>
      </c>
      <c r="G55" s="2782"/>
      <c r="H55" s="2777"/>
      <c r="I55" s="170">
        <f>'数据-取费表'!B49</f>
        <v>5.0000000000000001E-4</v>
      </c>
      <c r="J55" s="2750">
        <f>IF(H59="非个人房产","",4)</f>
        <v>4</v>
      </c>
      <c r="K55" s="3280" t="str">
        <f>IF(H59="非个人房产","——","个人所得税")</f>
        <v>个人所得税</v>
      </c>
      <c r="L55" s="3280"/>
      <c r="M55" s="2755">
        <f ca="1">D59</f>
        <v>2542</v>
      </c>
      <c r="N55" s="2229" t="str">
        <f>E59</f>
        <v>差额计税</v>
      </c>
      <c r="O55" s="2756">
        <f>F59</f>
        <v>0.01</v>
      </c>
    </row>
    <row r="56" spans="1:35" ht="24.75">
      <c r="A56" s="3227" t="s">
        <v>2051</v>
      </c>
      <c r="B56" s="3228"/>
      <c r="C56" s="3228"/>
      <c r="D56" s="2548">
        <f ca="1">IF(H56="个人住宅",D57,D58)</f>
        <v>151283</v>
      </c>
      <c r="E56" s="2558" t="s">
        <v>2052</v>
      </c>
      <c r="F56" s="2781" t="str">
        <f>IF(H56="正常",F58,"免征")</f>
        <v>免征</v>
      </c>
      <c r="G56" s="2784" t="s">
        <v>2053</v>
      </c>
      <c r="H56" s="2785"/>
      <c r="I56" s="1995"/>
      <c r="J56" s="2750" t="str">
        <f>IF(项目基本情况!K6="上海银行",IF(J55="",4,J55+1),"")</f>
        <v/>
      </c>
      <c r="K56" s="3303" t="str">
        <f>IF(项目基本情况!K6="上海银行","其他处置费用","")</f>
        <v/>
      </c>
      <c r="L56" s="3304"/>
      <c r="M56" s="2752" t="str">
        <f>IF(项目基本情况!K6="上海银行",M69,"")</f>
        <v/>
      </c>
      <c r="N56" s="3303" t="str">
        <f>IF(项目基本情况!K6="上海银行","包含处置中涉及的律师、诉讼、拍卖、评估等费用","")</f>
        <v/>
      </c>
      <c r="O56" s="3306"/>
    </row>
    <row r="57" spans="1:35" ht="12.75">
      <c r="A57" s="2559" t="s">
        <v>2029</v>
      </c>
      <c r="B57" s="3238" t="s">
        <v>2054</v>
      </c>
      <c r="C57" s="3239"/>
      <c r="D57" s="1776">
        <v>0</v>
      </c>
      <c r="E57" s="330" t="s">
        <v>2031</v>
      </c>
      <c r="F57" s="308"/>
      <c r="G57" s="2782"/>
      <c r="H57" s="2786"/>
      <c r="I57" s="1995"/>
      <c r="J57" s="3280">
        <f>IF(AND(J55="",J56=""),4,IF(项目基本情况!K6="上海银行",结果表!J56+1,结果表!J55+1))</f>
        <v>5</v>
      </c>
      <c r="K57" s="3280" t="s">
        <v>2055</v>
      </c>
      <c r="L57" s="2757" t="s">
        <v>2056</v>
      </c>
      <c r="M57" s="2758"/>
      <c r="N57" s="2759">
        <f ca="1">SUMIF(M52:M56,"&lt;9e307")</f>
        <v>153958</v>
      </c>
      <c r="O57" s="2760"/>
      <c r="P57" s="2920">
        <f ca="1">N57/M49</f>
        <v>0.57692855376267527</v>
      </c>
    </row>
    <row r="58" spans="1:35" ht="24.75">
      <c r="A58" s="2559" t="s">
        <v>2040</v>
      </c>
      <c r="B58" s="3238" t="s">
        <v>2057</v>
      </c>
      <c r="C58" s="3212"/>
      <c r="D58" s="2548">
        <f ca="1">IF(H58="转让取得",C81,C97)</f>
        <v>151283</v>
      </c>
      <c r="E58" s="2558" t="s">
        <v>2052</v>
      </c>
      <c r="F58" s="308" t="s">
        <v>34</v>
      </c>
      <c r="G58" s="2782"/>
      <c r="H58" s="2785"/>
      <c r="I58" s="1995"/>
      <c r="J58" s="3280"/>
      <c r="K58" s="3280"/>
      <c r="L58" s="2757" t="s">
        <v>2058</v>
      </c>
      <c r="M58" s="2761"/>
      <c r="N58" s="2762" t="str">
        <f ca="1">NUMBERSTRING(INT(N57*10000),2)&amp;"元整"</f>
        <v>壹拾伍亿叁仟玖佰伍拾捌万元整</v>
      </c>
      <c r="O58" s="2763"/>
    </row>
    <row r="59" spans="1:35" ht="24.75" thickBot="1">
      <c r="A59" s="3283" t="s">
        <v>2059</v>
      </c>
      <c r="B59" s="3284"/>
      <c r="C59" s="3284"/>
      <c r="D59" s="2787">
        <f ca="1">IF(H59="非个人房产","——",IF(H59="个人住宅（满五唯一有凭证）",0,IF(H59="个人其他（无凭证）",ROUND(D45*F59,0),ROUND(C67*F59,0))))</f>
        <v>2542</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2053</v>
      </c>
      <c r="H59" s="2533"/>
      <c r="I59" s="2532" t="s">
        <v>2878</v>
      </c>
      <c r="J59" s="3281">
        <f>J57+1</f>
        <v>6</v>
      </c>
      <c r="K59" s="3280" t="s">
        <v>2060</v>
      </c>
      <c r="L59" s="2750" t="s">
        <v>2056</v>
      </c>
      <c r="M59" s="2764"/>
      <c r="N59" s="2765">
        <f ca="1">M49-N57</f>
        <v>112900</v>
      </c>
      <c r="O59" s="2766"/>
    </row>
    <row r="60" spans="1:35" ht="12" customHeight="1">
      <c r="A60" s="1996"/>
      <c r="B60" s="1934"/>
      <c r="C60" s="1934"/>
      <c r="D60" s="1934"/>
      <c r="E60" s="1764"/>
      <c r="F60" s="1995"/>
      <c r="G60" s="1995"/>
      <c r="H60" s="1997"/>
      <c r="I60" s="134"/>
      <c r="J60" s="3282"/>
      <c r="K60" s="3280"/>
      <c r="L60" s="2757" t="s">
        <v>2058</v>
      </c>
      <c r="M60" s="2761"/>
      <c r="N60" s="2762" t="str">
        <f ca="1">NUMBERSTRING(INT(N59*10000),2)&amp;"元整"</f>
        <v>壹拾壹亿贰仟玖佰万元整</v>
      </c>
      <c r="O60" s="2763"/>
    </row>
    <row r="61" spans="1:35" ht="13.5" thickBot="1">
      <c r="A61" s="3225" t="s">
        <v>2061</v>
      </c>
      <c r="B61" s="3225"/>
      <c r="C61" s="3225"/>
      <c r="D61" s="3225"/>
      <c r="E61" s="3225"/>
      <c r="F61" s="1995"/>
      <c r="G61" s="1995"/>
      <c r="H61" s="1997"/>
      <c r="I61" s="134"/>
      <c r="J61" s="2750">
        <f>J59+1</f>
        <v>7</v>
      </c>
      <c r="K61" s="3280" t="s">
        <v>2062</v>
      </c>
      <c r="L61" s="3280"/>
      <c r="M61" s="2767"/>
      <c r="N61" s="2768">
        <f ca="1">ROUND(N59*10000/'数据-汇总表'!E3,0)</f>
        <v>7340</v>
      </c>
      <c r="O61" s="2769"/>
    </row>
    <row r="62" spans="1:35" ht="12.75">
      <c r="A62" s="3243" t="s">
        <v>2063</v>
      </c>
      <c r="B62" s="3244"/>
      <c r="C62" s="2210"/>
      <c r="D62" s="2210" t="s">
        <v>2064</v>
      </c>
      <c r="E62" s="171" t="s">
        <v>2065</v>
      </c>
      <c r="F62" s="1995"/>
      <c r="G62" s="1995"/>
      <c r="H62" s="1997"/>
      <c r="I62" s="134"/>
    </row>
    <row r="63" spans="1:35" ht="12.75">
      <c r="A63" s="178" t="s">
        <v>775</v>
      </c>
      <c r="B63" s="172" t="s">
        <v>2066</v>
      </c>
      <c r="C63" s="2791">
        <f ca="1">ROUND((C64+C65)/(1+'数据-取费表'!C42),0)</f>
        <v>254150</v>
      </c>
      <c r="D63" s="172"/>
      <c r="E63" s="173"/>
      <c r="F63" s="1995"/>
      <c r="G63" s="1995"/>
      <c r="H63" s="1997"/>
      <c r="I63" s="134"/>
      <c r="J63" s="3305" t="s">
        <v>2067</v>
      </c>
      <c r="K63" s="1502" t="s">
        <v>2068</v>
      </c>
      <c r="L63" s="1502">
        <f ca="1">IF(M49&gt;10000,M49*0.5%,IF(AND(M49&gt;1000,M49&lt;=10000),M49*1%,IF(AND(M49&gt;100,M49&lt;=1000),M49*3%,IF(AND(M49&gt;10,M49&lt;=100),M49*5%,M49*8%))))</f>
        <v>1334.29</v>
      </c>
      <c r="M63" s="308">
        <f ca="1">ROUND(L63,1)</f>
        <v>1334.3</v>
      </c>
      <c r="N63" s="2770"/>
      <c r="Z63" s="1939"/>
      <c r="AI63" s="1940"/>
    </row>
    <row r="64" spans="1:35" ht="14.25" customHeight="1">
      <c r="A64" s="174" t="s">
        <v>770</v>
      </c>
      <c r="B64" s="175" t="s">
        <v>2069</v>
      </c>
      <c r="C64" s="2792">
        <f ca="1">D45</f>
        <v>266858</v>
      </c>
      <c r="D64" s="175" t="s">
        <v>32</v>
      </c>
      <c r="E64" s="177"/>
      <c r="F64" s="1995"/>
      <c r="G64" s="1995"/>
      <c r="H64" s="1997"/>
      <c r="I64" s="134"/>
      <c r="J64" s="3305"/>
      <c r="K64" s="1502" t="s">
        <v>2070</v>
      </c>
      <c r="L64" s="1502">
        <f ca="1">IF(M49&gt;2000,M49*0.5%,IF(AND(M49&gt;1000,M49&lt;=2000),M49*0.6%,IF(AND(M49&gt;500,M49&lt;=1000),M49*0.7%,IF(AND(M49&gt;200,M49&lt;=500),M49*0.8%,IF(AND(M49&gt;100,M49&lt;=200),M49*0.9%,IF(AND(M49&gt;50,M49&lt;=100),M49*1%,IF(AND(M49&gt;20,M49&lt;=50),M49*1.5%,IF(AND(M49&gt;10,M49&lt;=20),M49*2%,IF(AND(M49&gt;1,M49&lt;=10),M49*2.5%)))))))))</f>
        <v>1334.29</v>
      </c>
      <c r="M64" s="308">
        <f ca="1">ROUND(L64,1)</f>
        <v>1334.3</v>
      </c>
      <c r="N64" s="2771" t="s">
        <v>2071</v>
      </c>
      <c r="Z64" s="1939"/>
      <c r="AI64" s="1940"/>
    </row>
    <row r="65" spans="1:35" ht="14.25" customHeight="1">
      <c r="A65" s="174" t="s">
        <v>771</v>
      </c>
      <c r="B65" s="175" t="s">
        <v>2072</v>
      </c>
      <c r="C65" s="2793"/>
      <c r="D65" s="175"/>
      <c r="E65" s="177"/>
      <c r="F65" s="1995"/>
      <c r="G65" s="1995"/>
      <c r="H65" s="1997"/>
      <c r="I65" s="134"/>
      <c r="J65" s="3305"/>
      <c r="K65" s="1502" t="s">
        <v>2073</v>
      </c>
      <c r="L65" s="1502">
        <f ca="1">IF(M49&gt;1000,M49*0.1%,IF(AND(M49&gt;500,M49&lt;=1000),M49*0.5%,IF(AND(M49&gt;50,M49&lt;=500),M49*1%,IF(AND(M49&gt;1,M49&lt;=50),M49*1.5%))))</f>
        <v>266.858</v>
      </c>
      <c r="M65" s="308">
        <f ca="1">ROUND(L65,1)</f>
        <v>266.89999999999998</v>
      </c>
      <c r="N65" s="2771" t="s">
        <v>2071</v>
      </c>
      <c r="Z65" s="1939"/>
      <c r="AI65" s="1940"/>
    </row>
    <row r="66" spans="1:35" ht="14.25" customHeight="1">
      <c r="A66" s="178" t="s">
        <v>772</v>
      </c>
      <c r="B66" s="179" t="s">
        <v>2074</v>
      </c>
      <c r="C66" s="2794"/>
      <c r="D66" s="179" t="s">
        <v>32</v>
      </c>
      <c r="E66" s="1510" t="s">
        <v>1337</v>
      </c>
      <c r="F66" s="1995"/>
      <c r="G66" s="1995"/>
      <c r="H66" s="1997"/>
      <c r="I66" s="134"/>
      <c r="J66" s="3305"/>
      <c r="K66" s="1502" t="s">
        <v>2075</v>
      </c>
      <c r="L66" s="1502">
        <f ca="1">M49*0.5%</f>
        <v>1334.29</v>
      </c>
      <c r="M66" s="308">
        <f ca="1">IF(L66&gt;0.5,0.5,ROUND(L66,0))</f>
        <v>0.5</v>
      </c>
      <c r="N66" s="2771" t="s">
        <v>2076</v>
      </c>
      <c r="Z66" s="1939"/>
      <c r="AI66" s="1940"/>
    </row>
    <row r="67" spans="1:35" ht="14.25" customHeight="1">
      <c r="A67" s="178" t="s">
        <v>773</v>
      </c>
      <c r="B67" s="179" t="s">
        <v>2077</v>
      </c>
      <c r="C67" s="2795">
        <f ca="1">C63-C66</f>
        <v>254150</v>
      </c>
      <c r="D67" s="175" t="s">
        <v>32</v>
      </c>
      <c r="E67" s="177"/>
      <c r="F67" s="1995"/>
      <c r="G67" s="1995"/>
      <c r="H67" s="1997"/>
      <c r="I67" s="134"/>
      <c r="J67" s="3305"/>
      <c r="K67" s="1502" t="s">
        <v>2078</v>
      </c>
      <c r="L67" s="1502">
        <f ca="1">IF(M49&gt;=10000,(8.25+(M49-10000)*0.01%),IF(AND(M49&gt;=8000,M49&lt;10000),(7.85+(M49-8000)*0.02%),IF(AND(M49&gt;=5000,M49&lt;8000),(6.65+(M49-5000)*0.04%),IF(AND(M49&gt;=2000,M49&lt;5000),(4.25+(PM49-2000)*0.08%),IF(AND(M49&gt;=1000,M49&lt;2000),(2.75+(M49-1000)*0.15%),IF(AND(M49&gt;=100,M49&lt;1000),(0.5+(M49-100)*0.25%),IF(AND(M49&gt;0,M49&lt;100),M49*0.5%)))))))</f>
        <v>33.9358</v>
      </c>
      <c r="M67" s="308">
        <f ca="1">ROUND(L67*0.9,1)</f>
        <v>30.5</v>
      </c>
      <c r="N67" s="2770"/>
      <c r="Z67" s="1939"/>
      <c r="AI67" s="1940"/>
    </row>
    <row r="68" spans="1:35" ht="14.25" customHeight="1" thickBot="1">
      <c r="A68" s="181" t="s">
        <v>774</v>
      </c>
      <c r="B68" s="182" t="s">
        <v>2079</v>
      </c>
      <c r="C68" s="2796">
        <f ca="1">IF(C67&lt;=0,0,ROUND(C67*D68,0))</f>
        <v>13978</v>
      </c>
      <c r="D68" s="2797">
        <f>'数据-取费表'!B41</f>
        <v>5.5000000000000007E-2</v>
      </c>
      <c r="E68" s="184"/>
      <c r="F68" s="1995"/>
      <c r="G68" s="1995"/>
      <c r="H68" s="1997"/>
      <c r="I68" s="134"/>
      <c r="J68" s="3305"/>
      <c r="K68" s="1502" t="s">
        <v>2080</v>
      </c>
      <c r="L68" s="1502">
        <f ca="1">IF(M49&gt;10000,M49*0.5%,IF(AND(M49&gt;5000,M49&lt;=10000),M49*1%,IF(AND(M49&gt;1000,M49&lt;=5000),M49*2%,IF(AND(M49&gt;200,M49&lt;=1000),M49*3%,M49*5%))))</f>
        <v>1334.29</v>
      </c>
      <c r="M68" s="308">
        <f ca="1">ROUND(L68,1)</f>
        <v>1334.3</v>
      </c>
      <c r="N68" s="2770"/>
      <c r="Z68" s="1939"/>
      <c r="AI68" s="1940"/>
    </row>
    <row r="69" spans="1:35" s="1959" customFormat="1" ht="16.5" customHeight="1">
      <c r="A69" s="1998"/>
      <c r="B69" s="1999"/>
      <c r="C69" s="2000"/>
      <c r="D69" s="2001"/>
      <c r="E69" s="2002"/>
      <c r="F69" s="1764"/>
      <c r="G69" s="1764"/>
      <c r="H69" s="1763"/>
      <c r="I69" s="1934"/>
      <c r="J69" s="3305"/>
      <c r="K69" s="1502" t="s">
        <v>2081</v>
      </c>
      <c r="L69" s="1502"/>
      <c r="M69" s="308">
        <f ca="1">ROUND(SUM(M63:M68),0)</f>
        <v>4301</v>
      </c>
      <c r="N69" s="2772">
        <f ca="1">M69/M49</f>
        <v>1.6117185919103043E-2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64" t="s">
        <v>2082</v>
      </c>
      <c r="B70" s="3265"/>
      <c r="C70" s="3265"/>
      <c r="D70" s="3265"/>
      <c r="E70" s="3265"/>
      <c r="F70" s="3265"/>
      <c r="G70" s="3265"/>
      <c r="H70" s="326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3" t="s">
        <v>2063</v>
      </c>
      <c r="B71" s="3244"/>
      <c r="C71" s="2210"/>
      <c r="D71" s="2210" t="s">
        <v>2064</v>
      </c>
      <c r="E71" s="185" t="s">
        <v>2065</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2083</v>
      </c>
      <c r="C72" s="2795">
        <f ca="1">ROUND(D45/(1+'数据-取费表'!C42),0)</f>
        <v>254150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2084</v>
      </c>
      <c r="C73" s="2795">
        <f ca="1">C74+C78</f>
        <v>1271</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2085</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2086</v>
      </c>
      <c r="C75" s="2798"/>
      <c r="D75" s="175" t="s">
        <v>32</v>
      </c>
      <c r="E75" s="190" t="s">
        <v>2087</v>
      </c>
      <c r="F75" s="2799"/>
      <c r="G75" s="190" t="s">
        <v>2088</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2089</v>
      </c>
      <c r="C76" s="175">
        <f>IF(F75="购房发票",ROUND(C75*H75*D76,0),0)</f>
        <v>0</v>
      </c>
      <c r="D76" s="2801">
        <v>0.05</v>
      </c>
      <c r="E76" s="3238" t="s">
        <v>2090</v>
      </c>
      <c r="F76" s="3212"/>
      <c r="G76" s="3212"/>
      <c r="H76" s="326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2091</v>
      </c>
      <c r="C77" s="175">
        <f>ROUND(IF(G77="个人住宅",0,IF(G77="2016年5月1日前购买",C75*D77,C75*D77/(1+'数据-取费表'!C42))),0)</f>
        <v>0</v>
      </c>
      <c r="D77" s="2802">
        <f>'数据-取费表'!B48+'数据-取费表'!B49</f>
        <v>3.0499999999999999E-2</v>
      </c>
      <c r="E77" s="2548" t="s">
        <v>2092</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2093</v>
      </c>
      <c r="C78" s="2803">
        <f ca="1">ROUND(D45*D78/(1+'数据-取费表'!C42),0)</f>
        <v>1271</v>
      </c>
      <c r="D78" s="2804">
        <f>'数据-取费表'!B43</f>
        <v>5.000000000000001E-3</v>
      </c>
      <c r="E78" s="3222" t="s">
        <v>2094</v>
      </c>
      <c r="F78" s="3223"/>
      <c r="G78" s="3223"/>
      <c r="H78" s="323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2095</v>
      </c>
      <c r="C79" s="2795">
        <f ca="1">C72-C73</f>
        <v>252879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2096</v>
      </c>
      <c r="C80" s="2805">
        <f ca="1">IF(C79&lt;=0,0,C79/C73)</f>
        <v>198.96066089693156</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2097</v>
      </c>
      <c r="C81" s="2806">
        <f ca="1">ROUND(IF(C79&lt;=0,0,IF(C80&gt;=200%,C79*60%-C73*35%,IF(C80&gt;=100%,C79*50%-C73*15%,IF(C80&gt;=50%,C79*40%-C73*5%,IF(C80&lt;50%,C79*30%,0))))),0)</f>
        <v>151283</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64" t="s">
        <v>2098</v>
      </c>
      <c r="B83" s="3265"/>
      <c r="C83" s="3265"/>
      <c r="D83" s="3265"/>
      <c r="E83" s="3265"/>
      <c r="F83" s="3265"/>
      <c r="G83" s="3265"/>
      <c r="H83" s="326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43" t="s">
        <v>2063</v>
      </c>
      <c r="B84" s="3244"/>
      <c r="C84" s="2210"/>
      <c r="D84" s="2210" t="s">
        <v>2064</v>
      </c>
      <c r="E84" s="185" t="s">
        <v>2065</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2083</v>
      </c>
      <c r="C85" s="2795">
        <f ca="1">ROUND(D45/(1+'数据-取费表'!C42),0)</f>
        <v>254150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2084</v>
      </c>
      <c r="C86" s="2795">
        <f ca="1">IF(H88="仅含出让金",C87+C90+C91+C92+C93+C94,C87+C91+C92+C93+C94)</f>
        <v>1271</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2099</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2100</v>
      </c>
      <c r="C88" s="2809"/>
      <c r="D88" s="2804"/>
      <c r="E88" s="199" t="s">
        <v>2101</v>
      </c>
      <c r="F88" s="2551"/>
      <c r="G88" s="200" t="s">
        <v>2102</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2091</v>
      </c>
      <c r="C89" s="2803">
        <f>ROUND(C88*D89,0)</f>
        <v>0</v>
      </c>
      <c r="D89" s="2804">
        <f>'数据-取费表'!B48+'数据-取费表'!B49</f>
        <v>3.0499999999999999E-2</v>
      </c>
      <c r="E89" s="199" t="s">
        <v>2103</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2104</v>
      </c>
      <c r="C90" s="2809"/>
      <c r="D90" s="2804"/>
      <c r="E90" s="199" t="str">
        <f>IF(H88="-","土地取得成本中已包含该笔费用"," ")</f>
        <v xml:space="preserve"> </v>
      </c>
      <c r="F90" s="2551"/>
      <c r="G90" s="3307" t="s">
        <v>2870</v>
      </c>
      <c r="H90" s="3308"/>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2105</v>
      </c>
      <c r="B91" s="175" t="s">
        <v>2106</v>
      </c>
      <c r="C91" s="2803">
        <f>IF(H91="——",成本法!C33,I91)</f>
        <v>0</v>
      </c>
      <c r="D91" s="2804"/>
      <c r="E91" s="3222" t="s">
        <v>2107</v>
      </c>
      <c r="F91" s="3223"/>
      <c r="G91" s="322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2108</v>
      </c>
      <c r="B92" s="175" t="s">
        <v>2109</v>
      </c>
      <c r="C92" s="2803">
        <f>ROUND((C87+C90+C91)*D92,0)</f>
        <v>0</v>
      </c>
      <c r="D92" s="2810"/>
      <c r="E92" s="3222" t="s">
        <v>2110</v>
      </c>
      <c r="F92" s="3223"/>
      <c r="G92" s="3223"/>
      <c r="H92" s="3232"/>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2111</v>
      </c>
      <c r="B93" s="175" t="s">
        <v>2093</v>
      </c>
      <c r="C93" s="2803">
        <f ca="1">ROUND(D45*D93/(1+'数据-取费表'!C42),0)</f>
        <v>1271</v>
      </c>
      <c r="D93" s="2804">
        <f>'数据-取费表'!B43</f>
        <v>5.000000000000001E-3</v>
      </c>
      <c r="E93" s="3222" t="s">
        <v>2094</v>
      </c>
      <c r="F93" s="3223"/>
      <c r="G93" s="3223"/>
      <c r="H93" s="323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2112</v>
      </c>
      <c r="B94" s="175" t="s">
        <v>2113</v>
      </c>
      <c r="C94" s="2809">
        <f>ROUND((C87+C90+C91)*D94,0)</f>
        <v>0</v>
      </c>
      <c r="D94" s="2804">
        <v>0.2</v>
      </c>
      <c r="E94" s="3233" t="s">
        <v>2114</v>
      </c>
      <c r="F94" s="3234"/>
      <c r="G94" s="3234"/>
      <c r="H94" s="323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2095</v>
      </c>
      <c r="C95" s="2795">
        <f ca="1">ROUND(C85-C86,0)</f>
        <v>252879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2096</v>
      </c>
      <c r="C96" s="2805">
        <f ca="1">IF(C95&lt;=0,0,C95/C86)</f>
        <v>198.96066089693156</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2097</v>
      </c>
      <c r="C97" s="2806">
        <f ca="1">ROUND(IF(C95&lt;=0,0,IF(C96&gt;=200%,C95*60%-C86*35%,IF(C96&gt;=100%,C95*50%-C86*15%,IF(C96&gt;=50%,C95*40%-C86*5%,IF(C96&lt;50%,C95*30%,0))))),0)</f>
        <v>151283</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2115</v>
      </c>
      <c r="B99" s="1934"/>
      <c r="C99" s="1934"/>
      <c r="D99" s="1934"/>
      <c r="E99" s="1764"/>
      <c r="F99" s="1764"/>
      <c r="G99" s="1764"/>
      <c r="H99" s="1763"/>
      <c r="I99" s="134"/>
    </row>
    <row r="100" spans="1:35" ht="18.75" customHeight="1">
      <c r="A100" s="3206" t="s">
        <v>2116</v>
      </c>
      <c r="B100" s="3207"/>
      <c r="C100" s="3207"/>
      <c r="D100" s="3224"/>
      <c r="E100" s="3207" t="s">
        <v>2117</v>
      </c>
      <c r="F100" s="3207"/>
      <c r="G100" s="3207"/>
      <c r="H100" s="3224"/>
      <c r="I100" s="134"/>
    </row>
    <row r="101" spans="1:35" ht="18.75" customHeight="1">
      <c r="A101" s="3288" t="s">
        <v>2118</v>
      </c>
      <c r="B101" s="3289"/>
      <c r="C101" s="2812" t="str">
        <f>C4</f>
        <v>成本法</v>
      </c>
      <c r="D101" s="2813" t="str">
        <f>D4</f>
        <v>假设开发法</v>
      </c>
      <c r="E101" s="3302" t="s">
        <v>2119</v>
      </c>
      <c r="F101" s="3256"/>
      <c r="G101" s="2014" t="s">
        <v>2120</v>
      </c>
      <c r="H101" s="2822">
        <f ca="1">H118</f>
        <v>266858</v>
      </c>
      <c r="I101" s="134"/>
    </row>
    <row r="102" spans="1:35" ht="18.75" customHeight="1">
      <c r="A102" s="3258" t="s">
        <v>2121</v>
      </c>
      <c r="B102" s="2811" t="s">
        <v>2120</v>
      </c>
      <c r="C102" s="2812">
        <f ca="1">C19</f>
        <v>352373</v>
      </c>
      <c r="D102" s="2813">
        <f ca="1">D19</f>
        <v>196891</v>
      </c>
      <c r="E102" s="3302"/>
      <c r="F102" s="3256"/>
      <c r="G102" s="2014" t="s">
        <v>2122</v>
      </c>
      <c r="H102" s="2782">
        <f ca="1">I118</f>
        <v>17349</v>
      </c>
      <c r="I102" s="134"/>
    </row>
    <row r="103" spans="1:35" ht="42.75" customHeight="1">
      <c r="A103" s="3258"/>
      <c r="B103" s="2811" t="s">
        <v>2122</v>
      </c>
      <c r="C103" s="2814">
        <f ca="1">C20</f>
        <v>22908</v>
      </c>
      <c r="D103" s="2815">
        <f ca="1">D20</f>
        <v>12800</v>
      </c>
      <c r="E103" s="3296" t="s">
        <v>2123</v>
      </c>
      <c r="F103" s="3297"/>
      <c r="G103" s="2015" t="s">
        <v>2124</v>
      </c>
      <c r="H103" s="2822">
        <f>IF(D36="正常操作",H104+H105+H106,H105+H106)</f>
        <v>0</v>
      </c>
      <c r="I103" s="134"/>
    </row>
    <row r="104" spans="1:35" ht="18.75" customHeight="1">
      <c r="A104" s="3258" t="s">
        <v>2125</v>
      </c>
      <c r="B104" s="2816" t="s">
        <v>2120</v>
      </c>
      <c r="C104" s="2817">
        <f ca="1">H118</f>
        <v>266858</v>
      </c>
      <c r="D104" s="2818"/>
      <c r="E104" s="1861" t="s">
        <v>2126</v>
      </c>
      <c r="F104" s="1852"/>
      <c r="G104" s="2015" t="s">
        <v>2124</v>
      </c>
      <c r="H104" s="2823">
        <f>IF(D36="同一抵押权人同一抵押物续贷",C36&amp;"（续贷，未扣减，详见特别提示）",C36)</f>
        <v>0</v>
      </c>
      <c r="I104" s="134"/>
    </row>
    <row r="105" spans="1:35" ht="18.75" customHeight="1" thickBot="1">
      <c r="A105" s="3259"/>
      <c r="B105" s="2819" t="s">
        <v>2122</v>
      </c>
      <c r="C105" s="2820">
        <f ca="1">I118</f>
        <v>17349</v>
      </c>
      <c r="D105" s="2821"/>
      <c r="E105" s="1861" t="s">
        <v>2127</v>
      </c>
      <c r="F105" s="1852"/>
      <c r="G105" s="2015" t="s">
        <v>2124</v>
      </c>
      <c r="H105" s="2824">
        <f>C37</f>
        <v>0</v>
      </c>
      <c r="I105" s="134"/>
    </row>
    <row r="106" spans="1:35" ht="18.75" customHeight="1">
      <c r="A106" s="1934" t="s">
        <v>2128</v>
      </c>
      <c r="B106" s="1934"/>
      <c r="C106" s="1934"/>
      <c r="D106" s="1934"/>
      <c r="E106" s="2016" t="s">
        <v>2129</v>
      </c>
      <c r="F106" s="1852"/>
      <c r="G106" s="2015" t="s">
        <v>2124</v>
      </c>
      <c r="H106" s="2824">
        <f>C38</f>
        <v>0</v>
      </c>
      <c r="I106" s="134"/>
    </row>
    <row r="107" spans="1:35" ht="18.75" customHeight="1">
      <c r="A107" s="134"/>
      <c r="B107" s="134"/>
      <c r="C107" s="134"/>
      <c r="D107" s="134"/>
      <c r="E107" s="3255" t="str">
        <f>IF(项目基本情况!E8="已注销","——","3.房地产抵押价值")</f>
        <v>3.房地产抵押价值</v>
      </c>
      <c r="F107" s="3256"/>
      <c r="G107" s="2014" t="s">
        <v>2120</v>
      </c>
      <c r="H107" s="2822">
        <f ca="1">IF(E107="——","——",H101-H103)</f>
        <v>266858</v>
      </c>
      <c r="I107" s="134"/>
    </row>
    <row r="108" spans="1:35" ht="18.75" customHeight="1">
      <c r="A108" s="134"/>
      <c r="B108" s="134"/>
      <c r="C108" s="134"/>
      <c r="D108" s="134"/>
      <c r="E108" s="3255"/>
      <c r="F108" s="3256"/>
      <c r="G108" s="2014" t="s">
        <v>2122</v>
      </c>
      <c r="H108" s="2782">
        <f ca="1">ROUND(H107*10000/'数据-汇总表'!E3,0)</f>
        <v>17349</v>
      </c>
      <c r="I108" s="134"/>
    </row>
    <row r="109" spans="1:35" ht="18.75" customHeight="1">
      <c r="A109" s="134"/>
      <c r="B109" s="134"/>
      <c r="C109" s="134"/>
      <c r="D109" s="134"/>
      <c r="E109" s="3255" t="str">
        <f>IF(项目基本情况!E8="已注销及未注销","4.抵押担保权已注销时的房地产抵押价值",IF(项目基本情况!E8="已注销","3.抵押担保权已注销时的房地产抵押价值","——"))</f>
        <v>——</v>
      </c>
      <c r="F109" s="3256"/>
      <c r="G109" s="2014" t="s">
        <v>2120</v>
      </c>
      <c r="H109" s="2825" t="str">
        <f>IF(E109="——","——",H101-H105-H106)</f>
        <v>——</v>
      </c>
      <c r="I109" s="134"/>
    </row>
    <row r="110" spans="1:35" ht="18.75" customHeight="1">
      <c r="A110" s="134"/>
      <c r="B110" s="134"/>
      <c r="C110" s="134"/>
      <c r="D110" s="134"/>
      <c r="E110" s="3255"/>
      <c r="F110" s="3256"/>
      <c r="G110" s="2014" t="s">
        <v>2122</v>
      </c>
      <c r="H110" s="2782" t="str">
        <f>IF(H109="——","——",ROUND(H109*10000/'数据-汇总表'!E3,0))</f>
        <v>——</v>
      </c>
      <c r="I110" s="134"/>
    </row>
    <row r="111" spans="1:35" ht="18.75" customHeight="1">
      <c r="A111" s="134"/>
      <c r="B111" s="134"/>
      <c r="C111" s="134"/>
      <c r="D111" s="134"/>
      <c r="E111" s="3290" t="str">
        <f>IF(项目基本情况!E9="抵押净值",IF(OR(项目基本情况!E8="已注销",项目基本情况!E8="房地产抵押价值"),"4.抵押净值","5.抵押净值"),"——")</f>
        <v>——</v>
      </c>
      <c r="F111" s="3257"/>
      <c r="G111" s="2014" t="s">
        <v>2120</v>
      </c>
      <c r="H111" s="2822" t="str">
        <f>IF(E111="——","——",N59)</f>
        <v>——</v>
      </c>
      <c r="I111" s="134"/>
    </row>
    <row r="112" spans="1:35" ht="18.75" customHeight="1" thickBot="1">
      <c r="A112" s="134"/>
      <c r="B112" s="134"/>
      <c r="C112" s="134"/>
      <c r="D112" s="134"/>
      <c r="E112" s="3291"/>
      <c r="F112" s="3292"/>
      <c r="G112" s="2017" t="s">
        <v>2122</v>
      </c>
      <c r="H112" s="2826" t="str">
        <f>IF(E111="——","——",N61)</f>
        <v>——</v>
      </c>
      <c r="I112" s="134"/>
    </row>
    <row r="113" spans="1:27" ht="18.75" customHeight="1">
      <c r="A113" s="134"/>
      <c r="B113" s="134"/>
      <c r="C113" s="134"/>
      <c r="D113" s="134"/>
      <c r="E113" s="3260" t="s">
        <v>2128</v>
      </c>
      <c r="F113" s="3260"/>
      <c r="G113" s="3260"/>
      <c r="H113" s="3260"/>
      <c r="I113" s="134"/>
    </row>
    <row r="114" spans="1:27" ht="3.75" customHeight="1">
      <c r="A114" s="1934"/>
      <c r="B114" s="1934"/>
      <c r="C114" s="1934"/>
      <c r="D114" s="1934"/>
      <c r="E114" s="1996"/>
      <c r="F114" s="1996"/>
      <c r="G114" s="1996"/>
      <c r="H114" s="1996"/>
      <c r="I114" s="1934"/>
    </row>
    <row r="115" spans="1:27" ht="18.75" customHeight="1">
      <c r="A115" s="3273" t="s">
        <v>2130</v>
      </c>
      <c r="B115" s="3274"/>
      <c r="C115" s="3274"/>
      <c r="D115" s="3274"/>
      <c r="E115" s="3274"/>
      <c r="F115" s="3274"/>
      <c r="G115" s="3274"/>
      <c r="H115" s="3274"/>
      <c r="I115" s="3275"/>
    </row>
    <row r="116" spans="1:27" ht="27" customHeight="1">
      <c r="A116" s="3226" t="s">
        <v>2131</v>
      </c>
      <c r="B116" s="3261" t="s">
        <v>2132</v>
      </c>
      <c r="C116" s="3261" t="s">
        <v>2133</v>
      </c>
      <c r="D116" s="3277" t="s">
        <v>2134</v>
      </c>
      <c r="E116" s="3278"/>
      <c r="F116" s="3269" t="s">
        <v>2135</v>
      </c>
      <c r="G116" s="3269"/>
      <c r="H116" s="3226" t="s">
        <v>2136</v>
      </c>
      <c r="I116" s="3226"/>
    </row>
    <row r="117" spans="1:27" ht="18.75" customHeight="1">
      <c r="A117" s="3226"/>
      <c r="B117" s="3262"/>
      <c r="C117" s="3262"/>
      <c r="D117" s="2553" t="s">
        <v>2137</v>
      </c>
      <c r="E117" s="2553" t="s">
        <v>2138</v>
      </c>
      <c r="F117" s="2553" t="s">
        <v>2137</v>
      </c>
      <c r="G117" s="2553" t="s">
        <v>2139</v>
      </c>
      <c r="H117" s="2553" t="s">
        <v>2137</v>
      </c>
      <c r="I117" s="2553" t="s">
        <v>2139</v>
      </c>
    </row>
    <row r="118" spans="1:27" ht="24.75" customHeight="1">
      <c r="A118" s="2827" t="str">
        <f>项目基本情况!S2</f>
        <v>北京市房地产</v>
      </c>
      <c r="B118" s="2553">
        <f>M18</f>
        <v>153820.67000000001</v>
      </c>
      <c r="C118" s="2553">
        <f>M19</f>
        <v>49477.2</v>
      </c>
      <c r="D118" s="2553">
        <f ca="1">ROUND(IF(D32="总价",C34,E118*B118/10000),0)</f>
        <v>246043</v>
      </c>
      <c r="E118" s="2553">
        <f ca="1">ROUND(IF(C33="自定义",IF(D32="楼面单价",C34,D118*10000/B118),I118-G118),0)</f>
        <v>15996</v>
      </c>
      <c r="F118" s="2553">
        <f ca="1">ROUND(IF(D32="总价",C35,G118*B118/10000),0)</f>
        <v>20815</v>
      </c>
      <c r="G118" s="2553">
        <f ca="1">ROUND(IF(D32="楼面单价",C35,F118*10000/B118),0)</f>
        <v>1353</v>
      </c>
      <c r="H118" s="2553">
        <f ca="1">ROUND(IF(D32="总价",C32,I118*B118/10000),0)</f>
        <v>266858</v>
      </c>
      <c r="I118" s="2553">
        <f ca="1">ROUND(IF(D32="楼面单价",C32,H118*10000/B118),0)</f>
        <v>17349</v>
      </c>
    </row>
    <row r="119" spans="1:27" ht="18.75" customHeight="1">
      <c r="A119" s="3226" t="s">
        <v>2140</v>
      </c>
      <c r="B119" s="3226"/>
      <c r="C119" s="3226"/>
      <c r="D119" s="3266" t="str">
        <f ca="1">NUMBERSTRING(INT(D118*10000),2)&amp;"元整"</f>
        <v>贰拾肆亿陆仟零肆拾叁万元整</v>
      </c>
      <c r="E119" s="3268"/>
      <c r="F119" s="3266" t="str">
        <f ca="1">NUMBERSTRING(INT(F118*10000),2)&amp;"元整"</f>
        <v>贰亿零捌佰壹拾伍万元整</v>
      </c>
      <c r="G119" s="3268"/>
      <c r="H119" s="3266" t="str">
        <f ca="1">NUMBERSTRING(INT(H118*10000),2)&amp;"元整"</f>
        <v>贰拾陆亿陆仟捌佰伍拾捌万元整</v>
      </c>
      <c r="I119" s="3268"/>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70" t="s">
        <v>2140</v>
      </c>
      <c r="B121" s="3271"/>
      <c r="C121" s="3272"/>
      <c r="D121" s="3266" t="str">
        <f>IF(D120=0,"零元整",NUMBERSTRING(INT(D120*10000),2)&amp;"元整")</f>
        <v>零元整</v>
      </c>
      <c r="E121" s="3267"/>
      <c r="F121" s="3267"/>
      <c r="G121" s="3267"/>
      <c r="H121" s="3267"/>
      <c r="I121" s="3268"/>
      <c r="AA121" s="734"/>
    </row>
    <row r="122" spans="1:27" ht="18.75" customHeight="1">
      <c r="A122" s="3257" t="str">
        <f>IF(项目基本情况!B9="房地产市场价值","",MID(E107,3,LEN(E107)-2))</f>
        <v>房地产抵押价值</v>
      </c>
      <c r="B122" s="3257"/>
      <c r="C122" s="3257"/>
      <c r="D122" s="3293">
        <f ca="1">H107</f>
        <v>266858</v>
      </c>
      <c r="E122" s="3294"/>
      <c r="F122" s="3294"/>
      <c r="G122" s="3294"/>
      <c r="H122" s="3294"/>
      <c r="I122" s="3295"/>
      <c r="AA122" s="734"/>
    </row>
    <row r="123" spans="1:27" ht="18.75" customHeight="1">
      <c r="A123" s="3226" t="s">
        <v>2140</v>
      </c>
      <c r="B123" s="3226"/>
      <c r="C123" s="3226"/>
      <c r="D123" s="3266" t="str">
        <f ca="1">NUMBERSTRING(INT(D122*10000),2)&amp;"元整"</f>
        <v>贰拾陆亿陆仟捌佰伍拾捌万元整</v>
      </c>
      <c r="E123" s="3267"/>
      <c r="F123" s="3267"/>
      <c r="G123" s="3267"/>
      <c r="H123" s="3267"/>
      <c r="I123" s="3268"/>
      <c r="AA123" s="734"/>
    </row>
    <row r="124" spans="1:27" ht="18.75" customHeight="1">
      <c r="A124" s="3257" t="str">
        <f>IF(项目基本情况!B9="房地产市场价值","",MID(E109,3,LEN(E109)-2))</f>
        <v/>
      </c>
      <c r="B124" s="3257"/>
      <c r="C124" s="3257"/>
      <c r="D124" s="3293" t="str">
        <f>H109</f>
        <v>——</v>
      </c>
      <c r="E124" s="3294"/>
      <c r="F124" s="3294"/>
      <c r="G124" s="3294"/>
      <c r="H124" s="3294"/>
      <c r="I124" s="3295"/>
      <c r="AA124" s="734"/>
    </row>
    <row r="125" spans="1:27" ht="18.75" customHeight="1">
      <c r="A125" s="3226" t="s">
        <v>2140</v>
      </c>
      <c r="B125" s="3226"/>
      <c r="C125" s="3226"/>
      <c r="D125" s="3266" t="e">
        <f>NUMBERSTRING(INT(D124*10000),2)&amp;"元整"</f>
        <v>#VALUE!</v>
      </c>
      <c r="E125" s="3267"/>
      <c r="F125" s="3267"/>
      <c r="G125" s="3267"/>
      <c r="H125" s="3267"/>
      <c r="I125" s="3268"/>
      <c r="AA125" s="734"/>
    </row>
    <row r="126" spans="1:27" ht="18.75" customHeight="1">
      <c r="A126" s="3257" t="str">
        <f>IF(项目基本情况!B9="房地产市场价值","",MID(E111,3,LEN(E111)-2))</f>
        <v/>
      </c>
      <c r="B126" s="3257"/>
      <c r="C126" s="3257"/>
      <c r="D126" s="3293" t="str">
        <f>H111</f>
        <v>——</v>
      </c>
      <c r="E126" s="3294"/>
      <c r="F126" s="3294"/>
      <c r="G126" s="3294"/>
      <c r="H126" s="3294"/>
      <c r="I126" s="3295"/>
      <c r="AA126" s="734"/>
    </row>
    <row r="127" spans="1:27" ht="18.75" customHeight="1">
      <c r="A127" s="3226" t="s">
        <v>2140</v>
      </c>
      <c r="B127" s="3226"/>
      <c r="C127" s="3226"/>
      <c r="D127" s="3266" t="e">
        <f>NUMBERSTRING(INT(D126*10000),2)&amp;"元整"</f>
        <v>#VALUE!</v>
      </c>
      <c r="E127" s="3267"/>
      <c r="F127" s="3267"/>
      <c r="G127" s="3267"/>
      <c r="H127" s="3267"/>
      <c r="I127" s="3268"/>
      <c r="AA127" s="734"/>
    </row>
    <row r="128" spans="1:27" ht="21.75" customHeight="1">
      <c r="A128" s="3276" t="s">
        <v>2141</v>
      </c>
      <c r="B128" s="3276"/>
      <c r="C128" s="3276"/>
      <c r="D128" s="3276"/>
      <c r="E128" s="3276"/>
      <c r="F128" s="3276"/>
      <c r="G128" s="3276"/>
      <c r="H128" s="3276"/>
      <c r="I128" s="3276"/>
      <c r="AA128" s="734"/>
    </row>
    <row r="129" spans="1:35" ht="21.75" customHeight="1">
      <c r="A129" s="2018" t="s">
        <v>2142</v>
      </c>
      <c r="B129" s="2019"/>
      <c r="C129" s="2020" t="s">
        <v>2143</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2144</v>
      </c>
      <c r="G135" s="2035"/>
      <c r="H135" s="2035"/>
      <c r="I135" s="2036" t="s">
        <v>2145</v>
      </c>
    </row>
    <row r="136" spans="1:35" ht="21.75" customHeight="1">
      <c r="A136" s="734"/>
      <c r="B136" s="2037"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2147</v>
      </c>
    </row>
    <row r="139" spans="1:35" ht="21.75" customHeight="1">
      <c r="A139" s="734"/>
      <c r="B139" s="2037" t="s">
        <v>2148</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2147</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15" t="str">
        <f>项目基本情况!B1</f>
        <v>北京市房地产抵押价值预评估</v>
      </c>
      <c r="C37" s="3115"/>
      <c r="D37" s="3115"/>
      <c r="E37" s="3115"/>
      <c r="F37" s="3115"/>
      <c r="G37" s="3115"/>
      <c r="H37" s="3115"/>
      <c r="I37" s="311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B1" zoomScale="70" zoomScaleNormal="70" zoomScaleSheetLayoutView="70" workbookViewId="0">
      <selection activeCell="B30" sqref="B3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5"/>
      <c r="C1" s="204"/>
      <c r="D1" s="204"/>
      <c r="E1" s="204"/>
      <c r="F1" s="204"/>
      <c r="G1" s="1288">
        <f>MATCH(B1,'数据-取费表'!A6:A16,0)+5</f>
        <v>8</v>
      </c>
    </row>
    <row r="2" spans="1:9" s="206" customFormat="1" ht="18" customHeight="1">
      <c r="A2" s="207" t="s">
        <v>2150</v>
      </c>
      <c r="B2" s="208">
        <f ca="1">IF(D2="——",C52,C52-E2)</f>
        <v>352373</v>
      </c>
      <c r="C2" s="205" t="s">
        <v>2151</v>
      </c>
      <c r="D2" s="2040" t="s">
        <v>70</v>
      </c>
      <c r="E2" s="1331" t="e">
        <f ca="1">SUMIF(INDIRECT("'"&amp;G2&amp;"'"&amp;"!A:A"),"承租人权益价值",INDIRECT("'"&amp;G2&amp;"'"&amp;"!c:c"))</f>
        <v>#REF!</v>
      </c>
      <c r="F2" s="2041" t="s">
        <v>2151</v>
      </c>
      <c r="G2" s="2042"/>
    </row>
    <row r="3" spans="1:9" s="206" customFormat="1" ht="18" customHeight="1" thickBot="1">
      <c r="A3" s="209" t="s">
        <v>2152</v>
      </c>
      <c r="B3" s="210">
        <f ca="1">ROUND(B2*10000/(IF(B1="",'数据-汇总表'!E3,INDIRECT("'数据-取费表'!k"&amp;$G$1))),0)</f>
        <v>22908</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 ca="1">C6+C7+C8</f>
        <v>274328</v>
      </c>
      <c r="D5" s="217" t="s">
        <v>2157</v>
      </c>
      <c r="E5" s="218" t="s">
        <v>2158</v>
      </c>
      <c r="F5" s="218" t="s">
        <v>2159</v>
      </c>
      <c r="G5" s="219"/>
    </row>
    <row r="6" spans="1:9" s="220" customFormat="1" ht="13.5" customHeight="1">
      <c r="A6" s="886" t="s">
        <v>2160</v>
      </c>
      <c r="B6" s="221" t="s">
        <v>2161</v>
      </c>
      <c r="C6" s="222">
        <f>'土地比较法-住宅、综合'!B2</f>
        <v>266209</v>
      </c>
      <c r="D6" s="223"/>
      <c r="E6" s="224"/>
      <c r="F6" s="224"/>
      <c r="G6" s="225"/>
    </row>
    <row r="7" spans="1:9" s="220" customFormat="1" ht="13.5" customHeight="1">
      <c r="A7" s="886" t="s">
        <v>2162</v>
      </c>
      <c r="B7" s="221" t="s">
        <v>2163</v>
      </c>
      <c r="C7" s="226">
        <f>ROUND(C6*F7,0)</f>
        <v>8119</v>
      </c>
      <c r="D7" s="226"/>
      <c r="E7" s="224"/>
      <c r="F7" s="227">
        <f>IF(项目基本情况!B8="出让",0,'数据-取费表'!B48+'数据-取费表'!B49)</f>
        <v>3.0499999999999999E-2</v>
      </c>
      <c r="G7" s="225"/>
    </row>
    <row r="8" spans="1:9" s="229" customFormat="1">
      <c r="A8" s="886" t="s">
        <v>2164</v>
      </c>
      <c r="B8" s="221" t="s">
        <v>2165</v>
      </c>
      <c r="C8" s="226">
        <f ca="1">IF(G8="已包含在土地购买价格中","0",IF(B1="",'数据-取费表'!B29,IF(G9="全部缴纳",C9+C10,H9)))</f>
        <v>0</v>
      </c>
      <c r="D8" s="228"/>
      <c r="E8" s="226"/>
      <c r="F8" s="227"/>
      <c r="G8" s="2043" t="s">
        <v>3318</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4" t="s">
        <v>3319</v>
      </c>
      <c r="H9" s="1299"/>
      <c r="I9" s="2045" t="s">
        <v>2167</v>
      </c>
    </row>
    <row r="10" spans="1:9" s="220" customFormat="1" ht="13.5" customHeight="1">
      <c r="A10" s="887" t="s">
        <v>801</v>
      </c>
      <c r="B10" s="230" t="s">
        <v>2168</v>
      </c>
      <c r="C10" s="231">
        <f ca="1">ROUND(D10*E10/10000,0)</f>
        <v>0</v>
      </c>
      <c r="D10" s="954">
        <f ca="1">IF(B1="",'数据-汇总表'!E6,IF(INDIRECT("'数据-取费表'!c"&amp;$G$1)="住宅",INDIRECT("'数据-取费表'!s"&amp;$G$1),INDIRECT("'数据-取费表'!k"&amp;$G$1)+INDIRECT("'数据-取费表'!s"&amp;$G$1)))</f>
        <v>153820.67000000001</v>
      </c>
      <c r="E10" s="231">
        <f>'数据-取费表'!B28</f>
        <v>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153820.67000000001</v>
      </c>
      <c r="E19" s="217">
        <f>'数据-取费表'!B31</f>
        <v>100</v>
      </c>
      <c r="F19" s="237"/>
      <c r="G19" s="2043" t="s">
        <v>3320</v>
      </c>
    </row>
    <row r="20" spans="1:7" s="220" customFormat="1" ht="13.5" customHeight="1">
      <c r="A20" s="261" t="s">
        <v>2181</v>
      </c>
      <c r="B20" s="216" t="s">
        <v>2182</v>
      </c>
      <c r="C20" s="238">
        <f ca="1">ROUND((C5+C19)*F20,0)</f>
        <v>5487</v>
      </c>
      <c r="D20" s="238"/>
      <c r="E20" s="238"/>
      <c r="F20" s="239">
        <f>'数据-取费表'!B37</f>
        <v>0.02</v>
      </c>
      <c r="G20" s="240" t="s">
        <v>2183</v>
      </c>
    </row>
    <row r="21" spans="1:7" s="220" customFormat="1" ht="13.5" customHeight="1">
      <c r="A21" s="261" t="s">
        <v>2184</v>
      </c>
      <c r="B21" s="216" t="s">
        <v>2185</v>
      </c>
      <c r="C21" s="241">
        <f>F21</f>
        <v>0.02</v>
      </c>
      <c r="D21" s="242" t="s">
        <v>2186</v>
      </c>
      <c r="E21" s="238"/>
      <c r="F21" s="239">
        <f>'数据-取费表'!B38</f>
        <v>0.02</v>
      </c>
      <c r="G21" s="240" t="s">
        <v>2187</v>
      </c>
    </row>
    <row r="22" spans="1:7" s="220" customFormat="1" ht="13.5" customHeight="1">
      <c r="A22" s="261" t="s">
        <v>2188</v>
      </c>
      <c r="B22" s="216" t="s">
        <v>2189</v>
      </c>
      <c r="C22" s="1264">
        <f ca="1">ROUND(SUM(C23:C25),0)</f>
        <v>10252</v>
      </c>
      <c r="D22" s="241">
        <f ca="1">C26</f>
        <v>4.0000000000000002E-4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10151</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101</v>
      </c>
      <c r="D25" s="244"/>
      <c r="E25" s="247"/>
      <c r="F25" s="245"/>
      <c r="G25" s="248" t="s">
        <v>2198</v>
      </c>
    </row>
    <row r="26" spans="1:7" s="220" customFormat="1">
      <c r="A26" s="888" t="s">
        <v>795</v>
      </c>
      <c r="B26" s="221" t="s">
        <v>2199</v>
      </c>
      <c r="C26" s="244">
        <f ca="1">ROUND(IF('数据-取费表'!B22&lt;=1,F21*F22*'数据-取费表'!B23/2,F21*(POWER((1+F22),'数据-取费表'!B23/2)-1)),4)</f>
        <v>4.0000000000000002E-4</v>
      </c>
      <c r="D26" s="244"/>
      <c r="E26" s="247"/>
      <c r="F26" s="245"/>
      <c r="G26" s="249"/>
    </row>
    <row r="27" spans="1:7" s="220" customFormat="1" ht="24.75">
      <c r="A27" s="261" t="s">
        <v>2200</v>
      </c>
      <c r="B27" s="250" t="s">
        <v>2201</v>
      </c>
      <c r="C27" s="251">
        <f ca="1">C28</f>
        <v>10955</v>
      </c>
      <c r="D27" s="241">
        <f ca="1">C29</f>
        <v>8.0000000000000004E-4</v>
      </c>
      <c r="E27" s="242" t="s">
        <v>2202</v>
      </c>
      <c r="F27" s="252">
        <f ca="1">IF(B1="",'数据-取费表'!Q16,INDIRECT("'数据-取费表'!q"&amp;$G$1))</f>
        <v>0.15</v>
      </c>
      <c r="G27" s="253" t="s">
        <v>2203</v>
      </c>
    </row>
    <row r="28" spans="1:7" s="220" customFormat="1" ht="13.5" customHeight="1">
      <c r="A28" s="888" t="s">
        <v>791</v>
      </c>
      <c r="B28" s="254" t="s">
        <v>2204</v>
      </c>
      <c r="C28" s="255">
        <f ca="1">ROUND((C5+C19+C20)*F27*'数据-取费表'!B21/'数据-取费表'!B20,0)</f>
        <v>10955</v>
      </c>
      <c r="D28" s="241"/>
      <c r="E28" s="242"/>
      <c r="F28" s="252"/>
      <c r="G28" s="253"/>
    </row>
    <row r="29" spans="1:7" s="220" customFormat="1" ht="13.5" customHeight="1">
      <c r="A29" s="888" t="s">
        <v>792</v>
      </c>
      <c r="B29" s="254" t="s">
        <v>2205</v>
      </c>
      <c r="C29" s="244">
        <f ca="1">ROUND(C21*F27*'数据-取费表'!B21/'数据-取费表'!B20,4)</f>
        <v>8.0000000000000004E-4</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324937</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21277</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19592</v>
      </c>
      <c r="D34" s="223"/>
      <c r="E34" s="226"/>
      <c r="F34" s="263">
        <f ca="1">IF('数据-取费表'!B24=0,1,IF(B1="",'数据-取费表'!N16,INDIRECT("'数据-取费表'!n"&amp;$G$1)))</f>
        <v>0.26100000000000001</v>
      </c>
      <c r="G34" s="225" t="s">
        <v>2214</v>
      </c>
    </row>
    <row r="35" spans="1:7" ht="13.5" customHeight="1">
      <c r="A35" s="888" t="s">
        <v>796</v>
      </c>
      <c r="B35" s="221" t="s">
        <v>2215</v>
      </c>
      <c r="C35" s="226">
        <f ca="1">ROUND(C34*F35,0)</f>
        <v>588</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2218</v>
      </c>
    </row>
    <row r="37" spans="1:7" s="264" customFormat="1" ht="13.5" customHeight="1">
      <c r="A37" s="888" t="s">
        <v>798</v>
      </c>
      <c r="B37" s="221" t="s">
        <v>2219</v>
      </c>
      <c r="C37" s="255">
        <f ca="1">ROUND(E37*D37*F34/10000,0)</f>
        <v>803</v>
      </c>
      <c r="D37" s="223">
        <f ca="1">D19</f>
        <v>153820.67000000001</v>
      </c>
      <c r="E37" s="255">
        <f>'数据-取费表'!B35</f>
        <v>200</v>
      </c>
      <c r="F37" s="265"/>
      <c r="G37" s="267" t="s">
        <v>2220</v>
      </c>
    </row>
    <row r="38" spans="1:7" ht="13.5" customHeight="1">
      <c r="A38" s="888" t="s">
        <v>799</v>
      </c>
      <c r="B38" s="221" t="s">
        <v>2221</v>
      </c>
      <c r="C38" s="226">
        <f ca="1">ROUND(C34*F38,0)</f>
        <v>294</v>
      </c>
      <c r="D38" s="226"/>
      <c r="E38" s="226"/>
      <c r="F38" s="265">
        <f>'数据-取费表'!B36</f>
        <v>1.4999999999999999E-2</v>
      </c>
      <c r="G38" s="225" t="s">
        <v>2216</v>
      </c>
    </row>
    <row r="39" spans="1:7" s="220" customFormat="1" ht="13.5" customHeight="1">
      <c r="A39" s="261" t="s">
        <v>2222</v>
      </c>
      <c r="B39" s="216" t="s">
        <v>2223</v>
      </c>
      <c r="C39" s="238">
        <f ca="1">ROUND(C33*F20,0)</f>
        <v>426</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398</v>
      </c>
      <c r="D41" s="241">
        <f ca="1">C44</f>
        <v>4.0000000000000002E-4</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390</v>
      </c>
      <c r="D42" s="244"/>
      <c r="E42" s="244"/>
      <c r="F42" s="245"/>
      <c r="G42" s="3309" t="s">
        <v>2232</v>
      </c>
    </row>
    <row r="43" spans="1:7" ht="13.5" customHeight="1">
      <c r="A43" s="888" t="s">
        <v>792</v>
      </c>
      <c r="B43" s="221" t="s">
        <v>2233</v>
      </c>
      <c r="C43" s="244">
        <f ca="1">ROUND(IF('数据-取费表'!B22&lt;=1,C39*F22*'数据-取费表'!B21/2,C39*(POWER((1+F22),'数据-取费表'!B21/2)-1)),0)</f>
        <v>8</v>
      </c>
      <c r="D43" s="244"/>
      <c r="E43" s="244"/>
      <c r="F43" s="245"/>
      <c r="G43" s="3310"/>
    </row>
    <row r="44" spans="1:7" ht="13.5" customHeight="1">
      <c r="A44" s="888" t="s">
        <v>793</v>
      </c>
      <c r="B44" s="221" t="s">
        <v>2234</v>
      </c>
      <c r="C44" s="244">
        <f ca="1">ROUND(IF('数据-取费表'!B22&lt;=1,C40*F22*'数据-取费表'!B21/2,C40*(POWER((1+F22),'数据-取费表'!B21/2)-1)),4)</f>
        <v>4.0000000000000002E-4</v>
      </c>
      <c r="D44" s="244"/>
      <c r="E44" s="244"/>
      <c r="F44" s="245"/>
      <c r="G44" s="3311"/>
    </row>
    <row r="45" spans="1:7" s="220" customFormat="1" ht="13.5" customHeight="1">
      <c r="A45" s="261" t="s">
        <v>2235</v>
      </c>
      <c r="B45" s="250" t="s">
        <v>2201</v>
      </c>
      <c r="C45" s="251">
        <f ca="1">C46</f>
        <v>3255</v>
      </c>
      <c r="D45" s="241">
        <f ca="1">C47</f>
        <v>3.0000000000000001E-3</v>
      </c>
      <c r="E45" s="242" t="s">
        <v>2227</v>
      </c>
      <c r="F45" s="2538">
        <f ca="1">F27</f>
        <v>0.15</v>
      </c>
      <c r="G45" s="253" t="s">
        <v>2236</v>
      </c>
    </row>
    <row r="46" spans="1:7" s="220" customFormat="1" ht="13.5" customHeight="1">
      <c r="A46" s="888" t="s">
        <v>791</v>
      </c>
      <c r="B46" s="254" t="s">
        <v>2237</v>
      </c>
      <c r="C46" s="255">
        <f ca="1">ROUND((C33+C39)*F27,0)</f>
        <v>3255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1496">
        <f>ROUND(F30/(1+'数据-取费表'!C42),4)</f>
        <v>5.2400000000000002E-2</v>
      </c>
      <c r="D48" s="242" t="s">
        <v>2227</v>
      </c>
      <c r="E48" s="238"/>
      <c r="F48" s="2537">
        <f>F30</f>
        <v>5.5000000000000007E-2</v>
      </c>
      <c r="G48" s="240" t="s">
        <v>2240</v>
      </c>
    </row>
    <row r="49" spans="1:7" ht="16.5" customHeight="1">
      <c r="A49" s="261" t="s">
        <v>2206</v>
      </c>
      <c r="B49" s="216" t="s">
        <v>2241</v>
      </c>
      <c r="C49" s="238">
        <f ca="1">ROUND((C33+C39+C41+C45)/(1-C40-D41-D45-C48),0)</f>
        <v>27436</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27436</v>
      </c>
      <c r="D51" s="238"/>
      <c r="E51" s="238"/>
      <c r="F51" s="270"/>
      <c r="G51" s="240" t="s">
        <v>2248</v>
      </c>
    </row>
    <row r="52" spans="1:7" s="214" customFormat="1" ht="16.5" thickBot="1">
      <c r="A52" s="271" t="s">
        <v>2249</v>
      </c>
      <c r="B52" s="272"/>
      <c r="C52" s="273">
        <f ca="1">C31+C51</f>
        <v>352373</v>
      </c>
      <c r="D52" s="272"/>
      <c r="E52" s="272"/>
      <c r="F52" s="272"/>
      <c r="G52" s="274"/>
    </row>
    <row r="55" spans="1:7" ht="15">
      <c r="B55" s="276" t="s">
        <v>2250</v>
      </c>
      <c r="C55" s="277"/>
    </row>
    <row r="56" spans="1:7">
      <c r="B56" s="279" t="s">
        <v>1478</v>
      </c>
      <c r="C56" s="281">
        <f ca="1">1-C57</f>
        <v>0.92200000000000004</v>
      </c>
    </row>
    <row r="57" spans="1:7">
      <c r="B57" s="279" t="s">
        <v>1479</v>
      </c>
      <c r="C57" s="280">
        <f ca="1">ROUND(C51/C52,3)</f>
        <v>7.8E-2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5"/>
      <c r="C1" s="2046" t="s">
        <v>2251</v>
      </c>
      <c r="D1" s="204"/>
      <c r="E1" s="204"/>
      <c r="F1" s="204"/>
      <c r="G1" s="1288">
        <f>MATCH(B1,'数据-取费表'!A6:A16,0)+5</f>
        <v>8</v>
      </c>
      <c r="H1" s="1192" t="str">
        <f>IF(ISERROR(FIND("住宅",B1)),"非住宅","住宅")</f>
        <v>非住宅</v>
      </c>
    </row>
    <row r="2" spans="1:8" s="206" customFormat="1" ht="18" customHeight="1">
      <c r="A2" s="207" t="s">
        <v>2150</v>
      </c>
      <c r="B2" s="208">
        <f ca="1">ROUND(IF(D2="——",C52/10000,C52/10000-E2),0)</f>
        <v>112275</v>
      </c>
      <c r="C2" s="205" t="s">
        <v>2151</v>
      </c>
      <c r="D2" s="2040" t="s">
        <v>70</v>
      </c>
      <c r="E2" s="1331" t="e">
        <f ca="1">SUMIF(INDIRECT("'"&amp;G2&amp;"'"&amp;"!A:A"),"承租人权益价值",INDIRECT("'"&amp;G2&amp;"'"&amp;"!c:c"))</f>
        <v>#REF!</v>
      </c>
      <c r="F2" s="2041" t="s">
        <v>2151</v>
      </c>
      <c r="G2" s="2042"/>
    </row>
    <row r="3" spans="1:8" s="206" customFormat="1" ht="18" customHeight="1" thickBot="1">
      <c r="A3" s="209" t="s">
        <v>2152</v>
      </c>
      <c r="B3" s="210">
        <f ca="1">ROUND(B2*10000/(IF(B1="",'数据-汇总表'!E3,INDIRECT("'数据-取费表'!k"&amp;$G$1))),0)</f>
        <v>7299</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0</v>
      </c>
      <c r="D8" s="228"/>
      <c r="E8" s="226"/>
      <c r="F8" s="227"/>
      <c r="G8" s="2043"/>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0</v>
      </c>
      <c r="D10" s="954">
        <f ca="1">IF(B1="",'数据-汇总表'!E6,IF(INDIRECT("'数据-取费表'!c"&amp;$G$1)="住宅",INDIRECT("'数据-取费表'!s"&amp;$G$1),INDIRECT("'数据-取费表'!k"&amp;$G$1)+INDIRECT("'数据-取费表'!s"&amp;$G$1)))</f>
        <v>153820.67000000001</v>
      </c>
      <c r="E10" s="231">
        <f>'数据-取费表'!B28</f>
        <v>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15382067</v>
      </c>
      <c r="D19" s="958">
        <f ca="1">D9+D10</f>
        <v>153820.67000000001</v>
      </c>
      <c r="E19" s="217">
        <f>'数据-取费表'!B31</f>
        <v>100</v>
      </c>
      <c r="F19" s="237"/>
      <c r="G19" s="2043"/>
    </row>
    <row r="20" spans="1:7" s="220" customFormat="1" ht="13.5" customHeight="1">
      <c r="A20" s="261" t="s">
        <v>2262</v>
      </c>
      <c r="B20" s="216" t="s">
        <v>2263</v>
      </c>
      <c r="C20" s="238">
        <f ca="1">ROUND((C5+C19)*F20,0)</f>
        <v>307641</v>
      </c>
      <c r="D20" s="238"/>
      <c r="E20" s="238"/>
      <c r="F20" s="239">
        <f>'数据-取费表'!B37</f>
        <v>0.02</v>
      </c>
      <c r="G20" s="240" t="s">
        <v>2264</v>
      </c>
    </row>
    <row r="21" spans="1:7" s="220" customFormat="1" ht="13.5" customHeight="1">
      <c r="A21" s="261" t="s">
        <v>2265</v>
      </c>
      <c r="B21" s="216" t="s">
        <v>2266</v>
      </c>
      <c r="C21" s="241">
        <f>F21</f>
        <v>0.02</v>
      </c>
      <c r="D21" s="242" t="s">
        <v>2267</v>
      </c>
      <c r="E21" s="238"/>
      <c r="F21" s="239">
        <f>'数据-取费表'!B38</f>
        <v>0.02</v>
      </c>
      <c r="G21" s="240" t="s">
        <v>2268</v>
      </c>
    </row>
    <row r="22" spans="1:7" s="220" customFormat="1" ht="13.5" customHeight="1">
      <c r="A22" s="261" t="s">
        <v>2269</v>
      </c>
      <c r="B22" s="216" t="s">
        <v>2270</v>
      </c>
      <c r="C22" s="1289">
        <f ca="1">ROUND(SUM(C23:C25),0)</f>
        <v>2319888</v>
      </c>
      <c r="D22" s="241">
        <f ca="1">C26</f>
        <v>1.4E-3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0</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2297710</v>
      </c>
      <c r="D24" s="244"/>
      <c r="E24" s="244"/>
      <c r="F24" s="245"/>
      <c r="G24" s="246" t="s">
        <v>2274</v>
      </c>
    </row>
    <row r="25" spans="1:7" s="220" customFormat="1" ht="24">
      <c r="A25" s="888" t="s">
        <v>2164</v>
      </c>
      <c r="B25" s="221" t="s">
        <v>2275</v>
      </c>
      <c r="C25" s="1290">
        <f ca="1">ROUND(IF('数据-取费表'!B22&lt;=1,C20*F22*'数据-取费表'!B22/2,C20*(POWER((1+F22),'数据-取费表'!B22/2)-1)),0)</f>
        <v>22178</v>
      </c>
      <c r="D25" s="244"/>
      <c r="E25" s="247"/>
      <c r="F25" s="245"/>
      <c r="G25" s="248" t="s">
        <v>2276</v>
      </c>
    </row>
    <row r="26" spans="1:7" s="220" customFormat="1">
      <c r="A26" s="888" t="s">
        <v>795</v>
      </c>
      <c r="B26" s="221" t="s">
        <v>2199</v>
      </c>
      <c r="C26" s="244">
        <f ca="1">ROUND(IF('数据-取费表'!B22&lt;=1,F21*F22*'数据-取费表'!B22/2,F21*(POWER((1+F22),'数据-取费表'!B22/2)-1)),4)</f>
        <v>1.4E-3</v>
      </c>
      <c r="D26" s="244"/>
      <c r="E26" s="247"/>
      <c r="F26" s="245"/>
      <c r="G26" s="249"/>
    </row>
    <row r="27" spans="1:7" s="220" customFormat="1" ht="24.75">
      <c r="A27" s="261" t="s">
        <v>2200</v>
      </c>
      <c r="B27" s="250" t="s">
        <v>2201</v>
      </c>
      <c r="C27" s="251">
        <f ca="1">C28</f>
        <v>2353456</v>
      </c>
      <c r="D27" s="241">
        <f ca="1">C29</f>
        <v>3.0000000000000001E-3</v>
      </c>
      <c r="E27" s="242" t="s">
        <v>2202</v>
      </c>
      <c r="F27" s="252">
        <f ca="1">IF(B1="",'数据-取费表'!Q16,INDIRECT("'数据-取费表'!q"&amp;$G$1))</f>
        <v>0.15</v>
      </c>
      <c r="G27" s="253" t="s">
        <v>2203</v>
      </c>
    </row>
    <row r="28" spans="1:7" s="220" customFormat="1" ht="13.5" customHeight="1">
      <c r="A28" s="888" t="s">
        <v>791</v>
      </c>
      <c r="B28" s="254" t="s">
        <v>2204</v>
      </c>
      <c r="C28" s="255">
        <f ca="1">ROUND((C5+C19+C20)*F27,0)</f>
        <v>2353456</v>
      </c>
      <c r="D28" s="241"/>
      <c r="E28" s="242"/>
      <c r="F28" s="252"/>
      <c r="G28" s="253"/>
    </row>
    <row r="29" spans="1:7" s="220" customFormat="1" ht="13.5" customHeight="1">
      <c r="A29" s="888" t="s">
        <v>792</v>
      </c>
      <c r="B29" s="254" t="s">
        <v>2205</v>
      </c>
      <c r="C29" s="244">
        <f ca="1">ROUND(C21*F27,4)</f>
        <v>3.0000000000000001E-3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22057032</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815188592</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750645415</v>
      </c>
      <c r="D34" s="223"/>
      <c r="E34" s="226"/>
      <c r="F34" s="263"/>
      <c r="G34" s="225"/>
    </row>
    <row r="35" spans="1:7" ht="13.5" customHeight="1">
      <c r="A35" s="888" t="s">
        <v>796</v>
      </c>
      <c r="B35" s="221" t="s">
        <v>2215</v>
      </c>
      <c r="C35" s="226">
        <f ca="1">ROUND(C34*F35,0)</f>
        <v>22519362</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0.05</v>
      </c>
      <c r="G36" s="266" t="s">
        <v>2218</v>
      </c>
    </row>
    <row r="37" spans="1:7" s="264" customFormat="1" ht="13.5" customHeight="1">
      <c r="A37" s="888" t="s">
        <v>798</v>
      </c>
      <c r="B37" s="221" t="s">
        <v>2219</v>
      </c>
      <c r="C37" s="255">
        <f ca="1">ROUND(E37*D37,0)</f>
        <v>30764134</v>
      </c>
      <c r="D37" s="223">
        <f ca="1">D19</f>
        <v>153820.67000000001</v>
      </c>
      <c r="E37" s="255">
        <f>'数据-取费表'!B35</f>
        <v>200</v>
      </c>
      <c r="F37" s="265"/>
      <c r="G37" s="267"/>
    </row>
    <row r="38" spans="1:7" ht="13.5" customHeight="1">
      <c r="A38" s="888" t="s">
        <v>799</v>
      </c>
      <c r="B38" s="221" t="s">
        <v>2221</v>
      </c>
      <c r="C38" s="226">
        <f ca="1">ROUND(C34*F38,0)</f>
        <v>11259681</v>
      </c>
      <c r="D38" s="226"/>
      <c r="E38" s="226"/>
      <c r="F38" s="265">
        <f>'数据-取费表'!B36</f>
        <v>1.4999999999999999E-2</v>
      </c>
      <c r="G38" s="225" t="s">
        <v>2216</v>
      </c>
    </row>
    <row r="39" spans="1:7" s="220" customFormat="1" ht="13.5" customHeight="1">
      <c r="A39" s="261" t="s">
        <v>2222</v>
      </c>
      <c r="B39" s="216" t="s">
        <v>2223</v>
      </c>
      <c r="C39" s="238">
        <f ca="1">ROUND(C33*F20,0)</f>
        <v>16303772</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59941879</v>
      </c>
      <c r="D41" s="241">
        <f ca="1">C44</f>
        <v>1.4E-3</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58766548</v>
      </c>
      <c r="D42" s="244"/>
      <c r="E42" s="244"/>
      <c r="F42" s="245"/>
      <c r="G42" s="3309" t="s">
        <v>2279</v>
      </c>
    </row>
    <row r="43" spans="1:7" ht="13.5" customHeight="1">
      <c r="A43" s="888" t="s">
        <v>792</v>
      </c>
      <c r="B43" s="221" t="s">
        <v>2233</v>
      </c>
      <c r="C43" s="244">
        <f ca="1">ROUND(IF('数据-取费表'!B22&lt;=1,C39*F22*'数据-取费表'!B20/2,C39*(POWER((1+F22),'数据-取费表'!B20/2)-1)),0)</f>
        <v>1175331</v>
      </c>
      <c r="D43" s="244"/>
      <c r="E43" s="244"/>
      <c r="F43" s="245"/>
      <c r="G43" s="3310"/>
    </row>
    <row r="44" spans="1:7" ht="13.5" customHeight="1">
      <c r="A44" s="888" t="s">
        <v>793</v>
      </c>
      <c r="B44" s="221" t="s">
        <v>2234</v>
      </c>
      <c r="C44" s="244">
        <f ca="1">ROUND(IF('数据-取费表'!B22&lt;=1,C40*F22*'数据-取费表'!B20/2,C40*(POWER((1+F22),'数据-取费表'!B20/2)-1)),4)</f>
        <v>1.4E-3</v>
      </c>
      <c r="D44" s="244"/>
      <c r="E44" s="244"/>
      <c r="F44" s="245"/>
      <c r="G44" s="3311"/>
    </row>
    <row r="45" spans="1:7" s="220" customFormat="1" ht="13.5" customHeight="1">
      <c r="A45" s="261" t="s">
        <v>2235</v>
      </c>
      <c r="B45" s="250" t="s">
        <v>2201</v>
      </c>
      <c r="C45" s="251">
        <f ca="1">C46</f>
        <v>124723855</v>
      </c>
      <c r="D45" s="241">
        <f ca="1">C47</f>
        <v>3.0000000000000001E-3</v>
      </c>
      <c r="E45" s="242" t="s">
        <v>2227</v>
      </c>
      <c r="F45" s="2538">
        <f ca="1">F27</f>
        <v>0.15</v>
      </c>
      <c r="G45" s="253" t="s">
        <v>2236</v>
      </c>
    </row>
    <row r="46" spans="1:7" s="220" customFormat="1" ht="13.5" customHeight="1">
      <c r="A46" s="888" t="s">
        <v>791</v>
      </c>
      <c r="B46" s="254" t="s">
        <v>2237</v>
      </c>
      <c r="C46" s="255">
        <f ca="1">ROUND((C33+C39)*F27,0)</f>
        <v>124723855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268">
        <f>ROUND(F30/(1+'数据-取费表'!C42),4)</f>
        <v>5.2400000000000002E-2</v>
      </c>
      <c r="D48" s="242" t="s">
        <v>2227</v>
      </c>
      <c r="E48" s="238"/>
      <c r="F48" s="2537">
        <f>F30</f>
        <v>5.5000000000000007E-2</v>
      </c>
      <c r="G48" s="240" t="s">
        <v>2240</v>
      </c>
    </row>
    <row r="49" spans="1:7" ht="16.5" customHeight="1">
      <c r="A49" s="261" t="s">
        <v>2206</v>
      </c>
      <c r="B49" s="216" t="s">
        <v>2280</v>
      </c>
      <c r="C49" s="238">
        <f ca="1">ROUND((C33+C39+C41+C45)/(1-C40-D41-D45-C48),0)</f>
        <v>1100691181</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1100691181</v>
      </c>
      <c r="D51" s="238"/>
      <c r="E51" s="238"/>
      <c r="F51" s="270"/>
      <c r="G51" s="240" t="s">
        <v>2248</v>
      </c>
    </row>
    <row r="52" spans="1:7" s="214" customFormat="1" ht="16.5" thickBot="1">
      <c r="A52" s="271" t="s">
        <v>2249</v>
      </c>
      <c r="B52" s="272"/>
      <c r="C52" s="273">
        <f ca="1">C31+C51</f>
        <v>1122748213</v>
      </c>
      <c r="D52" s="272"/>
      <c r="E52" s="272"/>
      <c r="F52" s="272"/>
      <c r="G52" s="274"/>
    </row>
    <row r="55" spans="1:7" ht="15">
      <c r="B55" s="276" t="s">
        <v>2250</v>
      </c>
      <c r="C55" s="277"/>
    </row>
    <row r="56" spans="1:7">
      <c r="B56" s="279" t="s">
        <v>1478</v>
      </c>
      <c r="C56" s="281">
        <f ca="1">1-C57</f>
        <v>2.0000000000000018E-2</v>
      </c>
    </row>
    <row r="57" spans="1:7">
      <c r="B57" s="279" t="s">
        <v>1479</v>
      </c>
      <c r="C57" s="280">
        <f ca="1">ROUND(C51/C52,3)</f>
        <v>0.98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A4" sqref="A4:J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f>F66</f>
        <v>266209</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2152</v>
      </c>
      <c r="B3" s="566">
        <f>ROUND(IF(D3="",B2*10000/'数据-汇总表'!E3,B2*10000/D3),0)</f>
        <v>17306</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30" ht="15">
      <c r="A5" s="364"/>
      <c r="B5" s="365"/>
      <c r="C5" s="3346" t="s">
        <v>2362</v>
      </c>
      <c r="D5" s="3347"/>
      <c r="E5" s="3353" t="str">
        <f>Sheet2!A22</f>
        <v>朝阳区金盏乡楼梓庄村1113-602地块</v>
      </c>
      <c r="F5" s="3354"/>
      <c r="G5" s="3346" t="str">
        <f>Sheet2!A26</f>
        <v>朝阳区金盏乡楼梓庄村1113-603地块</v>
      </c>
      <c r="H5" s="3347"/>
      <c r="I5" s="3346" t="str">
        <f>Sheet2!A27</f>
        <v>朝阳区金盏乡楼梓庄村1113-604地块</v>
      </c>
      <c r="J5" s="3347"/>
      <c r="K5" s="567"/>
      <c r="L5" s="2945"/>
      <c r="M5" s="2946"/>
      <c r="N5" s="2946"/>
      <c r="O5" s="2946"/>
      <c r="P5" s="3334"/>
      <c r="Q5" s="3335"/>
      <c r="R5" s="3340"/>
      <c r="S5" s="3341"/>
      <c r="T5" s="3340"/>
      <c r="U5" s="3341"/>
      <c r="V5" s="3325"/>
      <c r="W5" s="3325"/>
      <c r="X5" s="1540"/>
      <c r="Y5" s="3340"/>
      <c r="Z5" s="3341"/>
      <c r="AA5" s="3327"/>
      <c r="AB5" s="3327"/>
      <c r="AC5" s="3327"/>
    </row>
    <row r="6" spans="1:30"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8"/>
      <c r="AC6" s="3328"/>
    </row>
    <row r="7" spans="1:30" s="113" customFormat="1" ht="15.75" thickBot="1">
      <c r="A7" s="368" t="s">
        <v>2368</v>
      </c>
      <c r="B7" s="369"/>
      <c r="C7" s="370">
        <f>'数据-取费表'!B2</f>
        <v>44176</v>
      </c>
      <c r="D7" s="371">
        <v>100</v>
      </c>
      <c r="E7" s="372" t="str">
        <f>Sheet2!H22</f>
        <v>2017-04-14</v>
      </c>
      <c r="F7" s="373">
        <f>SUMIF(70:70,YEAR(E7)&amp;"-"&amp;INT((MONTH(E7)+2)/3),71:71)</f>
        <v>95.8</v>
      </c>
      <c r="G7" s="2161" t="str">
        <f>Sheet2!H26</f>
        <v>2017-03-30</v>
      </c>
      <c r="H7" s="371">
        <f>SUMIF(70:70,YEAR(G7)&amp;"-"&amp;INT((MONTH(G7)+2)/3),71:71)</f>
        <v>95.5</v>
      </c>
      <c r="I7" s="2161" t="str">
        <f>Sheet2!H27</f>
        <v>2017-03-30</v>
      </c>
      <c r="J7" s="371">
        <f>SUMIF(70:70,YEAR(I7)&amp;"-"&amp;INT((MONTH(I7)+2)/3),71:71)</f>
        <v>95.5</v>
      </c>
      <c r="K7" s="568"/>
      <c r="L7" s="2947"/>
      <c r="M7" s="2948"/>
      <c r="N7" s="2948"/>
      <c r="O7" s="2948"/>
      <c r="P7" s="3348" t="s">
        <v>2369</v>
      </c>
      <c r="Q7" s="3350"/>
      <c r="R7" s="710" t="s">
        <v>17</v>
      </c>
      <c r="S7" s="711">
        <f t="shared" ref="S7:S15" si="0">F7</f>
        <v>95.8</v>
      </c>
      <c r="T7" s="710" t="s">
        <v>17</v>
      </c>
      <c r="U7" s="711">
        <f t="shared" ref="U7:U15" si="1">H7</f>
        <v>95.5</v>
      </c>
      <c r="V7" s="710" t="s">
        <v>17</v>
      </c>
      <c r="W7" s="711">
        <f t="shared" ref="W7:W15" si="2">J7</f>
        <v>95.5</v>
      </c>
      <c r="X7" s="712"/>
      <c r="Y7" s="3348" t="s">
        <v>2369</v>
      </c>
      <c r="Z7" s="3349"/>
      <c r="AA7" s="713">
        <f>D7/F7</f>
        <v>1.0438413361169103</v>
      </c>
      <c r="AB7" s="713">
        <f>D7/H7</f>
        <v>1.0471204188481675</v>
      </c>
      <c r="AC7" s="713">
        <f>D7/J7</f>
        <v>1.0471204188481675</v>
      </c>
    </row>
    <row r="8" spans="1:30" s="113" customFormat="1" ht="15.75" thickBot="1">
      <c r="A8" s="368" t="s">
        <v>2370</v>
      </c>
      <c r="B8" s="369"/>
      <c r="C8" s="374" t="s">
        <v>2371</v>
      </c>
      <c r="D8" s="371">
        <v>100</v>
      </c>
      <c r="E8" s="3085" t="s">
        <v>3303</v>
      </c>
      <c r="F8" s="373">
        <f>SUMIF(73:73,E8,74:74)-SUMIF(73:73,C8,74:74)+100</f>
        <v>100</v>
      </c>
      <c r="G8" s="3085" t="s">
        <v>3304</v>
      </c>
      <c r="H8" s="371">
        <f>SUMIF(73:73,G8,74:74)-SUMIF(73:73,C8,74:74)+100</f>
        <v>100</v>
      </c>
      <c r="I8" s="3085" t="s">
        <v>3305</v>
      </c>
      <c r="J8" s="371">
        <f>SUMIF(73:73,I8,74:74)-SUMIF(73:73,C8,74:74)+100</f>
        <v>100</v>
      </c>
      <c r="K8" s="568"/>
      <c r="L8" s="2947"/>
      <c r="M8" s="2948"/>
      <c r="N8" s="2948"/>
      <c r="O8" s="2948"/>
      <c r="P8" s="3348" t="s">
        <v>2372</v>
      </c>
      <c r="Q8" s="3349"/>
      <c r="R8" s="710" t="s">
        <v>17</v>
      </c>
      <c r="S8" s="711">
        <f t="shared" si="0"/>
        <v>100</v>
      </c>
      <c r="T8" s="710" t="s">
        <v>17</v>
      </c>
      <c r="U8" s="711">
        <f t="shared" si="1"/>
        <v>100</v>
      </c>
      <c r="V8" s="710" t="s">
        <v>17</v>
      </c>
      <c r="W8" s="711">
        <f t="shared" si="2"/>
        <v>100</v>
      </c>
      <c r="X8" s="712"/>
      <c r="Y8" s="3348" t="s">
        <v>2372</v>
      </c>
      <c r="Z8" s="3349"/>
      <c r="AA8" s="713">
        <f t="shared" ref="AA8:AA45" si="3">D8/F8</f>
        <v>1</v>
      </c>
      <c r="AB8" s="713">
        <f t="shared" ref="AB8:AB45" si="4">D8/H8</f>
        <v>1</v>
      </c>
      <c r="AC8" s="713">
        <f t="shared" ref="AC8:AC45" si="5">D8/J8</f>
        <v>1</v>
      </c>
    </row>
    <row r="9" spans="1:30" s="113" customFormat="1" ht="15">
      <c r="A9" s="375" t="s">
        <v>2373</v>
      </c>
      <c r="B9" s="67" t="s">
        <v>2374</v>
      </c>
      <c r="C9" s="3086" t="s">
        <v>3306</v>
      </c>
      <c r="D9" s="131">
        <v>100</v>
      </c>
      <c r="E9" s="3086" t="s">
        <v>3307</v>
      </c>
      <c r="F9" s="131">
        <f>SUMIF(75:75,E9,76:76)-SUMIF(75:75,C9,76:76)+100</f>
        <v>110</v>
      </c>
      <c r="G9" s="3086" t="s">
        <v>3307</v>
      </c>
      <c r="H9" s="131">
        <f>SUMIF(75:75,G9,76:76)-SUMIF(75:75,C9,76:76)+100</f>
        <v>110</v>
      </c>
      <c r="I9" s="3086" t="s">
        <v>3308</v>
      </c>
      <c r="J9" s="131">
        <f>SUMIF(75:75,I9,76:76)-SUMIF(75:75,C9,76:76)+100</f>
        <v>110</v>
      </c>
      <c r="K9" s="568"/>
      <c r="L9" s="2947"/>
      <c r="M9" s="2948"/>
      <c r="N9" s="2948"/>
      <c r="O9" s="3002"/>
      <c r="P9" s="3319" t="s">
        <v>2375</v>
      </c>
      <c r="Q9" s="1528" t="str">
        <f t="shared" ref="Q9:Q15" si="6">B9</f>
        <v>用途</v>
      </c>
      <c r="R9" s="710" t="s">
        <v>17</v>
      </c>
      <c r="S9" s="711">
        <f t="shared" si="0"/>
        <v>110</v>
      </c>
      <c r="T9" s="710" t="s">
        <v>17</v>
      </c>
      <c r="U9" s="711">
        <f t="shared" si="1"/>
        <v>110</v>
      </c>
      <c r="V9" s="710" t="s">
        <v>17</v>
      </c>
      <c r="W9" s="711">
        <f t="shared" si="2"/>
        <v>110</v>
      </c>
      <c r="X9" s="712"/>
      <c r="Y9" s="3213" t="s">
        <v>2376</v>
      </c>
      <c r="Z9" s="55" t="str">
        <f t="shared" ref="Z9:Z15" si="7">Q9</f>
        <v>用途</v>
      </c>
      <c r="AA9" s="713">
        <f t="shared" si="3"/>
        <v>0.90909090909090906</v>
      </c>
      <c r="AB9" s="713">
        <f t="shared" si="4"/>
        <v>0.90909090909090906</v>
      </c>
      <c r="AC9" s="713">
        <f t="shared" si="5"/>
        <v>0.90909090909090906</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9"/>
      <c r="M10" s="2950"/>
      <c r="N10" s="2950"/>
      <c r="O10" s="3003"/>
      <c r="P10" s="3319"/>
      <c r="Q10" s="1528" t="str">
        <f t="shared" si="6"/>
        <v>土地使用年限（年）</v>
      </c>
      <c r="R10" s="710" t="s">
        <v>17</v>
      </c>
      <c r="S10" s="711">
        <f t="shared" si="0"/>
        <v>103</v>
      </c>
      <c r="T10" s="710" t="s">
        <v>17</v>
      </c>
      <c r="U10" s="711">
        <f t="shared" si="1"/>
        <v>103</v>
      </c>
      <c r="V10" s="710" t="s">
        <v>17</v>
      </c>
      <c r="W10" s="711">
        <f t="shared" si="2"/>
        <v>103</v>
      </c>
      <c r="X10" s="712"/>
      <c r="Y10" s="3213"/>
      <c r="Z10" s="55" t="str">
        <f t="shared" si="7"/>
        <v>土地使用年限（年）</v>
      </c>
      <c r="AA10" s="713">
        <f t="shared" si="3"/>
        <v>0.970873786407767</v>
      </c>
      <c r="AB10" s="713">
        <f t="shared" si="4"/>
        <v>0.970873786407767</v>
      </c>
      <c r="AC10" s="713">
        <f t="shared" si="5"/>
        <v>0.970873786407767</v>
      </c>
    </row>
    <row r="11" spans="1:30" ht="15">
      <c r="A11" s="387"/>
      <c r="B11" s="381" t="s">
        <v>2378</v>
      </c>
      <c r="C11" s="388">
        <v>2.5</v>
      </c>
      <c r="D11" s="132">
        <v>100</v>
      </c>
      <c r="E11" s="388">
        <v>3</v>
      </c>
      <c r="F11" s="132">
        <f>LOOKUP(E11,80:80,81:81)-LOOKUP(C11,80:80,81:81)+100</f>
        <v>98</v>
      </c>
      <c r="G11" s="389">
        <v>2</v>
      </c>
      <c r="H11" s="132">
        <f>LOOKUP(G11,80:80,81:81)-LOOKUP(C11,80:80,81:81)+100</f>
        <v>100</v>
      </c>
      <c r="I11" s="388">
        <v>2</v>
      </c>
      <c r="J11" s="132">
        <f>LOOKUP(I11,80:80,81:81)-LOOKUP(C11,80:80,81:81)+100</f>
        <v>100</v>
      </c>
      <c r="K11" s="629">
        <v>2</v>
      </c>
      <c r="L11" s="2951"/>
      <c r="M11" s="2946"/>
      <c r="N11" s="2946"/>
      <c r="O11" s="3004"/>
      <c r="P11" s="3319"/>
      <c r="Q11" s="1528" t="str">
        <f t="shared" si="6"/>
        <v>容积率</v>
      </c>
      <c r="R11" s="710" t="s">
        <v>17</v>
      </c>
      <c r="S11" s="711">
        <f t="shared" si="0"/>
        <v>98</v>
      </c>
      <c r="T11" s="710" t="s">
        <v>17</v>
      </c>
      <c r="U11" s="711">
        <f t="shared" si="1"/>
        <v>100</v>
      </c>
      <c r="V11" s="710" t="s">
        <v>17</v>
      </c>
      <c r="W11" s="711">
        <f t="shared" si="2"/>
        <v>100</v>
      </c>
      <c r="X11" s="712"/>
      <c r="Y11" s="3213"/>
      <c r="Z11" s="55" t="str">
        <f t="shared" si="7"/>
        <v>容积率</v>
      </c>
      <c r="AA11" s="713">
        <f t="shared" si="3"/>
        <v>1.0204081632653061</v>
      </c>
      <c r="AB11" s="713">
        <f t="shared" si="4"/>
        <v>1</v>
      </c>
      <c r="AC11" s="713">
        <f t="shared" si="5"/>
        <v>1</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9"/>
      <c r="Q12" s="1528" t="str">
        <f t="shared" si="6"/>
        <v>配建</v>
      </c>
      <c r="R12" s="710" t="s">
        <v>17</v>
      </c>
      <c r="S12" s="711">
        <f t="shared" si="0"/>
        <v>100</v>
      </c>
      <c r="T12" s="710" t="s">
        <v>17</v>
      </c>
      <c r="U12" s="711">
        <f t="shared" si="1"/>
        <v>100</v>
      </c>
      <c r="V12" s="710" t="s">
        <v>17</v>
      </c>
      <c r="W12" s="711">
        <f t="shared" si="2"/>
        <v>100</v>
      </c>
      <c r="X12" s="712"/>
      <c r="Y12" s="3213"/>
      <c r="Z12" s="55" t="str">
        <f t="shared" si="7"/>
        <v>配建</v>
      </c>
      <c r="AA12" s="713">
        <f>D12/F12</f>
        <v>1</v>
      </c>
      <c r="AB12" s="713">
        <f>D12/H12</f>
        <v>1</v>
      </c>
      <c r="AC12" s="713">
        <f>D12/J12</f>
        <v>1</v>
      </c>
    </row>
    <row r="13" spans="1:30" ht="15">
      <c r="A13" s="387"/>
      <c r="B13" s="3088" t="s">
        <v>3310</v>
      </c>
      <c r="C13" s="393" t="s">
        <v>3309</v>
      </c>
      <c r="D13" s="394">
        <v>100</v>
      </c>
      <c r="E13" s="506" t="s">
        <v>3311</v>
      </c>
      <c r="F13" s="132">
        <f>SUMIF(84:84,E13,85:85)-SUMIF(84:84,C13,85:85)+100</f>
        <v>103</v>
      </c>
      <c r="G13" s="630" t="s">
        <v>3311</v>
      </c>
      <c r="H13" s="394">
        <f>SUMIF(84:84,G13,85:85)-SUMIF(84:84,C13,85:85)+100</f>
        <v>103</v>
      </c>
      <c r="I13" s="630" t="s">
        <v>3312</v>
      </c>
      <c r="J13" s="394">
        <f>SUMIF(84:84,I13,85:85)-SUMIF(84:84,C13,85:85)+100</f>
        <v>106</v>
      </c>
      <c r="K13" s="628"/>
      <c r="L13" s="2952"/>
      <c r="M13" s="2946"/>
      <c r="N13" s="2946"/>
      <c r="O13" s="3004"/>
      <c r="P13" s="3319"/>
      <c r="Q13" s="1528" t="str">
        <f t="shared" si="6"/>
        <v>溢价率</v>
      </c>
      <c r="R13" s="710" t="s">
        <v>17</v>
      </c>
      <c r="S13" s="711">
        <f t="shared" si="0"/>
        <v>103</v>
      </c>
      <c r="T13" s="710" t="s">
        <v>17</v>
      </c>
      <c r="U13" s="711">
        <f t="shared" si="1"/>
        <v>103</v>
      </c>
      <c r="V13" s="710" t="s">
        <v>17</v>
      </c>
      <c r="W13" s="711">
        <f t="shared" si="2"/>
        <v>106</v>
      </c>
      <c r="X13" s="712"/>
      <c r="Y13" s="3213"/>
      <c r="Z13" s="55" t="str">
        <f t="shared" si="7"/>
        <v>溢价率</v>
      </c>
      <c r="AA13" s="713">
        <f>D13/F13</f>
        <v>0.970873786407767</v>
      </c>
      <c r="AB13" s="713">
        <f>D13/H13</f>
        <v>0.970873786407767</v>
      </c>
      <c r="AC13" s="713">
        <f>D13/J13</f>
        <v>0.94339622641509435</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9"/>
      <c r="Q14" s="1528">
        <f t="shared" si="6"/>
        <v>111</v>
      </c>
      <c r="R14" s="710" t="s">
        <v>17</v>
      </c>
      <c r="S14" s="711">
        <f t="shared" si="0"/>
        <v>100</v>
      </c>
      <c r="T14" s="710" t="s">
        <v>17</v>
      </c>
      <c r="U14" s="711">
        <f t="shared" si="1"/>
        <v>100</v>
      </c>
      <c r="V14" s="710" t="s">
        <v>17</v>
      </c>
      <c r="W14" s="711">
        <f t="shared" si="2"/>
        <v>100</v>
      </c>
      <c r="X14" s="712"/>
      <c r="Y14" s="3213"/>
      <c r="Z14" s="55">
        <f t="shared" si="7"/>
        <v>111</v>
      </c>
      <c r="AA14" s="713">
        <f>D14/F14</f>
        <v>1</v>
      </c>
      <c r="AB14" s="713">
        <f>D14/H14</f>
        <v>1</v>
      </c>
      <c r="AC14" s="713">
        <f>D14/J14</f>
        <v>1</v>
      </c>
    </row>
    <row r="15" spans="1:30" ht="99.75">
      <c r="A15" s="399" t="s">
        <v>2379</v>
      </c>
      <c r="B15" s="65" t="s">
        <v>1945</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21" t="s">
        <v>2380</v>
      </c>
      <c r="Q15" s="1537" t="str">
        <f t="shared" si="6"/>
        <v>居住社区成熟度</v>
      </c>
      <c r="R15" s="714" t="s">
        <v>17</v>
      </c>
      <c r="S15" s="715">
        <f t="shared" si="0"/>
        <v>100</v>
      </c>
      <c r="T15" s="714" t="s">
        <v>17</v>
      </c>
      <c r="U15" s="715">
        <f t="shared" si="1"/>
        <v>100</v>
      </c>
      <c r="V15" s="714" t="s">
        <v>17</v>
      </c>
      <c r="W15" s="715">
        <f t="shared" si="2"/>
        <v>100</v>
      </c>
      <c r="X15" s="1540"/>
      <c r="Y15" s="3321" t="s">
        <v>2380</v>
      </c>
      <c r="Z15" s="1541" t="str">
        <f t="shared" si="7"/>
        <v>居住社区成熟度</v>
      </c>
      <c r="AA15" s="1538">
        <f t="shared" si="3"/>
        <v>1</v>
      </c>
      <c r="AB15" s="1538">
        <f t="shared" si="4"/>
        <v>1</v>
      </c>
      <c r="AC15" s="1538">
        <f t="shared" si="5"/>
        <v>1</v>
      </c>
    </row>
    <row r="16" spans="1:30" ht="15">
      <c r="A16" s="387"/>
      <c r="B16" s="405"/>
      <c r="C16" s="3089" t="s">
        <v>3314</v>
      </c>
      <c r="D16" s="407"/>
      <c r="E16" s="3090" t="s">
        <v>3314</v>
      </c>
      <c r="F16" s="407"/>
      <c r="G16" s="3090" t="s">
        <v>3314</v>
      </c>
      <c r="H16" s="409"/>
      <c r="I16" s="3091" t="s">
        <v>3314</v>
      </c>
      <c r="J16" s="407"/>
      <c r="K16" s="628"/>
      <c r="L16" s="2952"/>
      <c r="M16" s="2946"/>
      <c r="N16" s="2946"/>
      <c r="O16" s="3004"/>
      <c r="P16" s="3322"/>
      <c r="Q16" s="1537"/>
      <c r="R16" s="714"/>
      <c r="S16" s="715"/>
      <c r="T16" s="714"/>
      <c r="U16" s="715"/>
      <c r="V16" s="714"/>
      <c r="W16" s="715"/>
      <c r="X16" s="1540"/>
      <c r="Y16" s="3322"/>
      <c r="Z16" s="1541"/>
      <c r="AA16" s="1538">
        <v>1</v>
      </c>
      <c r="AB16" s="1538">
        <v>1</v>
      </c>
      <c r="AC16" s="1538">
        <v>1</v>
      </c>
    </row>
    <row r="17" spans="1:29" ht="71.25">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22"/>
      <c r="Q17" s="1537" t="str">
        <f>B17</f>
        <v>商业繁华度</v>
      </c>
      <c r="R17" s="714" t="s">
        <v>17</v>
      </c>
      <c r="S17" s="715">
        <f>F17</f>
        <v>100</v>
      </c>
      <c r="T17" s="714" t="s">
        <v>17</v>
      </c>
      <c r="U17" s="715">
        <f>H17</f>
        <v>100</v>
      </c>
      <c r="V17" s="714" t="s">
        <v>17</v>
      </c>
      <c r="W17" s="715">
        <f>J17</f>
        <v>100</v>
      </c>
      <c r="X17" s="1540"/>
      <c r="Y17" s="3322"/>
      <c r="Z17" s="1541" t="str">
        <f>Q17</f>
        <v>商业繁华度</v>
      </c>
      <c r="AA17" s="1538">
        <f t="shared" si="3"/>
        <v>1</v>
      </c>
      <c r="AB17" s="1538">
        <f t="shared" si="4"/>
        <v>1</v>
      </c>
      <c r="AC17" s="1538">
        <f t="shared" si="5"/>
        <v>1</v>
      </c>
    </row>
    <row r="18" spans="1:29" ht="15">
      <c r="A18" s="387"/>
      <c r="B18" s="415"/>
      <c r="C18" s="3092" t="s">
        <v>3314</v>
      </c>
      <c r="D18" s="409"/>
      <c r="E18" s="3093" t="s">
        <v>3314</v>
      </c>
      <c r="F18" s="409"/>
      <c r="G18" s="3093" t="s">
        <v>3314</v>
      </c>
      <c r="H18" s="407"/>
      <c r="I18" s="3094" t="s">
        <v>3314</v>
      </c>
      <c r="J18" s="407"/>
      <c r="K18" s="628"/>
      <c r="L18" s="2952"/>
      <c r="M18" s="2946"/>
      <c r="N18" s="2946"/>
      <c r="O18" s="3004"/>
      <c r="P18" s="3322"/>
      <c r="Q18" s="1537"/>
      <c r="R18" s="714"/>
      <c r="S18" s="715"/>
      <c r="T18" s="714"/>
      <c r="U18" s="715"/>
      <c r="V18" s="714"/>
      <c r="W18" s="715"/>
      <c r="X18" s="1540"/>
      <c r="Y18" s="3322"/>
      <c r="Z18" s="1541"/>
      <c r="AA18" s="1538">
        <v>1</v>
      </c>
      <c r="AB18" s="1538">
        <v>1</v>
      </c>
      <c r="AC18" s="1538">
        <v>1</v>
      </c>
    </row>
    <row r="19" spans="1:29" ht="71.25">
      <c r="A19" s="387"/>
      <c r="B19" s="410" t="s">
        <v>2507</v>
      </c>
      <c r="C19" s="2142" t="str">
        <f>估价对象房地状况!C17</f>
        <v>估价对象位于XX商圈，周边办公楼项目较多，入驻率高，办公集聚程度较好</v>
      </c>
      <c r="D19" s="414">
        <v>100</v>
      </c>
      <c r="E19" s="416"/>
      <c r="F19" s="414">
        <f>SUMIF(92:92,E20,93:93)-SUMIF(92:92,C20,93:93)+100</f>
        <v>103</v>
      </c>
      <c r="G19" s="416"/>
      <c r="H19" s="409">
        <f>SUMIF(92:92,G20,93:93)-SUMIF(92:92,C20,93:93)+100</f>
        <v>103</v>
      </c>
      <c r="I19" s="418"/>
      <c r="J19" s="409">
        <f>SUMIF(92:92,I20,93:93)-SUMIF(92:92,C20,93:93)+100</f>
        <v>103</v>
      </c>
      <c r="K19" s="629">
        <v>3</v>
      </c>
      <c r="L19" s="2952"/>
      <c r="M19" s="2946"/>
      <c r="N19" s="2946"/>
      <c r="O19" s="3004"/>
      <c r="P19" s="3322"/>
      <c r="Q19" s="1537" t="str">
        <f>B19</f>
        <v>办公集聚程度</v>
      </c>
      <c r="R19" s="714" t="s">
        <v>17</v>
      </c>
      <c r="S19" s="715">
        <f>F19</f>
        <v>103</v>
      </c>
      <c r="T19" s="714" t="s">
        <v>17</v>
      </c>
      <c r="U19" s="715">
        <f>H19</f>
        <v>103</v>
      </c>
      <c r="V19" s="714" t="s">
        <v>17</v>
      </c>
      <c r="W19" s="715">
        <f>J19</f>
        <v>103</v>
      </c>
      <c r="X19" s="1540"/>
      <c r="Y19" s="3322"/>
      <c r="Z19" s="1541" t="str">
        <f>Q19</f>
        <v>办公集聚程度</v>
      </c>
      <c r="AA19" s="1538">
        <f t="shared" si="3"/>
        <v>0.970873786407767</v>
      </c>
      <c r="AB19" s="1538">
        <f t="shared" si="4"/>
        <v>0.970873786407767</v>
      </c>
      <c r="AC19" s="1538">
        <f t="shared" si="5"/>
        <v>0.970873786407767</v>
      </c>
    </row>
    <row r="20" spans="1:29" ht="15">
      <c r="A20" s="387"/>
      <c r="B20" s="415"/>
      <c r="C20" s="406" t="s">
        <v>3334</v>
      </c>
      <c r="D20" s="407"/>
      <c r="E20" s="2085" t="s">
        <v>3335</v>
      </c>
      <c r="F20" s="407"/>
      <c r="G20" s="2085" t="s">
        <v>3335</v>
      </c>
      <c r="H20" s="407"/>
      <c r="I20" s="2084" t="s">
        <v>3335</v>
      </c>
      <c r="J20" s="407"/>
      <c r="K20" s="628"/>
      <c r="L20" s="2952"/>
      <c r="M20" s="2946"/>
      <c r="N20" s="2946"/>
      <c r="O20" s="3004"/>
      <c r="P20" s="3322"/>
      <c r="Q20" s="1537"/>
      <c r="R20" s="714"/>
      <c r="S20" s="715"/>
      <c r="T20" s="714"/>
      <c r="U20" s="715"/>
      <c r="V20" s="714"/>
      <c r="W20" s="715"/>
      <c r="X20" s="1540"/>
      <c r="Y20" s="3322"/>
      <c r="Z20" s="1541"/>
      <c r="AA20" s="1538">
        <v>1</v>
      </c>
      <c r="AB20" s="1538">
        <v>1</v>
      </c>
      <c r="AC20" s="1538">
        <v>1</v>
      </c>
    </row>
    <row r="21" spans="1:29" ht="85.5">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22"/>
      <c r="Q21" s="1537" t="str">
        <f>B21</f>
        <v>交通便捷度</v>
      </c>
      <c r="R21" s="714" t="s">
        <v>17</v>
      </c>
      <c r="S21" s="715">
        <f>F21</f>
        <v>100</v>
      </c>
      <c r="T21" s="714" t="s">
        <v>17</v>
      </c>
      <c r="U21" s="715">
        <f>H21</f>
        <v>100</v>
      </c>
      <c r="V21" s="714" t="s">
        <v>17</v>
      </c>
      <c r="W21" s="715">
        <f>J21</f>
        <v>100</v>
      </c>
      <c r="X21" s="1540"/>
      <c r="Y21" s="3322"/>
      <c r="Z21" s="1541" t="str">
        <f>Q21</f>
        <v>交通便捷度</v>
      </c>
      <c r="AA21" s="1538">
        <f t="shared" si="3"/>
        <v>1</v>
      </c>
      <c r="AB21" s="1538">
        <f t="shared" si="4"/>
        <v>1</v>
      </c>
      <c r="AC21" s="1538">
        <f t="shared" si="5"/>
        <v>1</v>
      </c>
    </row>
    <row r="22" spans="1:29" ht="15">
      <c r="A22" s="387"/>
      <c r="B22" s="1293"/>
      <c r="C22" s="3089" t="s">
        <v>3314</v>
      </c>
      <c r="D22" s="409"/>
      <c r="E22" s="3090" t="s">
        <v>3314</v>
      </c>
      <c r="F22" s="407"/>
      <c r="G22" s="3090" t="s">
        <v>3314</v>
      </c>
      <c r="H22" s="407"/>
      <c r="I22" s="3091" t="s">
        <v>3314</v>
      </c>
      <c r="J22" s="407"/>
      <c r="K22" s="628"/>
      <c r="L22" s="2952"/>
      <c r="M22" s="2946"/>
      <c r="N22" s="2946"/>
      <c r="O22" s="3004"/>
      <c r="P22" s="3322"/>
      <c r="Q22" s="1537"/>
      <c r="R22" s="714"/>
      <c r="S22" s="715"/>
      <c r="T22" s="714"/>
      <c r="U22" s="715"/>
      <c r="V22" s="714"/>
      <c r="W22" s="715"/>
      <c r="X22" s="1540"/>
      <c r="Y22" s="3322"/>
      <c r="Z22" s="1541"/>
      <c r="AA22" s="1538">
        <v>1</v>
      </c>
      <c r="AB22" s="1538">
        <v>1</v>
      </c>
      <c r="AC22" s="1538">
        <v>1</v>
      </c>
    </row>
    <row r="23" spans="1:29" ht="15">
      <c r="A23" s="364"/>
      <c r="B23" s="410" t="s">
        <v>2568</v>
      </c>
      <c r="C23" s="1298">
        <f>估价对象房地状况!C19</f>
        <v>0</v>
      </c>
      <c r="D23" s="414">
        <v>100</v>
      </c>
      <c r="E23" s="411"/>
      <c r="F23" s="414">
        <f>SUMIF(96:96,E24,97:97)-SUMIF(96:96,C24,97:97)+100</f>
        <v>103</v>
      </c>
      <c r="G23" s="413"/>
      <c r="H23" s="414">
        <f>SUMIF(96:96,G24,97:97)-SUMIF(96:96,C24,97:97)+100</f>
        <v>103</v>
      </c>
      <c r="I23" s="413"/>
      <c r="J23" s="414">
        <f>SUMIF(96:96,I24,97:97)-SUMIF(96:96,C24,97:97)+100</f>
        <v>103</v>
      </c>
      <c r="K23" s="629">
        <v>3</v>
      </c>
      <c r="L23" s="2952"/>
      <c r="M23" s="2946"/>
      <c r="N23" s="2946"/>
      <c r="O23" s="3004"/>
      <c r="P23" s="3322"/>
      <c r="Q23" s="1537" t="str">
        <f t="shared" ref="Q23:Q37" si="8">B23</f>
        <v>区域土地利用方向</v>
      </c>
      <c r="R23" s="714" t="s">
        <v>17</v>
      </c>
      <c r="S23" s="715">
        <f>F23</f>
        <v>103</v>
      </c>
      <c r="T23" s="714" t="s">
        <v>17</v>
      </c>
      <c r="U23" s="715">
        <f>H23</f>
        <v>103</v>
      </c>
      <c r="V23" s="714" t="s">
        <v>17</v>
      </c>
      <c r="W23" s="715">
        <f>J23</f>
        <v>103</v>
      </c>
      <c r="X23" s="1540"/>
      <c r="Y23" s="3322"/>
      <c r="Z23" s="1541" t="str">
        <f>Q23</f>
        <v>区域土地利用方向</v>
      </c>
      <c r="AA23" s="1538">
        <f t="shared" si="3"/>
        <v>0.970873786407767</v>
      </c>
      <c r="AB23" s="1538">
        <f t="shared" si="4"/>
        <v>0.970873786407767</v>
      </c>
      <c r="AC23" s="1538">
        <f t="shared" si="5"/>
        <v>0.970873786407767</v>
      </c>
    </row>
    <row r="24" spans="1:29" ht="15">
      <c r="A24" s="364"/>
      <c r="B24" s="415"/>
      <c r="C24" s="3095" t="s">
        <v>3334</v>
      </c>
      <c r="D24" s="407"/>
      <c r="E24" s="3090" t="s">
        <v>3315</v>
      </c>
      <c r="F24" s="407"/>
      <c r="G24" s="3091" t="s">
        <v>3315</v>
      </c>
      <c r="H24" s="407"/>
      <c r="I24" s="3091" t="s">
        <v>3315</v>
      </c>
      <c r="J24" s="407"/>
      <c r="K24" s="751"/>
      <c r="L24" s="2952"/>
      <c r="M24" s="2946"/>
      <c r="N24" s="2946"/>
      <c r="O24" s="3004"/>
      <c r="P24" s="3322"/>
      <c r="Q24" s="1537"/>
      <c r="R24" s="714"/>
      <c r="S24" s="715"/>
      <c r="T24" s="714"/>
      <c r="U24" s="715"/>
      <c r="V24" s="714"/>
      <c r="W24" s="715"/>
      <c r="X24" s="1540"/>
      <c r="Y24" s="3322"/>
      <c r="Z24" s="1541"/>
      <c r="AA24" s="1538"/>
      <c r="AB24" s="1538"/>
      <c r="AC24" s="1538"/>
    </row>
    <row r="25" spans="1:29" ht="57">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22"/>
      <c r="Q25" s="1537" t="str">
        <f t="shared" si="8"/>
        <v>自然及人文环境状况</v>
      </c>
      <c r="R25" s="714" t="s">
        <v>17</v>
      </c>
      <c r="S25" s="715">
        <f>F25</f>
        <v>100</v>
      </c>
      <c r="T25" s="714" t="s">
        <v>17</v>
      </c>
      <c r="U25" s="715">
        <f>H25</f>
        <v>100</v>
      </c>
      <c r="V25" s="714" t="s">
        <v>17</v>
      </c>
      <c r="W25" s="715">
        <f>J25</f>
        <v>100</v>
      </c>
      <c r="X25" s="1540"/>
      <c r="Y25" s="3322"/>
      <c r="Z25" s="1541" t="str">
        <f>Q25</f>
        <v>自然及人文环境状况</v>
      </c>
      <c r="AA25" s="1538">
        <f t="shared" si="3"/>
        <v>1</v>
      </c>
      <c r="AB25" s="1538">
        <f t="shared" si="4"/>
        <v>1</v>
      </c>
      <c r="AC25" s="1538">
        <f t="shared" si="5"/>
        <v>1</v>
      </c>
    </row>
    <row r="26" spans="1:29" ht="15">
      <c r="A26" s="364"/>
      <c r="B26" s="415"/>
      <c r="C26" s="3089" t="s">
        <v>3314</v>
      </c>
      <c r="D26" s="407"/>
      <c r="E26" s="3096" t="s">
        <v>3314</v>
      </c>
      <c r="F26" s="407"/>
      <c r="G26" s="3096" t="s">
        <v>3314</v>
      </c>
      <c r="H26" s="407"/>
      <c r="I26" s="3089" t="s">
        <v>3314</v>
      </c>
      <c r="J26" s="407"/>
      <c r="K26" s="628"/>
      <c r="L26" s="2952"/>
      <c r="M26" s="2946"/>
      <c r="N26" s="2946"/>
      <c r="O26" s="3004"/>
      <c r="P26" s="3322"/>
      <c r="Q26" s="1537"/>
      <c r="R26" s="714"/>
      <c r="S26" s="715"/>
      <c r="T26" s="714"/>
      <c r="U26" s="715"/>
      <c r="V26" s="714"/>
      <c r="W26" s="715"/>
      <c r="X26" s="1540"/>
      <c r="Y26" s="3322"/>
      <c r="Z26" s="1541"/>
      <c r="AA26" s="1538">
        <v>1</v>
      </c>
      <c r="AB26" s="1538">
        <v>1</v>
      </c>
      <c r="AC26" s="1538">
        <v>1</v>
      </c>
    </row>
    <row r="27" spans="1:29" s="113" customFormat="1" ht="42.75">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22"/>
      <c r="Q27" s="1528" t="str">
        <f t="shared" si="8"/>
        <v>公共配套设施</v>
      </c>
      <c r="R27" s="710" t="s">
        <v>17</v>
      </c>
      <c r="S27" s="711">
        <f>F27</f>
        <v>100</v>
      </c>
      <c r="T27" s="710" t="s">
        <v>17</v>
      </c>
      <c r="U27" s="711">
        <f>H27</f>
        <v>100</v>
      </c>
      <c r="V27" s="710" t="s">
        <v>17</v>
      </c>
      <c r="W27" s="711">
        <f>J27</f>
        <v>100</v>
      </c>
      <c r="X27" s="712"/>
      <c r="Y27" s="3322"/>
      <c r="Z27" s="55" t="str">
        <f>Q27</f>
        <v>公共配套设施</v>
      </c>
      <c r="AA27" s="1538">
        <f>D27/F27</f>
        <v>1</v>
      </c>
      <c r="AB27" s="1538">
        <f>D27/H27</f>
        <v>1</v>
      </c>
      <c r="AC27" s="1538">
        <f>D27/J27</f>
        <v>1</v>
      </c>
    </row>
    <row r="28" spans="1:29" s="113" customFormat="1" ht="15">
      <c r="A28" s="605"/>
      <c r="B28" s="415"/>
      <c r="C28" s="3097" t="s">
        <v>3314</v>
      </c>
      <c r="D28" s="407"/>
      <c r="E28" s="3096" t="s">
        <v>3314</v>
      </c>
      <c r="F28" s="407"/>
      <c r="G28" s="3096" t="s">
        <v>3314</v>
      </c>
      <c r="H28" s="407"/>
      <c r="I28" s="3089" t="s">
        <v>3314</v>
      </c>
      <c r="J28" s="407"/>
      <c r="K28" s="628"/>
      <c r="L28" s="2947"/>
      <c r="M28" s="2948"/>
      <c r="N28" s="2948"/>
      <c r="O28" s="3002"/>
      <c r="P28" s="3322"/>
      <c r="Q28" s="1528"/>
      <c r="R28" s="710"/>
      <c r="S28" s="711"/>
      <c r="T28" s="710"/>
      <c r="U28" s="711"/>
      <c r="V28" s="710"/>
      <c r="W28" s="711"/>
      <c r="X28" s="712"/>
      <c r="Y28" s="3322"/>
      <c r="Z28" s="55"/>
      <c r="AA28" s="1538">
        <v>1</v>
      </c>
      <c r="AB28" s="1538">
        <v>1</v>
      </c>
      <c r="AC28" s="1538">
        <v>1</v>
      </c>
    </row>
    <row r="29" spans="1:29" s="113" customFormat="1" ht="28.5">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22"/>
      <c r="Q29" s="1528" t="str">
        <f>B29</f>
        <v>基础设施水平</v>
      </c>
      <c r="R29" s="710" t="s">
        <v>17</v>
      </c>
      <c r="S29" s="711">
        <f>F29</f>
        <v>100</v>
      </c>
      <c r="T29" s="710" t="s">
        <v>17</v>
      </c>
      <c r="U29" s="711">
        <f>H29</f>
        <v>100</v>
      </c>
      <c r="V29" s="710" t="s">
        <v>17</v>
      </c>
      <c r="W29" s="711">
        <f>J29</f>
        <v>100</v>
      </c>
      <c r="X29" s="712"/>
      <c r="Y29" s="3322"/>
      <c r="Z29" s="55" t="str">
        <f>Q29</f>
        <v>基础设施水平</v>
      </c>
      <c r="AA29" s="1538">
        <f>D29/F29</f>
        <v>1</v>
      </c>
      <c r="AB29" s="1538">
        <f>D29/H29</f>
        <v>1</v>
      </c>
      <c r="AC29" s="1538">
        <f>D29/J29</f>
        <v>1</v>
      </c>
    </row>
    <row r="30" spans="1:29" s="113" customFormat="1" ht="15">
      <c r="A30" s="605"/>
      <c r="B30" s="415"/>
      <c r="C30" s="3097" t="s">
        <v>3316</v>
      </c>
      <c r="D30" s="407"/>
      <c r="E30" s="3098" t="s">
        <v>3316</v>
      </c>
      <c r="F30" s="407"/>
      <c r="G30" s="3098" t="s">
        <v>3317</v>
      </c>
      <c r="H30" s="407"/>
      <c r="I30" s="3098" t="s">
        <v>3317</v>
      </c>
      <c r="J30" s="407"/>
      <c r="K30" s="628"/>
      <c r="L30" s="2947"/>
      <c r="M30" s="2948"/>
      <c r="N30" s="2948"/>
      <c r="O30" s="3002"/>
      <c r="P30" s="3322"/>
      <c r="Q30" s="1528"/>
      <c r="R30" s="710"/>
      <c r="S30" s="711"/>
      <c r="T30" s="710"/>
      <c r="U30" s="711"/>
      <c r="V30" s="710"/>
      <c r="W30" s="711"/>
      <c r="X30" s="712"/>
      <c r="Y30" s="3322"/>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22"/>
      <c r="Q31" s="1537" t="str">
        <f t="shared" si="8"/>
        <v>临街状况</v>
      </c>
      <c r="R31" s="714" t="s">
        <v>17</v>
      </c>
      <c r="S31" s="715">
        <f t="shared" ref="S31:S45" si="9">F31</f>
        <v>100</v>
      </c>
      <c r="T31" s="714" t="s">
        <v>17</v>
      </c>
      <c r="U31" s="715">
        <f t="shared" ref="U31:U45" si="10">H31</f>
        <v>100</v>
      </c>
      <c r="V31" s="714" t="s">
        <v>17</v>
      </c>
      <c r="W31" s="715">
        <f t="shared" ref="W31:W45" si="11">J31</f>
        <v>100</v>
      </c>
      <c r="X31" s="1540"/>
      <c r="Y31" s="3322"/>
      <c r="Z31" s="1541" t="str">
        <f t="shared" ref="Z31:Z45" si="12">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22"/>
      <c r="Q32" s="1537" t="str">
        <f t="shared" si="8"/>
        <v>毗邻道路的类型与等级</v>
      </c>
      <c r="R32" s="714" t="s">
        <v>17</v>
      </c>
      <c r="S32" s="715">
        <f t="shared" si="9"/>
        <v>100</v>
      </c>
      <c r="T32" s="714" t="s">
        <v>17</v>
      </c>
      <c r="U32" s="715">
        <f t="shared" si="10"/>
        <v>100</v>
      </c>
      <c r="V32" s="714" t="s">
        <v>17</v>
      </c>
      <c r="W32" s="715">
        <f t="shared" si="11"/>
        <v>100</v>
      </c>
      <c r="X32" s="1540"/>
      <c r="Y32" s="3322"/>
      <c r="Z32" s="1541" t="str">
        <f t="shared" si="12"/>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22"/>
      <c r="Q33" s="1537"/>
      <c r="R33" s="714"/>
      <c r="S33" s="715"/>
      <c r="T33" s="714"/>
      <c r="U33" s="715"/>
      <c r="V33" s="714"/>
      <c r="W33" s="715"/>
      <c r="X33" s="1540"/>
      <c r="Y33" s="3322"/>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22"/>
      <c r="Q34" s="1537" t="str">
        <f t="shared" si="8"/>
        <v>土地级别</v>
      </c>
      <c r="R34" s="714" t="s">
        <v>17</v>
      </c>
      <c r="S34" s="715">
        <f t="shared" si="9"/>
        <v>100</v>
      </c>
      <c r="T34" s="714" t="s">
        <v>17</v>
      </c>
      <c r="U34" s="715">
        <f t="shared" si="10"/>
        <v>100</v>
      </c>
      <c r="V34" s="714" t="s">
        <v>17</v>
      </c>
      <c r="W34" s="715">
        <f t="shared" si="11"/>
        <v>100</v>
      </c>
      <c r="X34" s="1540"/>
      <c r="Y34" s="3322"/>
      <c r="Z34" s="1541" t="str">
        <f t="shared" si="12"/>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22"/>
      <c r="Q35" s="1537">
        <f t="shared" si="8"/>
        <v>111</v>
      </c>
      <c r="R35" s="714" t="s">
        <v>17</v>
      </c>
      <c r="S35" s="715">
        <f t="shared" si="9"/>
        <v>100</v>
      </c>
      <c r="T35" s="714" t="s">
        <v>17</v>
      </c>
      <c r="U35" s="715">
        <f t="shared" si="10"/>
        <v>100</v>
      </c>
      <c r="V35" s="714" t="s">
        <v>17</v>
      </c>
      <c r="W35" s="715">
        <f t="shared" si="11"/>
        <v>100</v>
      </c>
      <c r="X35" s="1540"/>
      <c r="Y35" s="3322"/>
      <c r="Z35" s="1541">
        <f t="shared" si="12"/>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23" t="s">
        <v>2385</v>
      </c>
      <c r="Q36" s="1537">
        <f t="shared" si="8"/>
        <v>111</v>
      </c>
      <c r="R36" s="714" t="s">
        <v>17</v>
      </c>
      <c r="S36" s="715">
        <f t="shared" si="9"/>
        <v>100</v>
      </c>
      <c r="T36" s="714" t="s">
        <v>17</v>
      </c>
      <c r="U36" s="715">
        <f t="shared" si="10"/>
        <v>100</v>
      </c>
      <c r="V36" s="714" t="s">
        <v>17</v>
      </c>
      <c r="W36" s="715">
        <f t="shared" si="11"/>
        <v>100</v>
      </c>
      <c r="X36" s="1540"/>
      <c r="Y36" s="3324" t="s">
        <v>2385</v>
      </c>
      <c r="Z36" s="1541">
        <f t="shared" si="12"/>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24"/>
      <c r="Q37" s="1537">
        <f t="shared" si="8"/>
        <v>111</v>
      </c>
      <c r="R37" s="717" t="s">
        <v>17</v>
      </c>
      <c r="S37" s="718">
        <f t="shared" si="9"/>
        <v>100</v>
      </c>
      <c r="T37" s="717" t="s">
        <v>17</v>
      </c>
      <c r="U37" s="718">
        <f t="shared" si="10"/>
        <v>100</v>
      </c>
      <c r="V37" s="717" t="s">
        <v>17</v>
      </c>
      <c r="W37" s="718">
        <f t="shared" si="11"/>
        <v>100</v>
      </c>
      <c r="X37" s="719"/>
      <c r="Y37" s="3324"/>
      <c r="Z37" s="720">
        <f t="shared" si="12"/>
        <v>111</v>
      </c>
      <c r="AA37" s="1538">
        <f t="shared" si="3"/>
        <v>1</v>
      </c>
      <c r="AB37" s="1538">
        <f t="shared" si="4"/>
        <v>1</v>
      </c>
      <c r="AC37" s="1538">
        <f t="shared" si="5"/>
        <v>1</v>
      </c>
    </row>
    <row r="38" spans="1:29" ht="15">
      <c r="A38" s="431" t="s">
        <v>2383</v>
      </c>
      <c r="B38" s="415" t="s">
        <v>2571</v>
      </c>
      <c r="C38" s="635">
        <f>'数据-基础表'!A3</f>
        <v>49477.2</v>
      </c>
      <c r="D38" s="426">
        <v>100</v>
      </c>
      <c r="E38" s="635">
        <f>Sheet2!D22</f>
        <v>39744.120000000003</v>
      </c>
      <c r="F38" s="426">
        <f>LOOKUP(E38,117:117,118:118)-LOOKUP(C38,117:117,118:118)+100</f>
        <v>98</v>
      </c>
      <c r="G38" s="635">
        <f>Sheet2!D26</f>
        <v>46165.91</v>
      </c>
      <c r="H38" s="426">
        <f>LOOKUP(G38,117:117,118:118)-LOOKUP(C38,117:117,118:118)+100</f>
        <v>100</v>
      </c>
      <c r="I38" s="487">
        <f>Sheet2!D27</f>
        <v>38100</v>
      </c>
      <c r="J38" s="426">
        <f>LOOKUP(I38,117:117,118:118)-LOOKUP(C38,117:117,118:118)+100</f>
        <v>98</v>
      </c>
      <c r="K38" s="570"/>
      <c r="L38" s="2952"/>
      <c r="M38" s="2946"/>
      <c r="N38" s="2946"/>
      <c r="O38" s="3004"/>
      <c r="P38" s="3324"/>
      <c r="Q38" s="1537" t="str">
        <f>B38</f>
        <v>宗地面积</v>
      </c>
      <c r="R38" s="714" t="s">
        <v>17</v>
      </c>
      <c r="S38" s="715">
        <f t="shared" si="9"/>
        <v>98</v>
      </c>
      <c r="T38" s="714" t="s">
        <v>17</v>
      </c>
      <c r="U38" s="715">
        <f t="shared" si="10"/>
        <v>100</v>
      </c>
      <c r="V38" s="714" t="s">
        <v>17</v>
      </c>
      <c r="W38" s="715">
        <f t="shared" si="11"/>
        <v>98</v>
      </c>
      <c r="X38" s="1540"/>
      <c r="Y38" s="3324"/>
      <c r="Z38" s="1541" t="str">
        <f t="shared" si="12"/>
        <v>宗地面积</v>
      </c>
      <c r="AA38" s="1538">
        <f t="shared" si="3"/>
        <v>1.0204081632653061</v>
      </c>
      <c r="AB38" s="1538">
        <f t="shared" si="4"/>
        <v>1</v>
      </c>
      <c r="AC38" s="1538">
        <f t="shared" si="5"/>
        <v>1.0204081632653061</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24"/>
      <c r="Q39" s="1537" t="str">
        <f t="shared" ref="Q39:Q45" si="13">B39</f>
        <v>宗地形状</v>
      </c>
      <c r="R39" s="714" t="s">
        <v>17</v>
      </c>
      <c r="S39" s="715">
        <f t="shared" si="9"/>
        <v>100</v>
      </c>
      <c r="T39" s="714" t="s">
        <v>17</v>
      </c>
      <c r="U39" s="715">
        <f t="shared" si="10"/>
        <v>100</v>
      </c>
      <c r="V39" s="714" t="s">
        <v>17</v>
      </c>
      <c r="W39" s="715">
        <f t="shared" si="11"/>
        <v>100</v>
      </c>
      <c r="X39" s="1540"/>
      <c r="Y39" s="3324"/>
      <c r="Z39" s="1541" t="str">
        <f t="shared" si="12"/>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24"/>
      <c r="Q40" s="1537" t="str">
        <f t="shared" si="13"/>
        <v>临街宽度及深度</v>
      </c>
      <c r="R40" s="714" t="s">
        <v>17</v>
      </c>
      <c r="S40" s="715">
        <f t="shared" si="9"/>
        <v>100</v>
      </c>
      <c r="T40" s="714" t="s">
        <v>17</v>
      </c>
      <c r="U40" s="715">
        <f t="shared" si="10"/>
        <v>100</v>
      </c>
      <c r="V40" s="714" t="s">
        <v>17</v>
      </c>
      <c r="W40" s="715">
        <f t="shared" si="11"/>
        <v>100</v>
      </c>
      <c r="X40" s="1540"/>
      <c r="Y40" s="3324"/>
      <c r="Z40" s="1541" t="str">
        <f t="shared" si="12"/>
        <v>临街宽度及深度</v>
      </c>
      <c r="AA40" s="1538">
        <f t="shared" si="3"/>
        <v>1</v>
      </c>
      <c r="AB40" s="1538">
        <f t="shared" si="4"/>
        <v>1</v>
      </c>
      <c r="AC40" s="1538">
        <f t="shared" si="5"/>
        <v>1</v>
      </c>
    </row>
    <row r="41" spans="1:29" s="113" customFormat="1" ht="15">
      <c r="A41" s="432"/>
      <c r="B41" s="381" t="s">
        <v>2574</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24"/>
      <c r="Q41" s="1537" t="str">
        <f t="shared" si="13"/>
        <v>宗地开发程度</v>
      </c>
      <c r="R41" s="710" t="s">
        <v>17</v>
      </c>
      <c r="S41" s="711">
        <f t="shared" si="9"/>
        <v>100</v>
      </c>
      <c r="T41" s="710" t="s">
        <v>17</v>
      </c>
      <c r="U41" s="711">
        <f t="shared" si="10"/>
        <v>100</v>
      </c>
      <c r="V41" s="710" t="s">
        <v>17</v>
      </c>
      <c r="W41" s="711">
        <f t="shared" si="11"/>
        <v>100</v>
      </c>
      <c r="X41" s="712"/>
      <c r="Y41" s="3324"/>
      <c r="Z41" s="55" t="str">
        <f t="shared" si="12"/>
        <v>宗地开发程度</v>
      </c>
      <c r="AA41" s="713">
        <f t="shared" si="3"/>
        <v>1</v>
      </c>
      <c r="AB41" s="713">
        <f t="shared" si="4"/>
        <v>1</v>
      </c>
      <c r="AC41" s="713">
        <f t="shared" si="5"/>
        <v>1</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24" t="s">
        <v>2385</v>
      </c>
      <c r="Q42" s="1537" t="str">
        <f t="shared" si="13"/>
        <v>工程地质条件</v>
      </c>
      <c r="R42" s="714" t="s">
        <v>17</v>
      </c>
      <c r="S42" s="715">
        <f t="shared" si="9"/>
        <v>100</v>
      </c>
      <c r="T42" s="714" t="s">
        <v>17</v>
      </c>
      <c r="U42" s="715">
        <f t="shared" si="10"/>
        <v>100</v>
      </c>
      <c r="V42" s="714" t="s">
        <v>17</v>
      </c>
      <c r="W42" s="715">
        <f t="shared" si="11"/>
        <v>100</v>
      </c>
      <c r="X42" s="1540"/>
      <c r="Y42" s="3324" t="s">
        <v>2385</v>
      </c>
      <c r="Z42" s="1541" t="str">
        <f t="shared" si="12"/>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24"/>
      <c r="Q43" s="1537">
        <f t="shared" si="13"/>
        <v>111</v>
      </c>
      <c r="R43" s="714" t="s">
        <v>17</v>
      </c>
      <c r="S43" s="715">
        <f t="shared" si="9"/>
        <v>100</v>
      </c>
      <c r="T43" s="714" t="s">
        <v>17</v>
      </c>
      <c r="U43" s="715">
        <f t="shared" si="10"/>
        <v>100</v>
      </c>
      <c r="V43" s="714" t="s">
        <v>17</v>
      </c>
      <c r="W43" s="715">
        <f t="shared" si="11"/>
        <v>100</v>
      </c>
      <c r="X43" s="1540"/>
      <c r="Y43" s="3324"/>
      <c r="Z43" s="1541">
        <f t="shared" si="12"/>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24"/>
      <c r="Q44" s="1537">
        <f t="shared" si="13"/>
        <v>111</v>
      </c>
      <c r="R44" s="714" t="s">
        <v>17</v>
      </c>
      <c r="S44" s="715">
        <f t="shared" si="9"/>
        <v>100</v>
      </c>
      <c r="T44" s="714" t="s">
        <v>17</v>
      </c>
      <c r="U44" s="715">
        <f t="shared" si="10"/>
        <v>100</v>
      </c>
      <c r="V44" s="714" t="s">
        <v>17</v>
      </c>
      <c r="W44" s="715">
        <f t="shared" si="11"/>
        <v>100</v>
      </c>
      <c r="X44" s="1540"/>
      <c r="Y44" s="3324"/>
      <c r="Z44" s="1541">
        <f t="shared" si="12"/>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24"/>
      <c r="Q45" s="1537">
        <f t="shared" si="13"/>
        <v>111</v>
      </c>
      <c r="R45" s="717" t="s">
        <v>17</v>
      </c>
      <c r="S45" s="718">
        <f t="shared" si="9"/>
        <v>100</v>
      </c>
      <c r="T45" s="717" t="s">
        <v>17</v>
      </c>
      <c r="U45" s="718">
        <f t="shared" si="10"/>
        <v>100</v>
      </c>
      <c r="V45" s="717" t="s">
        <v>17</v>
      </c>
      <c r="W45" s="718">
        <f t="shared" si="11"/>
        <v>100</v>
      </c>
      <c r="X45" s="719"/>
      <c r="Y45" s="3324"/>
      <c r="Z45" s="720">
        <f t="shared" si="12"/>
        <v>111</v>
      </c>
      <c r="AA45" s="1538">
        <f t="shared" si="3"/>
        <v>1</v>
      </c>
      <c r="AB45" s="1538">
        <f t="shared" si="4"/>
        <v>1</v>
      </c>
      <c r="AC45" s="1538">
        <f t="shared" si="5"/>
        <v>1</v>
      </c>
    </row>
    <row r="46" spans="1:29" ht="15">
      <c r="A46" s="438" t="s">
        <v>2540</v>
      </c>
      <c r="B46" s="2169" t="s">
        <v>2576</v>
      </c>
      <c r="C46" s="638" t="s">
        <v>1</v>
      </c>
      <c r="D46" s="440"/>
      <c r="E46" s="441">
        <v>24490</v>
      </c>
      <c r="F46" s="442"/>
      <c r="G46" s="443">
        <v>24369</v>
      </c>
      <c r="H46" s="444"/>
      <c r="I46" s="441">
        <v>26772</v>
      </c>
      <c r="J46" s="444"/>
      <c r="K46" s="723"/>
      <c r="L46" s="2954"/>
      <c r="M46" s="2955"/>
      <c r="N46" s="2946"/>
      <c r="O46" s="2955"/>
      <c r="P46" s="3319" t="str">
        <f>A46</f>
        <v>成交单价</v>
      </c>
      <c r="Q46" s="3319"/>
      <c r="R46" s="3325">
        <f>E46</f>
        <v>24490</v>
      </c>
      <c r="S46" s="3325"/>
      <c r="T46" s="3325">
        <f>G46</f>
        <v>24369</v>
      </c>
      <c r="U46" s="3325"/>
      <c r="V46" s="3325">
        <f>I46</f>
        <v>26772</v>
      </c>
      <c r="W46" s="3325"/>
      <c r="X46" s="699"/>
      <c r="Y46" s="721"/>
      <c r="Z46" s="699"/>
      <c r="AA46" s="699"/>
      <c r="AB46" s="699"/>
      <c r="AC46" s="699"/>
    </row>
    <row r="47" spans="1:29" ht="15.75" thickBot="1">
      <c r="A47" s="445" t="s">
        <v>2489</v>
      </c>
      <c r="B47" s="639"/>
      <c r="C47" s="448">
        <f>R48</f>
        <v>21521</v>
      </c>
      <c r="D47" s="2539" t="s">
        <v>2879</v>
      </c>
      <c r="E47" s="448">
        <f>R47</f>
        <v>21500</v>
      </c>
      <c r="F47" s="2540"/>
      <c r="G47" s="447">
        <f>T47</f>
        <v>20611</v>
      </c>
      <c r="H47" s="2540"/>
      <c r="I47" s="448">
        <f>V47</f>
        <v>22451</v>
      </c>
      <c r="J47" s="2540"/>
      <c r="K47" s="2542">
        <f>F47+H47+J47</f>
        <v>0</v>
      </c>
      <c r="L47" s="2954"/>
      <c r="M47" s="2955"/>
      <c r="N47" s="2955"/>
      <c r="O47" s="2955"/>
      <c r="P47" s="3319" t="str">
        <f>A47</f>
        <v>比较价值（元/平方米）</v>
      </c>
      <c r="Q47" s="3319"/>
      <c r="R47" s="3312">
        <f>ROUND(PRODUCT(R46,AA7:AA45),0)</f>
        <v>21500</v>
      </c>
      <c r="S47" s="3312"/>
      <c r="T47" s="3312">
        <f>ROUND(PRODUCT(T46,AB7:AB45),0)</f>
        <v>20611</v>
      </c>
      <c r="U47" s="3312"/>
      <c r="V47" s="3312">
        <f>ROUND(PRODUCT(V46,AC7:AC45),0)</f>
        <v>22451</v>
      </c>
      <c r="W47" s="3312"/>
      <c r="X47" s="699"/>
      <c r="Y47" s="699"/>
      <c r="Z47" s="699"/>
      <c r="AA47" s="699"/>
      <c r="AB47" s="699"/>
      <c r="AC47" s="699"/>
    </row>
    <row r="48" spans="1:29" ht="15.75" thickBot="1">
      <c r="A48" s="449" t="s">
        <v>2577</v>
      </c>
      <c r="B48" s="450"/>
      <c r="C48" s="451">
        <f>R48</f>
        <v>21521</v>
      </c>
      <c r="D48" s="451"/>
      <c r="E48" s="451"/>
      <c r="F48" s="451"/>
      <c r="G48" s="451"/>
      <c r="H48" s="451"/>
      <c r="I48" s="451"/>
      <c r="J48" s="451"/>
      <c r="K48" s="724"/>
      <c r="L48" s="2954"/>
      <c r="M48" s="2955"/>
      <c r="N48" s="2955"/>
      <c r="O48" s="2955"/>
      <c r="P48" s="3313" t="str">
        <f>A48</f>
        <v>估价对象XX用房的比较价值（楼面单价，元/平方米）</v>
      </c>
      <c r="Q48" s="3314"/>
      <c r="R48" s="3315">
        <f>ROUND(IF(D47="简单平均",AVERAGE(R47:W47),R47*F47+T47*H47+V47*J47),0)</f>
        <v>21521</v>
      </c>
      <c r="S48" s="3315"/>
      <c r="T48" s="3315"/>
      <c r="U48" s="3315"/>
      <c r="V48" s="3315"/>
      <c r="W48" s="3315"/>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f>IF(E46&lt;E47,E47/E46-1,E46/E47-1)</f>
        <v>0.13906976744186039</v>
      </c>
      <c r="F51" s="457" t="str">
        <f>IF(OR(E51&gt;=0.3,E51&lt;=-0.3),"超过30%","")</f>
        <v/>
      </c>
      <c r="G51" s="456">
        <f>IF(G46&lt;G47,G47/G46-1,G46/G47-1)</f>
        <v>0.18232982388045227</v>
      </c>
      <c r="H51" s="457" t="str">
        <f>IF(OR(G51&gt;=0.3,G51&lt;=-0.3),"超过30%","")</f>
        <v/>
      </c>
      <c r="I51" s="456">
        <f>IF(I46&lt;I47,I47/I46-1,I46/I47-1)</f>
        <v>0.19246358736804603</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f>IF(E47&lt;G47,G47/E47-1,E47/G47-1)</f>
        <v>4.3132307990878749E-2</v>
      </c>
      <c r="F52" s="457" t="str">
        <f>IF(OR(E52&gt;=0.2,E52&lt;=-0.2),"超过20%","")</f>
        <v/>
      </c>
      <c r="G52" s="456">
        <f>IF(G47&lt;I47,I47/G47-1,G47/I47-1)</f>
        <v>8.9272718451312461E-2</v>
      </c>
      <c r="H52" s="457" t="str">
        <f>IF(OR(G52&gt;=0.2,G52&lt;=-0.2),"超过20%","")</f>
        <v/>
      </c>
      <c r="I52" s="456">
        <f>IF(I47&lt;E47,E47/I47-1,I47/E47-1)</f>
        <v>4.4232558139534861E-2</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f>IF(E46&lt;G46,G46/E46-1,E46/G46-1)</f>
        <v>4.9653247978989068E-3</v>
      </c>
      <c r="F53" s="457" t="str">
        <f>IF(OR(E53&gt;=0.3,E53&lt;=-0.3),"超过30%","")</f>
        <v/>
      </c>
      <c r="G53" s="456">
        <f>IF(G46&lt;I46,I46/G46-1,G46/I46-1)</f>
        <v>9.8608888341745748E-2</v>
      </c>
      <c r="H53" s="457" t="str">
        <f>IF(OR(G53&gt;=0.3,G53&lt;=-0.3),"超过30%","")</f>
        <v/>
      </c>
      <c r="I53" s="456">
        <f>IF(I46&lt;E46,E46/I46-1,I46/E46-1)</f>
        <v>9.3180890159248575E-2</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316" t="s">
        <v>2584</v>
      </c>
      <c r="H55" s="3317"/>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f>C48</f>
        <v>21521</v>
      </c>
      <c r="C56" s="646">
        <v>1</v>
      </c>
      <c r="D56" s="1075">
        <v>1</v>
      </c>
      <c r="E56" s="646">
        <f>'数据-汇总表'!E8+'数据-汇总表'!E9</f>
        <v>122781.64</v>
      </c>
      <c r="F56" s="1017">
        <f t="shared" ref="F56:F65" si="14">ROUND(B56*E56/10000,0)</f>
        <v>264238</v>
      </c>
      <c r="G56" s="3318"/>
      <c r="H56" s="331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f>ROUND($C$48*C57*D57,0)</f>
        <v>3228</v>
      </c>
      <c r="C57" s="176">
        <f t="shared" ref="C57:C65" si="15">IF($C$55="北京市系数",I57,J57)</f>
        <v>0.6</v>
      </c>
      <c r="D57" s="1076">
        <v>0.25</v>
      </c>
      <c r="E57" s="650">
        <f>'数据-基础表'!M13+'数据-基础表'!M14</f>
        <v>1895.3900000000006</v>
      </c>
      <c r="F57" s="1017">
        <f t="shared" si="14"/>
        <v>612</v>
      </c>
      <c r="G57" s="3320" t="s">
        <v>2589</v>
      </c>
      <c r="H57" s="1018" t="str">
        <f>项目基本情况!B37</f>
        <v>八级</v>
      </c>
      <c r="I57" s="1022">
        <f>SUMIF(修正!A45:A56,H57,修正!B45:B56)</f>
        <v>0.6</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f t="shared" ref="B58:B65" si="16">ROUND($C$48*C58*D58,0)</f>
        <v>1614</v>
      </c>
      <c r="C58" s="176">
        <f t="shared" si="15"/>
        <v>0.3</v>
      </c>
      <c r="D58" s="1076">
        <v>0.25</v>
      </c>
      <c r="E58" s="650"/>
      <c r="F58" s="1017">
        <f t="shared" si="14"/>
        <v>0</v>
      </c>
      <c r="G58" s="3320"/>
      <c r="H58" s="1018" t="str">
        <f>项目基本情况!B37</f>
        <v>八级</v>
      </c>
      <c r="I58" s="1022">
        <f>SUMIF(修正!A45:A56,H58,修正!C45:C56)</f>
        <v>0.3</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f t="shared" si="16"/>
        <v>1076</v>
      </c>
      <c r="C59" s="176">
        <f t="shared" si="15"/>
        <v>0.2</v>
      </c>
      <c r="D59" s="1076">
        <v>0.25</v>
      </c>
      <c r="E59" s="650"/>
      <c r="F59" s="1017">
        <f t="shared" si="14"/>
        <v>0</v>
      </c>
      <c r="G59" s="3320"/>
      <c r="H59" s="1018" t="str">
        <f>项目基本情况!B37</f>
        <v>八级</v>
      </c>
      <c r="I59" s="1022">
        <f>SUMIF(修正!A45:A56,H59,修正!D45:D56)</f>
        <v>0.2</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f t="shared" si="16"/>
        <v>1076</v>
      </c>
      <c r="C60" s="176">
        <f t="shared" si="15"/>
        <v>0.2</v>
      </c>
      <c r="D60" s="1076">
        <v>0.25</v>
      </c>
      <c r="E60" s="650"/>
      <c r="F60" s="1017">
        <f t="shared" si="14"/>
        <v>0</v>
      </c>
      <c r="G60" s="3320"/>
      <c r="H60" s="1018" t="str">
        <f>项目基本情况!B37</f>
        <v>八级</v>
      </c>
      <c r="I60" s="1022">
        <f>SUMIF(修正!A45:A56,H60,修正!E45:E56)</f>
        <v>0.2</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f t="shared" si="16"/>
        <v>1076</v>
      </c>
      <c r="C61" s="176">
        <f t="shared" si="15"/>
        <v>0.2</v>
      </c>
      <c r="D61" s="1076">
        <v>0.25</v>
      </c>
      <c r="E61" s="223">
        <f>'数据-汇总表'!E11</f>
        <v>0</v>
      </c>
      <c r="F61" s="1017">
        <f t="shared" si="14"/>
        <v>0</v>
      </c>
      <c r="G61" s="2174" t="s">
        <v>2594</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f t="shared" si="16"/>
        <v>1076</v>
      </c>
      <c r="C62" s="176">
        <f t="shared" si="15"/>
        <v>0.2</v>
      </c>
      <c r="D62" s="1076">
        <v>0.25</v>
      </c>
      <c r="E62" s="223">
        <f>'数据-汇总表'!E12</f>
        <v>0</v>
      </c>
      <c r="F62" s="1017">
        <f t="shared" si="14"/>
        <v>0</v>
      </c>
      <c r="G62" s="1023" t="s">
        <v>27</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f t="shared" si="16"/>
        <v>0</v>
      </c>
      <c r="C63" s="176">
        <f t="shared" si="15"/>
        <v>0</v>
      </c>
      <c r="D63" s="1076">
        <v>0.25</v>
      </c>
      <c r="E63" s="223">
        <f>'数据-汇总表'!E13</f>
        <v>0</v>
      </c>
      <c r="F63" s="1017">
        <f t="shared" si="14"/>
        <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f t="shared" si="16"/>
        <v>807</v>
      </c>
      <c r="C64" s="176">
        <f t="shared" si="15"/>
        <v>0.15</v>
      </c>
      <c r="D64" s="1076">
        <v>0.25</v>
      </c>
      <c r="E64" s="223">
        <f>'数据-汇总表'!E14</f>
        <v>0</v>
      </c>
      <c r="F64" s="1017">
        <f t="shared" si="14"/>
        <v>0</v>
      </c>
      <c r="G64" s="2174" t="s">
        <v>2589</v>
      </c>
      <c r="H64" s="1018" t="str">
        <f>项目基本情况!B37</f>
        <v>八级</v>
      </c>
      <c r="I64" s="1022">
        <f>SUMIF(修正!A45:A56,H64,修正!H45:H56)</f>
        <v>0.15</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2600</v>
      </c>
      <c r="B65" s="224">
        <f t="shared" si="16"/>
        <v>807</v>
      </c>
      <c r="C65" s="176">
        <f t="shared" si="15"/>
        <v>0.15</v>
      </c>
      <c r="D65" s="1076">
        <v>0.25</v>
      </c>
      <c r="E65" s="223">
        <f>'数据-汇总表'!E15</f>
        <v>16838.349999999999</v>
      </c>
      <c r="F65" s="1017">
        <f t="shared" si="14"/>
        <v>1359</v>
      </c>
      <c r="G65" s="2175" t="s">
        <v>2594</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2601</v>
      </c>
      <c r="B66" s="652" t="s">
        <v>28</v>
      </c>
      <c r="C66" s="652" t="s">
        <v>29</v>
      </c>
      <c r="D66" s="652" t="s">
        <v>997</v>
      </c>
      <c r="E66" s="652">
        <f>IF(B46="楼面地价",SUM(E56:E65),'数据-汇总表'!D3)</f>
        <v>141515.38</v>
      </c>
      <c r="F66" s="653">
        <f>IF(B46="楼面地价",SUM(F56:F65),ROUND(C48*E66/10000,0))</f>
        <v>266209</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7">EDATE(E68,-3)</f>
        <v>43891</v>
      </c>
      <c r="G68" s="701">
        <f t="shared" si="17"/>
        <v>43800</v>
      </c>
      <c r="H68" s="701">
        <f t="shared" si="17"/>
        <v>43709</v>
      </c>
      <c r="I68" s="701">
        <f t="shared" si="17"/>
        <v>43617</v>
      </c>
      <c r="J68" s="701">
        <f t="shared" si="17"/>
        <v>43525</v>
      </c>
      <c r="K68" s="701">
        <f t="shared" si="17"/>
        <v>43435</v>
      </c>
      <c r="L68" s="701">
        <f t="shared" si="17"/>
        <v>43344</v>
      </c>
      <c r="M68" s="701">
        <f t="shared" si="17"/>
        <v>43252</v>
      </c>
      <c r="N68" s="701">
        <f t="shared" si="17"/>
        <v>43160</v>
      </c>
      <c r="O68" s="701">
        <f t="shared" si="17"/>
        <v>43070</v>
      </c>
      <c r="P68" s="1060">
        <f>EDATE(O68,-3)</f>
        <v>42979</v>
      </c>
      <c r="Q68" s="1060">
        <f>EDATE(P68,-3)</f>
        <v>42887</v>
      </c>
      <c r="R68" s="1060">
        <f>EDATE(Q68,-3)</f>
        <v>42795</v>
      </c>
      <c r="S68" s="1060">
        <f>EDATE(R68,-3)</f>
        <v>42705</v>
      </c>
      <c r="T68" s="2955"/>
      <c r="U68" s="2955"/>
      <c r="V68" s="2955"/>
      <c r="W68" s="2955"/>
      <c r="X68" s="2955"/>
      <c r="Y68" s="2955"/>
      <c r="Z68" s="2955"/>
      <c r="AA68" s="2955"/>
      <c r="AB68" s="2955"/>
      <c r="AC68" s="2955"/>
    </row>
    <row r="69" spans="1:29" ht="21.75"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28.5">
      <c r="A70" s="2176" t="s">
        <v>2602</v>
      </c>
      <c r="B70" s="1269"/>
      <c r="C70" s="1343" t="str">
        <f>YEAR(C68)&amp;"-"&amp;ROUNDUP(MONTH(C68)/3,0)</f>
        <v>2020-4</v>
      </c>
      <c r="D70" s="1343" t="str">
        <f>YEAR(D68)&amp;"-"&amp;ROUNDUP(MONTH(D68)/3,0)</f>
        <v>2020-3</v>
      </c>
      <c r="E70" s="1343" t="str">
        <f t="shared" ref="E70:S70" si="18">YEAR(E68)&amp;"-"&amp;ROUNDUP(MONTH(E68)/3,0)</f>
        <v>2020-2</v>
      </c>
      <c r="F70" s="1343" t="str">
        <f t="shared" si="18"/>
        <v>2020-1</v>
      </c>
      <c r="G70" s="1343" t="str">
        <f t="shared" si="18"/>
        <v>2019-4</v>
      </c>
      <c r="H70" s="1343" t="str">
        <f t="shared" si="18"/>
        <v>2019-3</v>
      </c>
      <c r="I70" s="1343" t="str">
        <f t="shared" si="18"/>
        <v>2019-2</v>
      </c>
      <c r="J70" s="1343" t="str">
        <f t="shared" si="18"/>
        <v>2019-1</v>
      </c>
      <c r="K70" s="1343" t="str">
        <f t="shared" si="18"/>
        <v>2018-4</v>
      </c>
      <c r="L70" s="1343" t="str">
        <f t="shared" si="18"/>
        <v>2018-3</v>
      </c>
      <c r="M70" s="1343" t="str">
        <f t="shared" si="18"/>
        <v>2018-2</v>
      </c>
      <c r="N70" s="1343" t="str">
        <f t="shared" si="18"/>
        <v>2018-1</v>
      </c>
      <c r="O70" s="1343" t="str">
        <f t="shared" si="18"/>
        <v>2017-4</v>
      </c>
      <c r="P70" s="3099" t="str">
        <f t="shared" si="18"/>
        <v>2017-3</v>
      </c>
      <c r="Q70" s="3099" t="str">
        <f t="shared" si="18"/>
        <v>2017-2</v>
      </c>
      <c r="R70" s="3099" t="str">
        <f t="shared" si="18"/>
        <v>2017-1</v>
      </c>
      <c r="S70" s="3099" t="str">
        <f t="shared" si="18"/>
        <v>2016-4</v>
      </c>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北京市平均增长率1.92%</v>
      </c>
      <c r="C71" s="560">
        <v>100</v>
      </c>
      <c r="D71" s="552">
        <v>99.7</v>
      </c>
      <c r="E71" s="552">
        <v>99.4</v>
      </c>
      <c r="F71" s="552">
        <v>99.1</v>
      </c>
      <c r="G71" s="552">
        <v>98.8</v>
      </c>
      <c r="H71" s="552">
        <v>98.5</v>
      </c>
      <c r="I71" s="552">
        <v>98.2</v>
      </c>
      <c r="J71" s="552">
        <v>97.9</v>
      </c>
      <c r="K71" s="552">
        <v>97.6</v>
      </c>
      <c r="L71" s="552">
        <v>97.3</v>
      </c>
      <c r="M71" s="552">
        <v>97</v>
      </c>
      <c r="N71" s="552">
        <v>96.7</v>
      </c>
      <c r="O71" s="552">
        <v>96.4</v>
      </c>
      <c r="P71" s="552">
        <v>96.1</v>
      </c>
      <c r="Q71" s="552">
        <v>95.8</v>
      </c>
      <c r="R71" s="552">
        <v>95.5</v>
      </c>
      <c r="S71" s="552">
        <v>95.2</v>
      </c>
      <c r="T71" s="2889"/>
      <c r="U71" s="2889"/>
      <c r="V71" s="2889"/>
      <c r="W71" s="2889"/>
      <c r="X71" s="2889"/>
      <c r="Y71" s="2889"/>
      <c r="Z71" s="2889"/>
      <c r="AA71" s="2889"/>
      <c r="AB71" s="2889"/>
      <c r="AC71" s="2889"/>
    </row>
    <row r="72" spans="1:29" s="113" customFormat="1" ht="15.7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2408</v>
      </c>
      <c r="B75" s="485" t="s">
        <v>2374</v>
      </c>
      <c r="C75" s="3087" t="s">
        <v>3306</v>
      </c>
      <c r="D75" s="3087" t="s">
        <v>3307</v>
      </c>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v>100</v>
      </c>
      <c r="D76" s="493">
        <v>110</v>
      </c>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2378</v>
      </c>
      <c r="C79" s="504" t="str">
        <f>C80&amp;"（含）"&amp;"-"&amp;D80</f>
        <v>0（含）-1</v>
      </c>
      <c r="D79" s="504" t="str">
        <f t="shared" ref="D79:L79" si="19">D80&amp;"（含）"&amp;"-"&amp;E80</f>
        <v>1（含）-2</v>
      </c>
      <c r="E79" s="504" t="str">
        <f t="shared" si="19"/>
        <v>2（含）-3</v>
      </c>
      <c r="F79" s="504" t="str">
        <f t="shared" si="19"/>
        <v>3（含）-4</v>
      </c>
      <c r="G79" s="504" t="str">
        <f t="shared" si="19"/>
        <v>4（含）-5</v>
      </c>
      <c r="H79" s="504" t="str">
        <f t="shared" si="19"/>
        <v>5（含）-6</v>
      </c>
      <c r="I79" s="504" t="str">
        <f t="shared" si="19"/>
        <v>6（含）-</v>
      </c>
      <c r="J79" s="504" t="str">
        <f t="shared" si="19"/>
        <v>（含）-</v>
      </c>
      <c r="K79" s="504" t="str">
        <f t="shared" si="19"/>
        <v>（含）-</v>
      </c>
      <c r="L79" s="504" t="str">
        <f t="shared" si="19"/>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v>0</v>
      </c>
      <c r="D80" s="506">
        <v>1</v>
      </c>
      <c r="E80" s="506">
        <v>2</v>
      </c>
      <c r="F80" s="506">
        <v>3</v>
      </c>
      <c r="G80" s="506">
        <v>4</v>
      </c>
      <c r="H80" s="506">
        <v>5</v>
      </c>
      <c r="I80" s="506">
        <v>6</v>
      </c>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0">IF($B$46="单位面积地价",C81+$K11,C81-$K11)</f>
        <v>98</v>
      </c>
      <c r="E81" s="501">
        <f t="shared" si="20"/>
        <v>96</v>
      </c>
      <c r="F81" s="501">
        <f t="shared" si="20"/>
        <v>94</v>
      </c>
      <c r="G81" s="501">
        <f t="shared" si="20"/>
        <v>92</v>
      </c>
      <c r="H81" s="501">
        <f t="shared" si="20"/>
        <v>90</v>
      </c>
      <c r="I81" s="501">
        <f t="shared" si="20"/>
        <v>88</v>
      </c>
      <c r="J81" s="501">
        <f t="shared" si="20"/>
        <v>86</v>
      </c>
      <c r="K81" s="501">
        <f t="shared" si="20"/>
        <v>84</v>
      </c>
      <c r="L81" s="501">
        <f t="shared" si="20"/>
        <v>82</v>
      </c>
      <c r="M81" s="501">
        <f t="shared" si="20"/>
        <v>80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t="str">
        <f>B13</f>
        <v>溢价率</v>
      </c>
      <c r="C84" s="511" t="s">
        <v>3309</v>
      </c>
      <c r="D84" s="511" t="s">
        <v>3311</v>
      </c>
      <c r="E84" s="511" t="s">
        <v>3313</v>
      </c>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v>100</v>
      </c>
      <c r="D85" s="517">
        <v>103</v>
      </c>
      <c r="E85" s="517">
        <v>106</v>
      </c>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97</v>
      </c>
      <c r="E93" s="501">
        <f>D93-$K19</f>
        <v>94</v>
      </c>
      <c r="F93" s="501">
        <f>E93-$K19</f>
        <v>91</v>
      </c>
      <c r="G93" s="501">
        <f>F93-$K19</f>
        <v>88</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8.5">
      <c r="A116" s="484" t="s">
        <v>2383</v>
      </c>
      <c r="B116" s="485" t="s">
        <v>2611</v>
      </c>
      <c r="C116" s="486" t="str">
        <f>C117&amp;"(含)"&amp;"-"&amp;D117</f>
        <v>0(含)-10000</v>
      </c>
      <c r="D116" s="486" t="str">
        <f t="shared" ref="D116:M116" si="24">D117&amp;"(含)"&amp;"-"&amp;E117</f>
        <v>10000(含)-20000</v>
      </c>
      <c r="E116" s="486" t="str">
        <f t="shared" si="24"/>
        <v>20000(含)-30000</v>
      </c>
      <c r="F116" s="486" t="str">
        <f t="shared" si="24"/>
        <v>30000(含)-40000</v>
      </c>
      <c r="G116" s="486" t="str">
        <f t="shared" si="24"/>
        <v>40000(含)-50000</v>
      </c>
      <c r="H116" s="486" t="str">
        <f t="shared" si="24"/>
        <v>50000(含)-60000</v>
      </c>
      <c r="I116" s="486" t="str">
        <f t="shared" si="24"/>
        <v>60000(含)-</v>
      </c>
      <c r="J116" s="486" t="str">
        <f t="shared" si="24"/>
        <v>(含)-</v>
      </c>
      <c r="K116" s="486" t="str">
        <f t="shared" si="24"/>
        <v>(含)-</v>
      </c>
      <c r="L116" s="486" t="str">
        <f t="shared" si="24"/>
        <v>(含)-</v>
      </c>
      <c r="M116" s="486" t="str">
        <f t="shared" si="24"/>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v>0</v>
      </c>
      <c r="D117" s="552">
        <v>10000</v>
      </c>
      <c r="E117" s="552">
        <v>20000</v>
      </c>
      <c r="F117" s="552">
        <v>30000</v>
      </c>
      <c r="G117" s="552">
        <v>40000</v>
      </c>
      <c r="H117" s="552">
        <v>50000</v>
      </c>
      <c r="I117" s="552">
        <v>60000</v>
      </c>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v>100</v>
      </c>
      <c r="D118" s="548">
        <v>102</v>
      </c>
      <c r="E118" s="548">
        <v>104</v>
      </c>
      <c r="F118" s="548">
        <v>106</v>
      </c>
      <c r="G118" s="548">
        <v>108</v>
      </c>
      <c r="H118" s="548">
        <v>110</v>
      </c>
      <c r="I118" s="548">
        <v>112</v>
      </c>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 workbookViewId="0">
      <selection sqref="A1:XFD1048576"/>
    </sheetView>
  </sheetViews>
  <sheetFormatPr defaultRowHeight="13.5"/>
  <cols>
    <col min="1" max="1" width="35" style="1406" customWidth="1"/>
    <col min="2" max="2" width="6.25" style="1406" customWidth="1"/>
    <col min="3" max="3" width="11.75" style="1406" customWidth="1"/>
    <col min="4" max="5" width="13.875" style="1406" customWidth="1"/>
    <col min="6" max="6" width="6.75" style="1406" customWidth="1"/>
    <col min="7" max="7" width="7.875" style="1406" customWidth="1"/>
    <col min="8" max="8" width="9" style="1406" customWidth="1"/>
    <col min="9" max="10" width="10.625" style="1406" customWidth="1"/>
    <col min="11" max="11" width="14.375" style="1406" customWidth="1"/>
    <col min="12" max="12" width="6.25" style="1406" customWidth="1"/>
    <col min="13" max="13" width="145" style="1406" customWidth="1"/>
    <col min="14" max="14" width="7.875" style="1406" customWidth="1"/>
    <col min="15" max="256" width="9" style="1406"/>
    <col min="257" max="257" width="90" style="1406" customWidth="1"/>
    <col min="258" max="258" width="6.25" style="1406" customWidth="1"/>
    <col min="259" max="259" width="11.75" style="1406" customWidth="1"/>
    <col min="260" max="261" width="13.875" style="1406" customWidth="1"/>
    <col min="262" max="262" width="6.75" style="1406" customWidth="1"/>
    <col min="263" max="263" width="7.875" style="1406" customWidth="1"/>
    <col min="264" max="264" width="9" style="1406" customWidth="1"/>
    <col min="265" max="266" width="10.625" style="1406" customWidth="1"/>
    <col min="267" max="267" width="14.375" style="1406" customWidth="1"/>
    <col min="268" max="268" width="6.25" style="1406" customWidth="1"/>
    <col min="269" max="269" width="145" style="1406" customWidth="1"/>
    <col min="270" max="270" width="7.875" style="1406" customWidth="1"/>
    <col min="271" max="512" width="9" style="1406"/>
    <col min="513" max="513" width="90" style="1406" customWidth="1"/>
    <col min="514" max="514" width="6.25" style="1406" customWidth="1"/>
    <col min="515" max="515" width="11.75" style="1406" customWidth="1"/>
    <col min="516" max="517" width="13.875" style="1406" customWidth="1"/>
    <col min="518" max="518" width="6.75" style="1406" customWidth="1"/>
    <col min="519" max="519" width="7.875" style="1406" customWidth="1"/>
    <col min="520" max="520" width="9" style="1406" customWidth="1"/>
    <col min="521" max="522" width="10.625" style="1406" customWidth="1"/>
    <col min="523" max="523" width="14.375" style="1406" customWidth="1"/>
    <col min="524" max="524" width="6.25" style="1406" customWidth="1"/>
    <col min="525" max="525" width="145" style="1406" customWidth="1"/>
    <col min="526" max="526" width="7.875" style="1406" customWidth="1"/>
    <col min="527" max="768" width="9" style="1406"/>
    <col min="769" max="769" width="90" style="1406" customWidth="1"/>
    <col min="770" max="770" width="6.25" style="1406" customWidth="1"/>
    <col min="771" max="771" width="11.75" style="1406" customWidth="1"/>
    <col min="772" max="773" width="13.875" style="1406" customWidth="1"/>
    <col min="774" max="774" width="6.75" style="1406" customWidth="1"/>
    <col min="775" max="775" width="7.875" style="1406" customWidth="1"/>
    <col min="776" max="776" width="9" style="1406" customWidth="1"/>
    <col min="777" max="778" width="10.625" style="1406" customWidth="1"/>
    <col min="779" max="779" width="14.375" style="1406" customWidth="1"/>
    <col min="780" max="780" width="6.25" style="1406" customWidth="1"/>
    <col min="781" max="781" width="145" style="1406" customWidth="1"/>
    <col min="782" max="782" width="7.875" style="1406" customWidth="1"/>
    <col min="783" max="1024" width="9" style="1406"/>
    <col min="1025" max="1025" width="90" style="1406" customWidth="1"/>
    <col min="1026" max="1026" width="6.25" style="1406" customWidth="1"/>
    <col min="1027" max="1027" width="11.75" style="1406" customWidth="1"/>
    <col min="1028" max="1029" width="13.875" style="1406" customWidth="1"/>
    <col min="1030" max="1030" width="6.75" style="1406" customWidth="1"/>
    <col min="1031" max="1031" width="7.875" style="1406" customWidth="1"/>
    <col min="1032" max="1032" width="9" style="1406" customWidth="1"/>
    <col min="1033" max="1034" width="10.625" style="1406" customWidth="1"/>
    <col min="1035" max="1035" width="14.375" style="1406" customWidth="1"/>
    <col min="1036" max="1036" width="6.25" style="1406" customWidth="1"/>
    <col min="1037" max="1037" width="145" style="1406" customWidth="1"/>
    <col min="1038" max="1038" width="7.875" style="1406" customWidth="1"/>
    <col min="1039" max="1280" width="9" style="1406"/>
    <col min="1281" max="1281" width="90" style="1406" customWidth="1"/>
    <col min="1282" max="1282" width="6.25" style="1406" customWidth="1"/>
    <col min="1283" max="1283" width="11.75" style="1406" customWidth="1"/>
    <col min="1284" max="1285" width="13.875" style="1406" customWidth="1"/>
    <col min="1286" max="1286" width="6.75" style="1406" customWidth="1"/>
    <col min="1287" max="1287" width="7.875" style="1406" customWidth="1"/>
    <col min="1288" max="1288" width="9" style="1406" customWidth="1"/>
    <col min="1289" max="1290" width="10.625" style="1406" customWidth="1"/>
    <col min="1291" max="1291" width="14.375" style="1406" customWidth="1"/>
    <col min="1292" max="1292" width="6.25" style="1406" customWidth="1"/>
    <col min="1293" max="1293" width="145" style="1406" customWidth="1"/>
    <col min="1294" max="1294" width="7.875" style="1406" customWidth="1"/>
    <col min="1295" max="1536" width="9" style="1406"/>
    <col min="1537" max="1537" width="90" style="1406" customWidth="1"/>
    <col min="1538" max="1538" width="6.25" style="1406" customWidth="1"/>
    <col min="1539" max="1539" width="11.75" style="1406" customWidth="1"/>
    <col min="1540" max="1541" width="13.875" style="1406" customWidth="1"/>
    <col min="1542" max="1542" width="6.75" style="1406" customWidth="1"/>
    <col min="1543" max="1543" width="7.875" style="1406" customWidth="1"/>
    <col min="1544" max="1544" width="9" style="1406" customWidth="1"/>
    <col min="1545" max="1546" width="10.625" style="1406" customWidth="1"/>
    <col min="1547" max="1547" width="14.375" style="1406" customWidth="1"/>
    <col min="1548" max="1548" width="6.25" style="1406" customWidth="1"/>
    <col min="1549" max="1549" width="145" style="1406" customWidth="1"/>
    <col min="1550" max="1550" width="7.875" style="1406" customWidth="1"/>
    <col min="1551" max="1792" width="9" style="1406"/>
    <col min="1793" max="1793" width="90" style="1406" customWidth="1"/>
    <col min="1794" max="1794" width="6.25" style="1406" customWidth="1"/>
    <col min="1795" max="1795" width="11.75" style="1406" customWidth="1"/>
    <col min="1796" max="1797" width="13.875" style="1406" customWidth="1"/>
    <col min="1798" max="1798" width="6.75" style="1406" customWidth="1"/>
    <col min="1799" max="1799" width="7.875" style="1406" customWidth="1"/>
    <col min="1800" max="1800" width="9" style="1406" customWidth="1"/>
    <col min="1801" max="1802" width="10.625" style="1406" customWidth="1"/>
    <col min="1803" max="1803" width="14.375" style="1406" customWidth="1"/>
    <col min="1804" max="1804" width="6.25" style="1406" customWidth="1"/>
    <col min="1805" max="1805" width="145" style="1406" customWidth="1"/>
    <col min="1806" max="1806" width="7.875" style="1406" customWidth="1"/>
    <col min="1807" max="2048" width="9" style="1406"/>
    <col min="2049" max="2049" width="90" style="1406" customWidth="1"/>
    <col min="2050" max="2050" width="6.25" style="1406" customWidth="1"/>
    <col min="2051" max="2051" width="11.75" style="1406" customWidth="1"/>
    <col min="2052" max="2053" width="13.875" style="1406" customWidth="1"/>
    <col min="2054" max="2054" width="6.75" style="1406" customWidth="1"/>
    <col min="2055" max="2055" width="7.875" style="1406" customWidth="1"/>
    <col min="2056" max="2056" width="9" style="1406" customWidth="1"/>
    <col min="2057" max="2058" width="10.625" style="1406" customWidth="1"/>
    <col min="2059" max="2059" width="14.375" style="1406" customWidth="1"/>
    <col min="2060" max="2060" width="6.25" style="1406" customWidth="1"/>
    <col min="2061" max="2061" width="145" style="1406" customWidth="1"/>
    <col min="2062" max="2062" width="7.875" style="1406" customWidth="1"/>
    <col min="2063" max="2304" width="9" style="1406"/>
    <col min="2305" max="2305" width="90" style="1406" customWidth="1"/>
    <col min="2306" max="2306" width="6.25" style="1406" customWidth="1"/>
    <col min="2307" max="2307" width="11.75" style="1406" customWidth="1"/>
    <col min="2308" max="2309" width="13.875" style="1406" customWidth="1"/>
    <col min="2310" max="2310" width="6.75" style="1406" customWidth="1"/>
    <col min="2311" max="2311" width="7.875" style="1406" customWidth="1"/>
    <col min="2312" max="2312" width="9" style="1406" customWidth="1"/>
    <col min="2313" max="2314" width="10.625" style="1406" customWidth="1"/>
    <col min="2315" max="2315" width="14.375" style="1406" customWidth="1"/>
    <col min="2316" max="2316" width="6.25" style="1406" customWidth="1"/>
    <col min="2317" max="2317" width="145" style="1406" customWidth="1"/>
    <col min="2318" max="2318" width="7.875" style="1406" customWidth="1"/>
    <col min="2319" max="2560" width="9" style="1406"/>
    <col min="2561" max="2561" width="90" style="1406" customWidth="1"/>
    <col min="2562" max="2562" width="6.25" style="1406" customWidth="1"/>
    <col min="2563" max="2563" width="11.75" style="1406" customWidth="1"/>
    <col min="2564" max="2565" width="13.875" style="1406" customWidth="1"/>
    <col min="2566" max="2566" width="6.75" style="1406" customWidth="1"/>
    <col min="2567" max="2567" width="7.875" style="1406" customWidth="1"/>
    <col min="2568" max="2568" width="9" style="1406" customWidth="1"/>
    <col min="2569" max="2570" width="10.625" style="1406" customWidth="1"/>
    <col min="2571" max="2571" width="14.375" style="1406" customWidth="1"/>
    <col min="2572" max="2572" width="6.25" style="1406" customWidth="1"/>
    <col min="2573" max="2573" width="145" style="1406" customWidth="1"/>
    <col min="2574" max="2574" width="7.875" style="1406" customWidth="1"/>
    <col min="2575" max="2816" width="9" style="1406"/>
    <col min="2817" max="2817" width="90" style="1406" customWidth="1"/>
    <col min="2818" max="2818" width="6.25" style="1406" customWidth="1"/>
    <col min="2819" max="2819" width="11.75" style="1406" customWidth="1"/>
    <col min="2820" max="2821" width="13.875" style="1406" customWidth="1"/>
    <col min="2822" max="2822" width="6.75" style="1406" customWidth="1"/>
    <col min="2823" max="2823" width="7.875" style="1406" customWidth="1"/>
    <col min="2824" max="2824" width="9" style="1406" customWidth="1"/>
    <col min="2825" max="2826" width="10.625" style="1406" customWidth="1"/>
    <col min="2827" max="2827" width="14.375" style="1406" customWidth="1"/>
    <col min="2828" max="2828" width="6.25" style="1406" customWidth="1"/>
    <col min="2829" max="2829" width="145" style="1406" customWidth="1"/>
    <col min="2830" max="2830" width="7.875" style="1406" customWidth="1"/>
    <col min="2831" max="3072" width="9" style="1406"/>
    <col min="3073" max="3073" width="90" style="1406" customWidth="1"/>
    <col min="3074" max="3074" width="6.25" style="1406" customWidth="1"/>
    <col min="3075" max="3075" width="11.75" style="1406" customWidth="1"/>
    <col min="3076" max="3077" width="13.875" style="1406" customWidth="1"/>
    <col min="3078" max="3078" width="6.75" style="1406" customWidth="1"/>
    <col min="3079" max="3079" width="7.875" style="1406" customWidth="1"/>
    <col min="3080" max="3080" width="9" style="1406" customWidth="1"/>
    <col min="3081" max="3082" width="10.625" style="1406" customWidth="1"/>
    <col min="3083" max="3083" width="14.375" style="1406" customWidth="1"/>
    <col min="3084" max="3084" width="6.25" style="1406" customWidth="1"/>
    <col min="3085" max="3085" width="145" style="1406" customWidth="1"/>
    <col min="3086" max="3086" width="7.875" style="1406" customWidth="1"/>
    <col min="3087" max="3328" width="9" style="1406"/>
    <col min="3329" max="3329" width="90" style="1406" customWidth="1"/>
    <col min="3330" max="3330" width="6.25" style="1406" customWidth="1"/>
    <col min="3331" max="3331" width="11.75" style="1406" customWidth="1"/>
    <col min="3332" max="3333" width="13.875" style="1406" customWidth="1"/>
    <col min="3334" max="3334" width="6.75" style="1406" customWidth="1"/>
    <col min="3335" max="3335" width="7.875" style="1406" customWidth="1"/>
    <col min="3336" max="3336" width="9" style="1406" customWidth="1"/>
    <col min="3337" max="3338" width="10.625" style="1406" customWidth="1"/>
    <col min="3339" max="3339" width="14.375" style="1406" customWidth="1"/>
    <col min="3340" max="3340" width="6.25" style="1406" customWidth="1"/>
    <col min="3341" max="3341" width="145" style="1406" customWidth="1"/>
    <col min="3342" max="3342" width="7.875" style="1406" customWidth="1"/>
    <col min="3343" max="3584" width="9" style="1406"/>
    <col min="3585" max="3585" width="90" style="1406" customWidth="1"/>
    <col min="3586" max="3586" width="6.25" style="1406" customWidth="1"/>
    <col min="3587" max="3587" width="11.75" style="1406" customWidth="1"/>
    <col min="3588" max="3589" width="13.875" style="1406" customWidth="1"/>
    <col min="3590" max="3590" width="6.75" style="1406" customWidth="1"/>
    <col min="3591" max="3591" width="7.875" style="1406" customWidth="1"/>
    <col min="3592" max="3592" width="9" style="1406" customWidth="1"/>
    <col min="3593" max="3594" width="10.625" style="1406" customWidth="1"/>
    <col min="3595" max="3595" width="14.375" style="1406" customWidth="1"/>
    <col min="3596" max="3596" width="6.25" style="1406" customWidth="1"/>
    <col min="3597" max="3597" width="145" style="1406" customWidth="1"/>
    <col min="3598" max="3598" width="7.875" style="1406" customWidth="1"/>
    <col min="3599" max="3840" width="9" style="1406"/>
    <col min="3841" max="3841" width="90" style="1406" customWidth="1"/>
    <col min="3842" max="3842" width="6.25" style="1406" customWidth="1"/>
    <col min="3843" max="3843" width="11.75" style="1406" customWidth="1"/>
    <col min="3844" max="3845" width="13.875" style="1406" customWidth="1"/>
    <col min="3846" max="3846" width="6.75" style="1406" customWidth="1"/>
    <col min="3847" max="3847" width="7.875" style="1406" customWidth="1"/>
    <col min="3848" max="3848" width="9" style="1406" customWidth="1"/>
    <col min="3849" max="3850" width="10.625" style="1406" customWidth="1"/>
    <col min="3851" max="3851" width="14.375" style="1406" customWidth="1"/>
    <col min="3852" max="3852" width="6.25" style="1406" customWidth="1"/>
    <col min="3853" max="3853" width="145" style="1406" customWidth="1"/>
    <col min="3854" max="3854" width="7.875" style="1406" customWidth="1"/>
    <col min="3855" max="4096" width="9" style="1406"/>
    <col min="4097" max="4097" width="90" style="1406" customWidth="1"/>
    <col min="4098" max="4098" width="6.25" style="1406" customWidth="1"/>
    <col min="4099" max="4099" width="11.75" style="1406" customWidth="1"/>
    <col min="4100" max="4101" width="13.875" style="1406" customWidth="1"/>
    <col min="4102" max="4102" width="6.75" style="1406" customWidth="1"/>
    <col min="4103" max="4103" width="7.875" style="1406" customWidth="1"/>
    <col min="4104" max="4104" width="9" style="1406" customWidth="1"/>
    <col min="4105" max="4106" width="10.625" style="1406" customWidth="1"/>
    <col min="4107" max="4107" width="14.375" style="1406" customWidth="1"/>
    <col min="4108" max="4108" width="6.25" style="1406" customWidth="1"/>
    <col min="4109" max="4109" width="145" style="1406" customWidth="1"/>
    <col min="4110" max="4110" width="7.875" style="1406" customWidth="1"/>
    <col min="4111" max="4352" width="9" style="1406"/>
    <col min="4353" max="4353" width="90" style="1406" customWidth="1"/>
    <col min="4354" max="4354" width="6.25" style="1406" customWidth="1"/>
    <col min="4355" max="4355" width="11.75" style="1406" customWidth="1"/>
    <col min="4356" max="4357" width="13.875" style="1406" customWidth="1"/>
    <col min="4358" max="4358" width="6.75" style="1406" customWidth="1"/>
    <col min="4359" max="4359" width="7.875" style="1406" customWidth="1"/>
    <col min="4360" max="4360" width="9" style="1406" customWidth="1"/>
    <col min="4361" max="4362" width="10.625" style="1406" customWidth="1"/>
    <col min="4363" max="4363" width="14.375" style="1406" customWidth="1"/>
    <col min="4364" max="4364" width="6.25" style="1406" customWidth="1"/>
    <col min="4365" max="4365" width="145" style="1406" customWidth="1"/>
    <col min="4366" max="4366" width="7.875" style="1406" customWidth="1"/>
    <col min="4367" max="4608" width="9" style="1406"/>
    <col min="4609" max="4609" width="90" style="1406" customWidth="1"/>
    <col min="4610" max="4610" width="6.25" style="1406" customWidth="1"/>
    <col min="4611" max="4611" width="11.75" style="1406" customWidth="1"/>
    <col min="4612" max="4613" width="13.875" style="1406" customWidth="1"/>
    <col min="4614" max="4614" width="6.75" style="1406" customWidth="1"/>
    <col min="4615" max="4615" width="7.875" style="1406" customWidth="1"/>
    <col min="4616" max="4616" width="9" style="1406" customWidth="1"/>
    <col min="4617" max="4618" width="10.625" style="1406" customWidth="1"/>
    <col min="4619" max="4619" width="14.375" style="1406" customWidth="1"/>
    <col min="4620" max="4620" width="6.25" style="1406" customWidth="1"/>
    <col min="4621" max="4621" width="145" style="1406" customWidth="1"/>
    <col min="4622" max="4622" width="7.875" style="1406" customWidth="1"/>
    <col min="4623" max="4864" width="9" style="1406"/>
    <col min="4865" max="4865" width="90" style="1406" customWidth="1"/>
    <col min="4866" max="4866" width="6.25" style="1406" customWidth="1"/>
    <col min="4867" max="4867" width="11.75" style="1406" customWidth="1"/>
    <col min="4868" max="4869" width="13.875" style="1406" customWidth="1"/>
    <col min="4870" max="4870" width="6.75" style="1406" customWidth="1"/>
    <col min="4871" max="4871" width="7.875" style="1406" customWidth="1"/>
    <col min="4872" max="4872" width="9" style="1406" customWidth="1"/>
    <col min="4873" max="4874" width="10.625" style="1406" customWidth="1"/>
    <col min="4875" max="4875" width="14.375" style="1406" customWidth="1"/>
    <col min="4876" max="4876" width="6.25" style="1406" customWidth="1"/>
    <col min="4877" max="4877" width="145" style="1406" customWidth="1"/>
    <col min="4878" max="4878" width="7.875" style="1406" customWidth="1"/>
    <col min="4879" max="5120" width="9" style="1406"/>
    <col min="5121" max="5121" width="90" style="1406" customWidth="1"/>
    <col min="5122" max="5122" width="6.25" style="1406" customWidth="1"/>
    <col min="5123" max="5123" width="11.75" style="1406" customWidth="1"/>
    <col min="5124" max="5125" width="13.875" style="1406" customWidth="1"/>
    <col min="5126" max="5126" width="6.75" style="1406" customWidth="1"/>
    <col min="5127" max="5127" width="7.875" style="1406" customWidth="1"/>
    <col min="5128" max="5128" width="9" style="1406" customWidth="1"/>
    <col min="5129" max="5130" width="10.625" style="1406" customWidth="1"/>
    <col min="5131" max="5131" width="14.375" style="1406" customWidth="1"/>
    <col min="5132" max="5132" width="6.25" style="1406" customWidth="1"/>
    <col min="5133" max="5133" width="145" style="1406" customWidth="1"/>
    <col min="5134" max="5134" width="7.875" style="1406" customWidth="1"/>
    <col min="5135" max="5376" width="9" style="1406"/>
    <col min="5377" max="5377" width="90" style="1406" customWidth="1"/>
    <col min="5378" max="5378" width="6.25" style="1406" customWidth="1"/>
    <col min="5379" max="5379" width="11.75" style="1406" customWidth="1"/>
    <col min="5380" max="5381" width="13.875" style="1406" customWidth="1"/>
    <col min="5382" max="5382" width="6.75" style="1406" customWidth="1"/>
    <col min="5383" max="5383" width="7.875" style="1406" customWidth="1"/>
    <col min="5384" max="5384" width="9" style="1406" customWidth="1"/>
    <col min="5385" max="5386" width="10.625" style="1406" customWidth="1"/>
    <col min="5387" max="5387" width="14.375" style="1406" customWidth="1"/>
    <col min="5388" max="5388" width="6.25" style="1406" customWidth="1"/>
    <col min="5389" max="5389" width="145" style="1406" customWidth="1"/>
    <col min="5390" max="5390" width="7.875" style="1406" customWidth="1"/>
    <col min="5391" max="5632" width="9" style="1406"/>
    <col min="5633" max="5633" width="90" style="1406" customWidth="1"/>
    <col min="5634" max="5634" width="6.25" style="1406" customWidth="1"/>
    <col min="5635" max="5635" width="11.75" style="1406" customWidth="1"/>
    <col min="5636" max="5637" width="13.875" style="1406" customWidth="1"/>
    <col min="5638" max="5638" width="6.75" style="1406" customWidth="1"/>
    <col min="5639" max="5639" width="7.875" style="1406" customWidth="1"/>
    <col min="5640" max="5640" width="9" style="1406" customWidth="1"/>
    <col min="5641" max="5642" width="10.625" style="1406" customWidth="1"/>
    <col min="5643" max="5643" width="14.375" style="1406" customWidth="1"/>
    <col min="5644" max="5644" width="6.25" style="1406" customWidth="1"/>
    <col min="5645" max="5645" width="145" style="1406" customWidth="1"/>
    <col min="5646" max="5646" width="7.875" style="1406" customWidth="1"/>
    <col min="5647" max="5888" width="9" style="1406"/>
    <col min="5889" max="5889" width="90" style="1406" customWidth="1"/>
    <col min="5890" max="5890" width="6.25" style="1406" customWidth="1"/>
    <col min="5891" max="5891" width="11.75" style="1406" customWidth="1"/>
    <col min="5892" max="5893" width="13.875" style="1406" customWidth="1"/>
    <col min="5894" max="5894" width="6.75" style="1406" customWidth="1"/>
    <col min="5895" max="5895" width="7.875" style="1406" customWidth="1"/>
    <col min="5896" max="5896" width="9" style="1406" customWidth="1"/>
    <col min="5897" max="5898" width="10.625" style="1406" customWidth="1"/>
    <col min="5899" max="5899" width="14.375" style="1406" customWidth="1"/>
    <col min="5900" max="5900" width="6.25" style="1406" customWidth="1"/>
    <col min="5901" max="5901" width="145" style="1406" customWidth="1"/>
    <col min="5902" max="5902" width="7.875" style="1406" customWidth="1"/>
    <col min="5903" max="6144" width="9" style="1406"/>
    <col min="6145" max="6145" width="90" style="1406" customWidth="1"/>
    <col min="6146" max="6146" width="6.25" style="1406" customWidth="1"/>
    <col min="6147" max="6147" width="11.75" style="1406" customWidth="1"/>
    <col min="6148" max="6149" width="13.875" style="1406" customWidth="1"/>
    <col min="6150" max="6150" width="6.75" style="1406" customWidth="1"/>
    <col min="6151" max="6151" width="7.875" style="1406" customWidth="1"/>
    <col min="6152" max="6152" width="9" style="1406" customWidth="1"/>
    <col min="6153" max="6154" width="10.625" style="1406" customWidth="1"/>
    <col min="6155" max="6155" width="14.375" style="1406" customWidth="1"/>
    <col min="6156" max="6156" width="6.25" style="1406" customWidth="1"/>
    <col min="6157" max="6157" width="145" style="1406" customWidth="1"/>
    <col min="6158" max="6158" width="7.875" style="1406" customWidth="1"/>
    <col min="6159" max="6400" width="9" style="1406"/>
    <col min="6401" max="6401" width="90" style="1406" customWidth="1"/>
    <col min="6402" max="6402" width="6.25" style="1406" customWidth="1"/>
    <col min="6403" max="6403" width="11.75" style="1406" customWidth="1"/>
    <col min="6404" max="6405" width="13.875" style="1406" customWidth="1"/>
    <col min="6406" max="6406" width="6.75" style="1406" customWidth="1"/>
    <col min="6407" max="6407" width="7.875" style="1406" customWidth="1"/>
    <col min="6408" max="6408" width="9" style="1406" customWidth="1"/>
    <col min="6409" max="6410" width="10.625" style="1406" customWidth="1"/>
    <col min="6411" max="6411" width="14.375" style="1406" customWidth="1"/>
    <col min="6412" max="6412" width="6.25" style="1406" customWidth="1"/>
    <col min="6413" max="6413" width="145" style="1406" customWidth="1"/>
    <col min="6414" max="6414" width="7.875" style="1406" customWidth="1"/>
    <col min="6415" max="6656" width="9" style="1406"/>
    <col min="6657" max="6657" width="90" style="1406" customWidth="1"/>
    <col min="6658" max="6658" width="6.25" style="1406" customWidth="1"/>
    <col min="6659" max="6659" width="11.75" style="1406" customWidth="1"/>
    <col min="6660" max="6661" width="13.875" style="1406" customWidth="1"/>
    <col min="6662" max="6662" width="6.75" style="1406" customWidth="1"/>
    <col min="6663" max="6663" width="7.875" style="1406" customWidth="1"/>
    <col min="6664" max="6664" width="9" style="1406" customWidth="1"/>
    <col min="6665" max="6666" width="10.625" style="1406" customWidth="1"/>
    <col min="6667" max="6667" width="14.375" style="1406" customWidth="1"/>
    <col min="6668" max="6668" width="6.25" style="1406" customWidth="1"/>
    <col min="6669" max="6669" width="145" style="1406" customWidth="1"/>
    <col min="6670" max="6670" width="7.875" style="1406" customWidth="1"/>
    <col min="6671" max="6912" width="9" style="1406"/>
    <col min="6913" max="6913" width="90" style="1406" customWidth="1"/>
    <col min="6914" max="6914" width="6.25" style="1406" customWidth="1"/>
    <col min="6915" max="6915" width="11.75" style="1406" customWidth="1"/>
    <col min="6916" max="6917" width="13.875" style="1406" customWidth="1"/>
    <col min="6918" max="6918" width="6.75" style="1406" customWidth="1"/>
    <col min="6919" max="6919" width="7.875" style="1406" customWidth="1"/>
    <col min="6920" max="6920" width="9" style="1406" customWidth="1"/>
    <col min="6921" max="6922" width="10.625" style="1406" customWidth="1"/>
    <col min="6923" max="6923" width="14.375" style="1406" customWidth="1"/>
    <col min="6924" max="6924" width="6.25" style="1406" customWidth="1"/>
    <col min="6925" max="6925" width="145" style="1406" customWidth="1"/>
    <col min="6926" max="6926" width="7.875" style="1406" customWidth="1"/>
    <col min="6927" max="7168" width="9" style="1406"/>
    <col min="7169" max="7169" width="90" style="1406" customWidth="1"/>
    <col min="7170" max="7170" width="6.25" style="1406" customWidth="1"/>
    <col min="7171" max="7171" width="11.75" style="1406" customWidth="1"/>
    <col min="7172" max="7173" width="13.875" style="1406" customWidth="1"/>
    <col min="7174" max="7174" width="6.75" style="1406" customWidth="1"/>
    <col min="7175" max="7175" width="7.875" style="1406" customWidth="1"/>
    <col min="7176" max="7176" width="9" style="1406" customWidth="1"/>
    <col min="7177" max="7178" width="10.625" style="1406" customWidth="1"/>
    <col min="7179" max="7179" width="14.375" style="1406" customWidth="1"/>
    <col min="7180" max="7180" width="6.25" style="1406" customWidth="1"/>
    <col min="7181" max="7181" width="145" style="1406" customWidth="1"/>
    <col min="7182" max="7182" width="7.875" style="1406" customWidth="1"/>
    <col min="7183" max="7424" width="9" style="1406"/>
    <col min="7425" max="7425" width="90" style="1406" customWidth="1"/>
    <col min="7426" max="7426" width="6.25" style="1406" customWidth="1"/>
    <col min="7427" max="7427" width="11.75" style="1406" customWidth="1"/>
    <col min="7428" max="7429" width="13.875" style="1406" customWidth="1"/>
    <col min="7430" max="7430" width="6.75" style="1406" customWidth="1"/>
    <col min="7431" max="7431" width="7.875" style="1406" customWidth="1"/>
    <col min="7432" max="7432" width="9" style="1406" customWidth="1"/>
    <col min="7433" max="7434" width="10.625" style="1406" customWidth="1"/>
    <col min="7435" max="7435" width="14.375" style="1406" customWidth="1"/>
    <col min="7436" max="7436" width="6.25" style="1406" customWidth="1"/>
    <col min="7437" max="7437" width="145" style="1406" customWidth="1"/>
    <col min="7438" max="7438" width="7.875" style="1406" customWidth="1"/>
    <col min="7439" max="7680" width="9" style="1406"/>
    <col min="7681" max="7681" width="90" style="1406" customWidth="1"/>
    <col min="7682" max="7682" width="6.25" style="1406" customWidth="1"/>
    <col min="7683" max="7683" width="11.75" style="1406" customWidth="1"/>
    <col min="7684" max="7685" width="13.875" style="1406" customWidth="1"/>
    <col min="7686" max="7686" width="6.75" style="1406" customWidth="1"/>
    <col min="7687" max="7687" width="7.875" style="1406" customWidth="1"/>
    <col min="7688" max="7688" width="9" style="1406" customWidth="1"/>
    <col min="7689" max="7690" width="10.625" style="1406" customWidth="1"/>
    <col min="7691" max="7691" width="14.375" style="1406" customWidth="1"/>
    <col min="7692" max="7692" width="6.25" style="1406" customWidth="1"/>
    <col min="7693" max="7693" width="145" style="1406" customWidth="1"/>
    <col min="7694" max="7694" width="7.875" style="1406" customWidth="1"/>
    <col min="7695" max="7936" width="9" style="1406"/>
    <col min="7937" max="7937" width="90" style="1406" customWidth="1"/>
    <col min="7938" max="7938" width="6.25" style="1406" customWidth="1"/>
    <col min="7939" max="7939" width="11.75" style="1406" customWidth="1"/>
    <col min="7940" max="7941" width="13.875" style="1406" customWidth="1"/>
    <col min="7942" max="7942" width="6.75" style="1406" customWidth="1"/>
    <col min="7943" max="7943" width="7.875" style="1406" customWidth="1"/>
    <col min="7944" max="7944" width="9" style="1406" customWidth="1"/>
    <col min="7945" max="7946" width="10.625" style="1406" customWidth="1"/>
    <col min="7947" max="7947" width="14.375" style="1406" customWidth="1"/>
    <col min="7948" max="7948" width="6.25" style="1406" customWidth="1"/>
    <col min="7949" max="7949" width="145" style="1406" customWidth="1"/>
    <col min="7950" max="7950" width="7.875" style="1406" customWidth="1"/>
    <col min="7951" max="8192" width="9" style="1406"/>
    <col min="8193" max="8193" width="90" style="1406" customWidth="1"/>
    <col min="8194" max="8194" width="6.25" style="1406" customWidth="1"/>
    <col min="8195" max="8195" width="11.75" style="1406" customWidth="1"/>
    <col min="8196" max="8197" width="13.875" style="1406" customWidth="1"/>
    <col min="8198" max="8198" width="6.75" style="1406" customWidth="1"/>
    <col min="8199" max="8199" width="7.875" style="1406" customWidth="1"/>
    <col min="8200" max="8200" width="9" style="1406" customWidth="1"/>
    <col min="8201" max="8202" width="10.625" style="1406" customWidth="1"/>
    <col min="8203" max="8203" width="14.375" style="1406" customWidth="1"/>
    <col min="8204" max="8204" width="6.25" style="1406" customWidth="1"/>
    <col min="8205" max="8205" width="145" style="1406" customWidth="1"/>
    <col min="8206" max="8206" width="7.875" style="1406" customWidth="1"/>
    <col min="8207" max="8448" width="9" style="1406"/>
    <col min="8449" max="8449" width="90" style="1406" customWidth="1"/>
    <col min="8450" max="8450" width="6.25" style="1406" customWidth="1"/>
    <col min="8451" max="8451" width="11.75" style="1406" customWidth="1"/>
    <col min="8452" max="8453" width="13.875" style="1406" customWidth="1"/>
    <col min="8454" max="8454" width="6.75" style="1406" customWidth="1"/>
    <col min="8455" max="8455" width="7.875" style="1406" customWidth="1"/>
    <col min="8456" max="8456" width="9" style="1406" customWidth="1"/>
    <col min="8457" max="8458" width="10.625" style="1406" customWidth="1"/>
    <col min="8459" max="8459" width="14.375" style="1406" customWidth="1"/>
    <col min="8460" max="8460" width="6.25" style="1406" customWidth="1"/>
    <col min="8461" max="8461" width="145" style="1406" customWidth="1"/>
    <col min="8462" max="8462" width="7.875" style="1406" customWidth="1"/>
    <col min="8463" max="8704" width="9" style="1406"/>
    <col min="8705" max="8705" width="90" style="1406" customWidth="1"/>
    <col min="8706" max="8706" width="6.25" style="1406" customWidth="1"/>
    <col min="8707" max="8707" width="11.75" style="1406" customWidth="1"/>
    <col min="8708" max="8709" width="13.875" style="1406" customWidth="1"/>
    <col min="8710" max="8710" width="6.75" style="1406" customWidth="1"/>
    <col min="8711" max="8711" width="7.875" style="1406" customWidth="1"/>
    <col min="8712" max="8712" width="9" style="1406" customWidth="1"/>
    <col min="8713" max="8714" width="10.625" style="1406" customWidth="1"/>
    <col min="8715" max="8715" width="14.375" style="1406" customWidth="1"/>
    <col min="8716" max="8716" width="6.25" style="1406" customWidth="1"/>
    <col min="8717" max="8717" width="145" style="1406" customWidth="1"/>
    <col min="8718" max="8718" width="7.875" style="1406" customWidth="1"/>
    <col min="8719" max="8960" width="9" style="1406"/>
    <col min="8961" max="8961" width="90" style="1406" customWidth="1"/>
    <col min="8962" max="8962" width="6.25" style="1406" customWidth="1"/>
    <col min="8963" max="8963" width="11.75" style="1406" customWidth="1"/>
    <col min="8964" max="8965" width="13.875" style="1406" customWidth="1"/>
    <col min="8966" max="8966" width="6.75" style="1406" customWidth="1"/>
    <col min="8967" max="8967" width="7.875" style="1406" customWidth="1"/>
    <col min="8968" max="8968" width="9" style="1406" customWidth="1"/>
    <col min="8969" max="8970" width="10.625" style="1406" customWidth="1"/>
    <col min="8971" max="8971" width="14.375" style="1406" customWidth="1"/>
    <col min="8972" max="8972" width="6.25" style="1406" customWidth="1"/>
    <col min="8973" max="8973" width="145" style="1406" customWidth="1"/>
    <col min="8974" max="8974" width="7.875" style="1406" customWidth="1"/>
    <col min="8975" max="9216" width="9" style="1406"/>
    <col min="9217" max="9217" width="90" style="1406" customWidth="1"/>
    <col min="9218" max="9218" width="6.25" style="1406" customWidth="1"/>
    <col min="9219" max="9219" width="11.75" style="1406" customWidth="1"/>
    <col min="9220" max="9221" width="13.875" style="1406" customWidth="1"/>
    <col min="9222" max="9222" width="6.75" style="1406" customWidth="1"/>
    <col min="9223" max="9223" width="7.875" style="1406" customWidth="1"/>
    <col min="9224" max="9224" width="9" style="1406" customWidth="1"/>
    <col min="9225" max="9226" width="10.625" style="1406" customWidth="1"/>
    <col min="9227" max="9227" width="14.375" style="1406" customWidth="1"/>
    <col min="9228" max="9228" width="6.25" style="1406" customWidth="1"/>
    <col min="9229" max="9229" width="145" style="1406" customWidth="1"/>
    <col min="9230" max="9230" width="7.875" style="1406" customWidth="1"/>
    <col min="9231" max="9472" width="9" style="1406"/>
    <col min="9473" max="9473" width="90" style="1406" customWidth="1"/>
    <col min="9474" max="9474" width="6.25" style="1406" customWidth="1"/>
    <col min="9475" max="9475" width="11.75" style="1406" customWidth="1"/>
    <col min="9476" max="9477" width="13.875" style="1406" customWidth="1"/>
    <col min="9478" max="9478" width="6.75" style="1406" customWidth="1"/>
    <col min="9479" max="9479" width="7.875" style="1406" customWidth="1"/>
    <col min="9480" max="9480" width="9" style="1406" customWidth="1"/>
    <col min="9481" max="9482" width="10.625" style="1406" customWidth="1"/>
    <col min="9483" max="9483" width="14.375" style="1406" customWidth="1"/>
    <col min="9484" max="9484" width="6.25" style="1406" customWidth="1"/>
    <col min="9485" max="9485" width="145" style="1406" customWidth="1"/>
    <col min="9486" max="9486" width="7.875" style="1406" customWidth="1"/>
    <col min="9487" max="9728" width="9" style="1406"/>
    <col min="9729" max="9729" width="90" style="1406" customWidth="1"/>
    <col min="9730" max="9730" width="6.25" style="1406" customWidth="1"/>
    <col min="9731" max="9731" width="11.75" style="1406" customWidth="1"/>
    <col min="9732" max="9733" width="13.875" style="1406" customWidth="1"/>
    <col min="9734" max="9734" width="6.75" style="1406" customWidth="1"/>
    <col min="9735" max="9735" width="7.875" style="1406" customWidth="1"/>
    <col min="9736" max="9736" width="9" style="1406" customWidth="1"/>
    <col min="9737" max="9738" width="10.625" style="1406" customWidth="1"/>
    <col min="9739" max="9739" width="14.375" style="1406" customWidth="1"/>
    <col min="9740" max="9740" width="6.25" style="1406" customWidth="1"/>
    <col min="9741" max="9741" width="145" style="1406" customWidth="1"/>
    <col min="9742" max="9742" width="7.875" style="1406" customWidth="1"/>
    <col min="9743" max="9984" width="9" style="1406"/>
    <col min="9985" max="9985" width="90" style="1406" customWidth="1"/>
    <col min="9986" max="9986" width="6.25" style="1406" customWidth="1"/>
    <col min="9987" max="9987" width="11.75" style="1406" customWidth="1"/>
    <col min="9988" max="9989" width="13.875" style="1406" customWidth="1"/>
    <col min="9990" max="9990" width="6.75" style="1406" customWidth="1"/>
    <col min="9991" max="9991" width="7.875" style="1406" customWidth="1"/>
    <col min="9992" max="9992" width="9" style="1406" customWidth="1"/>
    <col min="9993" max="9994" width="10.625" style="1406" customWidth="1"/>
    <col min="9995" max="9995" width="14.375" style="1406" customWidth="1"/>
    <col min="9996" max="9996" width="6.25" style="1406" customWidth="1"/>
    <col min="9997" max="9997" width="145" style="1406" customWidth="1"/>
    <col min="9998" max="9998" width="7.875" style="1406" customWidth="1"/>
    <col min="9999" max="10240" width="9" style="1406"/>
    <col min="10241" max="10241" width="90" style="1406" customWidth="1"/>
    <col min="10242" max="10242" width="6.25" style="1406" customWidth="1"/>
    <col min="10243" max="10243" width="11.75" style="1406" customWidth="1"/>
    <col min="10244" max="10245" width="13.875" style="1406" customWidth="1"/>
    <col min="10246" max="10246" width="6.75" style="1406" customWidth="1"/>
    <col min="10247" max="10247" width="7.875" style="1406" customWidth="1"/>
    <col min="10248" max="10248" width="9" style="1406" customWidth="1"/>
    <col min="10249" max="10250" width="10.625" style="1406" customWidth="1"/>
    <col min="10251" max="10251" width="14.375" style="1406" customWidth="1"/>
    <col min="10252" max="10252" width="6.25" style="1406" customWidth="1"/>
    <col min="10253" max="10253" width="145" style="1406" customWidth="1"/>
    <col min="10254" max="10254" width="7.875" style="1406" customWidth="1"/>
    <col min="10255" max="10496" width="9" style="1406"/>
    <col min="10497" max="10497" width="90" style="1406" customWidth="1"/>
    <col min="10498" max="10498" width="6.25" style="1406" customWidth="1"/>
    <col min="10499" max="10499" width="11.75" style="1406" customWidth="1"/>
    <col min="10500" max="10501" width="13.875" style="1406" customWidth="1"/>
    <col min="10502" max="10502" width="6.75" style="1406" customWidth="1"/>
    <col min="10503" max="10503" width="7.875" style="1406" customWidth="1"/>
    <col min="10504" max="10504" width="9" style="1406" customWidth="1"/>
    <col min="10505" max="10506" width="10.625" style="1406" customWidth="1"/>
    <col min="10507" max="10507" width="14.375" style="1406" customWidth="1"/>
    <col min="10508" max="10508" width="6.25" style="1406" customWidth="1"/>
    <col min="10509" max="10509" width="145" style="1406" customWidth="1"/>
    <col min="10510" max="10510" width="7.875" style="1406" customWidth="1"/>
    <col min="10511" max="10752" width="9" style="1406"/>
    <col min="10753" max="10753" width="90" style="1406" customWidth="1"/>
    <col min="10754" max="10754" width="6.25" style="1406" customWidth="1"/>
    <col min="10755" max="10755" width="11.75" style="1406" customWidth="1"/>
    <col min="10756" max="10757" width="13.875" style="1406" customWidth="1"/>
    <col min="10758" max="10758" width="6.75" style="1406" customWidth="1"/>
    <col min="10759" max="10759" width="7.875" style="1406" customWidth="1"/>
    <col min="10760" max="10760" width="9" style="1406" customWidth="1"/>
    <col min="10761" max="10762" width="10.625" style="1406" customWidth="1"/>
    <col min="10763" max="10763" width="14.375" style="1406" customWidth="1"/>
    <col min="10764" max="10764" width="6.25" style="1406" customWidth="1"/>
    <col min="10765" max="10765" width="145" style="1406" customWidth="1"/>
    <col min="10766" max="10766" width="7.875" style="1406" customWidth="1"/>
    <col min="10767" max="11008" width="9" style="1406"/>
    <col min="11009" max="11009" width="90" style="1406" customWidth="1"/>
    <col min="11010" max="11010" width="6.25" style="1406" customWidth="1"/>
    <col min="11011" max="11011" width="11.75" style="1406" customWidth="1"/>
    <col min="11012" max="11013" width="13.875" style="1406" customWidth="1"/>
    <col min="11014" max="11014" width="6.75" style="1406" customWidth="1"/>
    <col min="11015" max="11015" width="7.875" style="1406" customWidth="1"/>
    <col min="11016" max="11016" width="9" style="1406" customWidth="1"/>
    <col min="11017" max="11018" width="10.625" style="1406" customWidth="1"/>
    <col min="11019" max="11019" width="14.375" style="1406" customWidth="1"/>
    <col min="11020" max="11020" width="6.25" style="1406" customWidth="1"/>
    <col min="11021" max="11021" width="145" style="1406" customWidth="1"/>
    <col min="11022" max="11022" width="7.875" style="1406" customWidth="1"/>
    <col min="11023" max="11264" width="9" style="1406"/>
    <col min="11265" max="11265" width="90" style="1406" customWidth="1"/>
    <col min="11266" max="11266" width="6.25" style="1406" customWidth="1"/>
    <col min="11267" max="11267" width="11.75" style="1406" customWidth="1"/>
    <col min="11268" max="11269" width="13.875" style="1406" customWidth="1"/>
    <col min="11270" max="11270" width="6.75" style="1406" customWidth="1"/>
    <col min="11271" max="11271" width="7.875" style="1406" customWidth="1"/>
    <col min="11272" max="11272" width="9" style="1406" customWidth="1"/>
    <col min="11273" max="11274" width="10.625" style="1406" customWidth="1"/>
    <col min="11275" max="11275" width="14.375" style="1406" customWidth="1"/>
    <col min="11276" max="11276" width="6.25" style="1406" customWidth="1"/>
    <col min="11277" max="11277" width="145" style="1406" customWidth="1"/>
    <col min="11278" max="11278" width="7.875" style="1406" customWidth="1"/>
    <col min="11279" max="11520" width="9" style="1406"/>
    <col min="11521" max="11521" width="90" style="1406" customWidth="1"/>
    <col min="11522" max="11522" width="6.25" style="1406" customWidth="1"/>
    <col min="11523" max="11523" width="11.75" style="1406" customWidth="1"/>
    <col min="11524" max="11525" width="13.875" style="1406" customWidth="1"/>
    <col min="11526" max="11526" width="6.75" style="1406" customWidth="1"/>
    <col min="11527" max="11527" width="7.875" style="1406" customWidth="1"/>
    <col min="11528" max="11528" width="9" style="1406" customWidth="1"/>
    <col min="11529" max="11530" width="10.625" style="1406" customWidth="1"/>
    <col min="11531" max="11531" width="14.375" style="1406" customWidth="1"/>
    <col min="11532" max="11532" width="6.25" style="1406" customWidth="1"/>
    <col min="11533" max="11533" width="145" style="1406" customWidth="1"/>
    <col min="11534" max="11534" width="7.875" style="1406" customWidth="1"/>
    <col min="11535" max="11776" width="9" style="1406"/>
    <col min="11777" max="11777" width="90" style="1406" customWidth="1"/>
    <col min="11778" max="11778" width="6.25" style="1406" customWidth="1"/>
    <col min="11779" max="11779" width="11.75" style="1406" customWidth="1"/>
    <col min="11780" max="11781" width="13.875" style="1406" customWidth="1"/>
    <col min="11782" max="11782" width="6.75" style="1406" customWidth="1"/>
    <col min="11783" max="11783" width="7.875" style="1406" customWidth="1"/>
    <col min="11784" max="11784" width="9" style="1406" customWidth="1"/>
    <col min="11785" max="11786" width="10.625" style="1406" customWidth="1"/>
    <col min="11787" max="11787" width="14.375" style="1406" customWidth="1"/>
    <col min="11788" max="11788" width="6.25" style="1406" customWidth="1"/>
    <col min="11789" max="11789" width="145" style="1406" customWidth="1"/>
    <col min="11790" max="11790" width="7.875" style="1406" customWidth="1"/>
    <col min="11791" max="12032" width="9" style="1406"/>
    <col min="12033" max="12033" width="90" style="1406" customWidth="1"/>
    <col min="12034" max="12034" width="6.25" style="1406" customWidth="1"/>
    <col min="12035" max="12035" width="11.75" style="1406" customWidth="1"/>
    <col min="12036" max="12037" width="13.875" style="1406" customWidth="1"/>
    <col min="12038" max="12038" width="6.75" style="1406" customWidth="1"/>
    <col min="12039" max="12039" width="7.875" style="1406" customWidth="1"/>
    <col min="12040" max="12040" width="9" style="1406" customWidth="1"/>
    <col min="12041" max="12042" width="10.625" style="1406" customWidth="1"/>
    <col min="12043" max="12043" width="14.375" style="1406" customWidth="1"/>
    <col min="12044" max="12044" width="6.25" style="1406" customWidth="1"/>
    <col min="12045" max="12045" width="145" style="1406" customWidth="1"/>
    <col min="12046" max="12046" width="7.875" style="1406" customWidth="1"/>
    <col min="12047" max="12288" width="9" style="1406"/>
    <col min="12289" max="12289" width="90" style="1406" customWidth="1"/>
    <col min="12290" max="12290" width="6.25" style="1406" customWidth="1"/>
    <col min="12291" max="12291" width="11.75" style="1406" customWidth="1"/>
    <col min="12292" max="12293" width="13.875" style="1406" customWidth="1"/>
    <col min="12294" max="12294" width="6.75" style="1406" customWidth="1"/>
    <col min="12295" max="12295" width="7.875" style="1406" customWidth="1"/>
    <col min="12296" max="12296" width="9" style="1406" customWidth="1"/>
    <col min="12297" max="12298" width="10.625" style="1406" customWidth="1"/>
    <col min="12299" max="12299" width="14.375" style="1406" customWidth="1"/>
    <col min="12300" max="12300" width="6.25" style="1406" customWidth="1"/>
    <col min="12301" max="12301" width="145" style="1406" customWidth="1"/>
    <col min="12302" max="12302" width="7.875" style="1406" customWidth="1"/>
    <col min="12303" max="12544" width="9" style="1406"/>
    <col min="12545" max="12545" width="90" style="1406" customWidth="1"/>
    <col min="12546" max="12546" width="6.25" style="1406" customWidth="1"/>
    <col min="12547" max="12547" width="11.75" style="1406" customWidth="1"/>
    <col min="12548" max="12549" width="13.875" style="1406" customWidth="1"/>
    <col min="12550" max="12550" width="6.75" style="1406" customWidth="1"/>
    <col min="12551" max="12551" width="7.875" style="1406" customWidth="1"/>
    <col min="12552" max="12552" width="9" style="1406" customWidth="1"/>
    <col min="12553" max="12554" width="10.625" style="1406" customWidth="1"/>
    <col min="12555" max="12555" width="14.375" style="1406" customWidth="1"/>
    <col min="12556" max="12556" width="6.25" style="1406" customWidth="1"/>
    <col min="12557" max="12557" width="145" style="1406" customWidth="1"/>
    <col min="12558" max="12558" width="7.875" style="1406" customWidth="1"/>
    <col min="12559" max="12800" width="9" style="1406"/>
    <col min="12801" max="12801" width="90" style="1406" customWidth="1"/>
    <col min="12802" max="12802" width="6.25" style="1406" customWidth="1"/>
    <col min="12803" max="12803" width="11.75" style="1406" customWidth="1"/>
    <col min="12804" max="12805" width="13.875" style="1406" customWidth="1"/>
    <col min="12806" max="12806" width="6.75" style="1406" customWidth="1"/>
    <col min="12807" max="12807" width="7.875" style="1406" customWidth="1"/>
    <col min="12808" max="12808" width="9" style="1406" customWidth="1"/>
    <col min="12809" max="12810" width="10.625" style="1406" customWidth="1"/>
    <col min="12811" max="12811" width="14.375" style="1406" customWidth="1"/>
    <col min="12812" max="12812" width="6.25" style="1406" customWidth="1"/>
    <col min="12813" max="12813" width="145" style="1406" customWidth="1"/>
    <col min="12814" max="12814" width="7.875" style="1406" customWidth="1"/>
    <col min="12815" max="13056" width="9" style="1406"/>
    <col min="13057" max="13057" width="90" style="1406" customWidth="1"/>
    <col min="13058" max="13058" width="6.25" style="1406" customWidth="1"/>
    <col min="13059" max="13059" width="11.75" style="1406" customWidth="1"/>
    <col min="13060" max="13061" width="13.875" style="1406" customWidth="1"/>
    <col min="13062" max="13062" width="6.75" style="1406" customWidth="1"/>
    <col min="13063" max="13063" width="7.875" style="1406" customWidth="1"/>
    <col min="13064" max="13064" width="9" style="1406" customWidth="1"/>
    <col min="13065" max="13066" width="10.625" style="1406" customWidth="1"/>
    <col min="13067" max="13067" width="14.375" style="1406" customWidth="1"/>
    <col min="13068" max="13068" width="6.25" style="1406" customWidth="1"/>
    <col min="13069" max="13069" width="145" style="1406" customWidth="1"/>
    <col min="13070" max="13070" width="7.875" style="1406" customWidth="1"/>
    <col min="13071" max="13312" width="9" style="1406"/>
    <col min="13313" max="13313" width="90" style="1406" customWidth="1"/>
    <col min="13314" max="13314" width="6.25" style="1406" customWidth="1"/>
    <col min="13315" max="13315" width="11.75" style="1406" customWidth="1"/>
    <col min="13316" max="13317" width="13.875" style="1406" customWidth="1"/>
    <col min="13318" max="13318" width="6.75" style="1406" customWidth="1"/>
    <col min="13319" max="13319" width="7.875" style="1406" customWidth="1"/>
    <col min="13320" max="13320" width="9" style="1406" customWidth="1"/>
    <col min="13321" max="13322" width="10.625" style="1406" customWidth="1"/>
    <col min="13323" max="13323" width="14.375" style="1406" customWidth="1"/>
    <col min="13324" max="13324" width="6.25" style="1406" customWidth="1"/>
    <col min="13325" max="13325" width="145" style="1406" customWidth="1"/>
    <col min="13326" max="13326" width="7.875" style="1406" customWidth="1"/>
    <col min="13327" max="13568" width="9" style="1406"/>
    <col min="13569" max="13569" width="90" style="1406" customWidth="1"/>
    <col min="13570" max="13570" width="6.25" style="1406" customWidth="1"/>
    <col min="13571" max="13571" width="11.75" style="1406" customWidth="1"/>
    <col min="13572" max="13573" width="13.875" style="1406" customWidth="1"/>
    <col min="13574" max="13574" width="6.75" style="1406" customWidth="1"/>
    <col min="13575" max="13575" width="7.875" style="1406" customWidth="1"/>
    <col min="13576" max="13576" width="9" style="1406" customWidth="1"/>
    <col min="13577" max="13578" width="10.625" style="1406" customWidth="1"/>
    <col min="13579" max="13579" width="14.375" style="1406" customWidth="1"/>
    <col min="13580" max="13580" width="6.25" style="1406" customWidth="1"/>
    <col min="13581" max="13581" width="145" style="1406" customWidth="1"/>
    <col min="13582" max="13582" width="7.875" style="1406" customWidth="1"/>
    <col min="13583" max="13824" width="9" style="1406"/>
    <col min="13825" max="13825" width="90" style="1406" customWidth="1"/>
    <col min="13826" max="13826" width="6.25" style="1406" customWidth="1"/>
    <col min="13827" max="13827" width="11.75" style="1406" customWidth="1"/>
    <col min="13828" max="13829" width="13.875" style="1406" customWidth="1"/>
    <col min="13830" max="13830" width="6.75" style="1406" customWidth="1"/>
    <col min="13831" max="13831" width="7.875" style="1406" customWidth="1"/>
    <col min="13832" max="13832" width="9" style="1406" customWidth="1"/>
    <col min="13833" max="13834" width="10.625" style="1406" customWidth="1"/>
    <col min="13835" max="13835" width="14.375" style="1406" customWidth="1"/>
    <col min="13836" max="13836" width="6.25" style="1406" customWidth="1"/>
    <col min="13837" max="13837" width="145" style="1406" customWidth="1"/>
    <col min="13838" max="13838" width="7.875" style="1406" customWidth="1"/>
    <col min="13839" max="14080" width="9" style="1406"/>
    <col min="14081" max="14081" width="90" style="1406" customWidth="1"/>
    <col min="14082" max="14082" width="6.25" style="1406" customWidth="1"/>
    <col min="14083" max="14083" width="11.75" style="1406" customWidth="1"/>
    <col min="14084" max="14085" width="13.875" style="1406" customWidth="1"/>
    <col min="14086" max="14086" width="6.75" style="1406" customWidth="1"/>
    <col min="14087" max="14087" width="7.875" style="1406" customWidth="1"/>
    <col min="14088" max="14088" width="9" style="1406" customWidth="1"/>
    <col min="14089" max="14090" width="10.625" style="1406" customWidth="1"/>
    <col min="14091" max="14091" width="14.375" style="1406" customWidth="1"/>
    <col min="14092" max="14092" width="6.25" style="1406" customWidth="1"/>
    <col min="14093" max="14093" width="145" style="1406" customWidth="1"/>
    <col min="14094" max="14094" width="7.875" style="1406" customWidth="1"/>
    <col min="14095" max="14336" width="9" style="1406"/>
    <col min="14337" max="14337" width="90" style="1406" customWidth="1"/>
    <col min="14338" max="14338" width="6.25" style="1406" customWidth="1"/>
    <col min="14339" max="14339" width="11.75" style="1406" customWidth="1"/>
    <col min="14340" max="14341" width="13.875" style="1406" customWidth="1"/>
    <col min="14342" max="14342" width="6.75" style="1406" customWidth="1"/>
    <col min="14343" max="14343" width="7.875" style="1406" customWidth="1"/>
    <col min="14344" max="14344" width="9" style="1406" customWidth="1"/>
    <col min="14345" max="14346" width="10.625" style="1406" customWidth="1"/>
    <col min="14347" max="14347" width="14.375" style="1406" customWidth="1"/>
    <col min="14348" max="14348" width="6.25" style="1406" customWidth="1"/>
    <col min="14349" max="14349" width="145" style="1406" customWidth="1"/>
    <col min="14350" max="14350" width="7.875" style="1406" customWidth="1"/>
    <col min="14351" max="14592" width="9" style="1406"/>
    <col min="14593" max="14593" width="90" style="1406" customWidth="1"/>
    <col min="14594" max="14594" width="6.25" style="1406" customWidth="1"/>
    <col min="14595" max="14595" width="11.75" style="1406" customWidth="1"/>
    <col min="14596" max="14597" width="13.875" style="1406" customWidth="1"/>
    <col min="14598" max="14598" width="6.75" style="1406" customWidth="1"/>
    <col min="14599" max="14599" width="7.875" style="1406" customWidth="1"/>
    <col min="14600" max="14600" width="9" style="1406" customWidth="1"/>
    <col min="14601" max="14602" width="10.625" style="1406" customWidth="1"/>
    <col min="14603" max="14603" width="14.375" style="1406" customWidth="1"/>
    <col min="14604" max="14604" width="6.25" style="1406" customWidth="1"/>
    <col min="14605" max="14605" width="145" style="1406" customWidth="1"/>
    <col min="14606" max="14606" width="7.875" style="1406" customWidth="1"/>
    <col min="14607" max="14848" width="9" style="1406"/>
    <col min="14849" max="14849" width="90" style="1406" customWidth="1"/>
    <col min="14850" max="14850" width="6.25" style="1406" customWidth="1"/>
    <col min="14851" max="14851" width="11.75" style="1406" customWidth="1"/>
    <col min="14852" max="14853" width="13.875" style="1406" customWidth="1"/>
    <col min="14854" max="14854" width="6.75" style="1406" customWidth="1"/>
    <col min="14855" max="14855" width="7.875" style="1406" customWidth="1"/>
    <col min="14856" max="14856" width="9" style="1406" customWidth="1"/>
    <col min="14857" max="14858" width="10.625" style="1406" customWidth="1"/>
    <col min="14859" max="14859" width="14.375" style="1406" customWidth="1"/>
    <col min="14860" max="14860" width="6.25" style="1406" customWidth="1"/>
    <col min="14861" max="14861" width="145" style="1406" customWidth="1"/>
    <col min="14862" max="14862" width="7.875" style="1406" customWidth="1"/>
    <col min="14863" max="15104" width="9" style="1406"/>
    <col min="15105" max="15105" width="90" style="1406" customWidth="1"/>
    <col min="15106" max="15106" width="6.25" style="1406" customWidth="1"/>
    <col min="15107" max="15107" width="11.75" style="1406" customWidth="1"/>
    <col min="15108" max="15109" width="13.875" style="1406" customWidth="1"/>
    <col min="15110" max="15110" width="6.75" style="1406" customWidth="1"/>
    <col min="15111" max="15111" width="7.875" style="1406" customWidth="1"/>
    <col min="15112" max="15112" width="9" style="1406" customWidth="1"/>
    <col min="15113" max="15114" width="10.625" style="1406" customWidth="1"/>
    <col min="15115" max="15115" width="14.375" style="1406" customWidth="1"/>
    <col min="15116" max="15116" width="6.25" style="1406" customWidth="1"/>
    <col min="15117" max="15117" width="145" style="1406" customWidth="1"/>
    <col min="15118" max="15118" width="7.875" style="1406" customWidth="1"/>
    <col min="15119" max="15360" width="9" style="1406"/>
    <col min="15361" max="15361" width="90" style="1406" customWidth="1"/>
    <col min="15362" max="15362" width="6.25" style="1406" customWidth="1"/>
    <col min="15363" max="15363" width="11.75" style="1406" customWidth="1"/>
    <col min="15364" max="15365" width="13.875" style="1406" customWidth="1"/>
    <col min="15366" max="15366" width="6.75" style="1406" customWidth="1"/>
    <col min="15367" max="15367" width="7.875" style="1406" customWidth="1"/>
    <col min="15368" max="15368" width="9" style="1406" customWidth="1"/>
    <col min="15369" max="15370" width="10.625" style="1406" customWidth="1"/>
    <col min="15371" max="15371" width="14.375" style="1406" customWidth="1"/>
    <col min="15372" max="15372" width="6.25" style="1406" customWidth="1"/>
    <col min="15373" max="15373" width="145" style="1406" customWidth="1"/>
    <col min="15374" max="15374" width="7.875" style="1406" customWidth="1"/>
    <col min="15375" max="15616" width="9" style="1406"/>
    <col min="15617" max="15617" width="90" style="1406" customWidth="1"/>
    <col min="15618" max="15618" width="6.25" style="1406" customWidth="1"/>
    <col min="15619" max="15619" width="11.75" style="1406" customWidth="1"/>
    <col min="15620" max="15621" width="13.875" style="1406" customWidth="1"/>
    <col min="15622" max="15622" width="6.75" style="1406" customWidth="1"/>
    <col min="15623" max="15623" width="7.875" style="1406" customWidth="1"/>
    <col min="15624" max="15624" width="9" style="1406" customWidth="1"/>
    <col min="15625" max="15626" width="10.625" style="1406" customWidth="1"/>
    <col min="15627" max="15627" width="14.375" style="1406" customWidth="1"/>
    <col min="15628" max="15628" width="6.25" style="1406" customWidth="1"/>
    <col min="15629" max="15629" width="145" style="1406" customWidth="1"/>
    <col min="15630" max="15630" width="7.875" style="1406" customWidth="1"/>
    <col min="15631" max="15872" width="9" style="1406"/>
    <col min="15873" max="15873" width="90" style="1406" customWidth="1"/>
    <col min="15874" max="15874" width="6.25" style="1406" customWidth="1"/>
    <col min="15875" max="15875" width="11.75" style="1406" customWidth="1"/>
    <col min="15876" max="15877" width="13.875" style="1406" customWidth="1"/>
    <col min="15878" max="15878" width="6.75" style="1406" customWidth="1"/>
    <col min="15879" max="15879" width="7.875" style="1406" customWidth="1"/>
    <col min="15880" max="15880" width="9" style="1406" customWidth="1"/>
    <col min="15881" max="15882" width="10.625" style="1406" customWidth="1"/>
    <col min="15883" max="15883" width="14.375" style="1406" customWidth="1"/>
    <col min="15884" max="15884" width="6.25" style="1406" customWidth="1"/>
    <col min="15885" max="15885" width="145" style="1406" customWidth="1"/>
    <col min="15886" max="15886" width="7.875" style="1406" customWidth="1"/>
    <col min="15887" max="16128" width="9" style="1406"/>
    <col min="16129" max="16129" width="90" style="1406" customWidth="1"/>
    <col min="16130" max="16130" width="6.25" style="1406" customWidth="1"/>
    <col min="16131" max="16131" width="11.75" style="1406" customWidth="1"/>
    <col min="16132" max="16133" width="13.875" style="1406" customWidth="1"/>
    <col min="16134" max="16134" width="6.75" style="1406" customWidth="1"/>
    <col min="16135" max="16135" width="7.875" style="1406" customWidth="1"/>
    <col min="16136" max="16136" width="9" style="1406" customWidth="1"/>
    <col min="16137" max="16138" width="10.625" style="1406" customWidth="1"/>
    <col min="16139" max="16139" width="14.375" style="1406" customWidth="1"/>
    <col min="16140" max="16140" width="6.25" style="1406" customWidth="1"/>
    <col min="16141" max="16141" width="145" style="1406" customWidth="1"/>
    <col min="16142" max="16142" width="7.875" style="1406" customWidth="1"/>
    <col min="16143" max="16384" width="9" style="1406"/>
  </cols>
  <sheetData>
    <row r="1" spans="1:14">
      <c r="A1" s="1406" t="s">
        <v>3148</v>
      </c>
      <c r="B1" s="1406" t="s">
        <v>3149</v>
      </c>
      <c r="C1" s="1406" t="s">
        <v>3150</v>
      </c>
      <c r="D1" s="1406" t="s">
        <v>3151</v>
      </c>
      <c r="E1" s="1406" t="s">
        <v>3152</v>
      </c>
      <c r="F1" s="1406" t="s">
        <v>3153</v>
      </c>
      <c r="G1" s="1406" t="s">
        <v>3154</v>
      </c>
      <c r="H1" s="1406" t="s">
        <v>3155</v>
      </c>
      <c r="I1" s="1406" t="s">
        <v>3156</v>
      </c>
      <c r="J1" s="1406" t="s">
        <v>3157</v>
      </c>
      <c r="K1" s="1406" t="s">
        <v>3158</v>
      </c>
      <c r="L1" s="1406" t="s">
        <v>3159</v>
      </c>
      <c r="M1" s="1406" t="s">
        <v>3160</v>
      </c>
      <c r="N1" s="1406" t="s">
        <v>3161</v>
      </c>
    </row>
    <row r="2" spans="1:14">
      <c r="A2" s="1406" t="s">
        <v>3162</v>
      </c>
      <c r="B2" s="1406" t="s">
        <v>3104</v>
      </c>
      <c r="C2" s="1406" t="s">
        <v>3163</v>
      </c>
      <c r="D2" s="1406">
        <v>28622.32</v>
      </c>
      <c r="E2" s="1406">
        <v>71556</v>
      </c>
      <c r="F2" s="1406">
        <v>2.5</v>
      </c>
      <c r="G2" s="1406" t="s">
        <v>3164</v>
      </c>
      <c r="H2" s="1406" t="s">
        <v>3165</v>
      </c>
      <c r="I2" s="1406">
        <v>132000</v>
      </c>
      <c r="J2" s="1406">
        <v>132000</v>
      </c>
      <c r="K2" s="1406">
        <v>18447.09</v>
      </c>
      <c r="L2" s="1406">
        <v>0</v>
      </c>
      <c r="M2" s="1406" t="s">
        <v>3166</v>
      </c>
      <c r="N2" s="1406" t="s">
        <v>3167</v>
      </c>
    </row>
    <row r="3" spans="1:14">
      <c r="A3" s="1406" t="s">
        <v>3168</v>
      </c>
      <c r="B3" s="1406" t="s">
        <v>3104</v>
      </c>
      <c r="C3" s="1406" t="s">
        <v>3163</v>
      </c>
      <c r="D3" s="1406">
        <v>28725.47</v>
      </c>
      <c r="E3" s="1406">
        <v>71814</v>
      </c>
      <c r="F3" s="1406">
        <v>2.5</v>
      </c>
      <c r="G3" s="1406" t="s">
        <v>3169</v>
      </c>
      <c r="H3" s="1406" t="s">
        <v>3170</v>
      </c>
      <c r="I3" s="1406" t="s">
        <v>1298</v>
      </c>
      <c r="J3" s="1406">
        <v>32000</v>
      </c>
      <c r="K3" s="1406">
        <v>4455.96</v>
      </c>
      <c r="L3" s="1406" t="s">
        <v>1298</v>
      </c>
      <c r="M3" s="1406" t="s">
        <v>3171</v>
      </c>
      <c r="N3" s="1406" t="s">
        <v>3172</v>
      </c>
    </row>
    <row r="4" spans="1:14">
      <c r="A4" s="1406" t="s">
        <v>3173</v>
      </c>
      <c r="B4" s="1406" t="s">
        <v>3104</v>
      </c>
      <c r="C4" s="1406" t="s">
        <v>3163</v>
      </c>
      <c r="D4" s="1406">
        <v>138746.29999999999</v>
      </c>
      <c r="E4" s="1406">
        <v>486596</v>
      </c>
      <c r="F4" s="1406">
        <v>3.51</v>
      </c>
      <c r="G4" s="1406" t="s">
        <v>3164</v>
      </c>
      <c r="H4" s="1406" t="s">
        <v>3174</v>
      </c>
      <c r="I4" s="1406">
        <v>866300</v>
      </c>
      <c r="J4" s="1406">
        <v>866300</v>
      </c>
      <c r="K4" s="1406">
        <v>17803.27</v>
      </c>
      <c r="L4" s="1406">
        <v>0</v>
      </c>
      <c r="M4" s="1406" t="s">
        <v>3175</v>
      </c>
      <c r="N4" s="1406" t="s">
        <v>3172</v>
      </c>
    </row>
    <row r="5" spans="1:14">
      <c r="A5" s="1406" t="s">
        <v>3176</v>
      </c>
      <c r="B5" s="1406" t="s">
        <v>3104</v>
      </c>
      <c r="C5" s="1406" t="s">
        <v>3163</v>
      </c>
      <c r="D5" s="1406">
        <v>39410.74</v>
      </c>
      <c r="E5" s="1406">
        <v>120000</v>
      </c>
      <c r="F5" s="1406">
        <v>3.04</v>
      </c>
      <c r="G5" s="1406" t="s">
        <v>3169</v>
      </c>
      <c r="H5" s="1406" t="s">
        <v>3177</v>
      </c>
      <c r="I5" s="1406" t="s">
        <v>1298</v>
      </c>
      <c r="J5" s="1406">
        <v>318758</v>
      </c>
      <c r="K5" s="1406">
        <v>26563.16</v>
      </c>
      <c r="L5" s="1406" t="s">
        <v>1298</v>
      </c>
      <c r="M5" s="1406" t="s">
        <v>3178</v>
      </c>
      <c r="N5" s="1406" t="s">
        <v>3172</v>
      </c>
    </row>
    <row r="6" spans="1:14">
      <c r="A6" s="1406" t="s">
        <v>3179</v>
      </c>
      <c r="B6" s="1406" t="s">
        <v>3104</v>
      </c>
      <c r="C6" s="1406" t="s">
        <v>3163</v>
      </c>
      <c r="D6" s="1406">
        <v>113768</v>
      </c>
      <c r="E6" s="1406">
        <v>119494</v>
      </c>
      <c r="F6" s="1406">
        <v>1.05</v>
      </c>
      <c r="G6" s="1406" t="s">
        <v>3164</v>
      </c>
      <c r="H6" s="1406" t="s">
        <v>3180</v>
      </c>
      <c r="I6" s="1406" t="s">
        <v>1298</v>
      </c>
      <c r="J6" s="1406">
        <v>74000</v>
      </c>
      <c r="K6" s="1406">
        <v>6192.77</v>
      </c>
      <c r="L6" s="1406" t="s">
        <v>1298</v>
      </c>
      <c r="M6" s="1406" t="s">
        <v>3181</v>
      </c>
      <c r="N6" s="1406" t="s">
        <v>3167</v>
      </c>
    </row>
    <row r="7" spans="1:14">
      <c r="A7" s="1406" t="s">
        <v>3182</v>
      </c>
      <c r="B7" s="1406" t="s">
        <v>3104</v>
      </c>
      <c r="C7" s="1406" t="s">
        <v>3163</v>
      </c>
      <c r="D7" s="1406">
        <v>33071.620000000003</v>
      </c>
      <c r="E7" s="1406">
        <v>122423.9</v>
      </c>
      <c r="F7" s="1406">
        <v>3.7</v>
      </c>
      <c r="G7" s="1406" t="s">
        <v>3164</v>
      </c>
      <c r="H7" s="1406" t="s">
        <v>3183</v>
      </c>
      <c r="I7" s="1406">
        <v>183000</v>
      </c>
      <c r="J7" s="1406">
        <v>183000</v>
      </c>
      <c r="K7" s="1406">
        <v>14948.05</v>
      </c>
      <c r="L7" s="1406">
        <v>0</v>
      </c>
      <c r="M7" s="1406" t="s">
        <v>3184</v>
      </c>
      <c r="N7" s="1406" t="s">
        <v>3167</v>
      </c>
    </row>
    <row r="8" spans="1:14">
      <c r="A8" s="1406" t="s">
        <v>3185</v>
      </c>
      <c r="B8" s="1406" t="s">
        <v>3104</v>
      </c>
      <c r="C8" s="1406" t="s">
        <v>3163</v>
      </c>
      <c r="D8" s="1406">
        <v>338760.2</v>
      </c>
      <c r="E8" s="1406">
        <v>232306.7</v>
      </c>
      <c r="F8" s="1406">
        <v>0.69</v>
      </c>
      <c r="G8" s="1406" t="s">
        <v>3169</v>
      </c>
      <c r="H8" s="1406" t="s">
        <v>3186</v>
      </c>
      <c r="I8" s="1406" t="s">
        <v>1298</v>
      </c>
      <c r="J8" s="1406">
        <v>89500</v>
      </c>
      <c r="K8" s="1406">
        <v>3852.67</v>
      </c>
      <c r="L8" s="1406" t="s">
        <v>1298</v>
      </c>
      <c r="M8" s="1406" t="s">
        <v>3187</v>
      </c>
      <c r="N8" s="1406" t="s">
        <v>3188</v>
      </c>
    </row>
    <row r="9" spans="1:14">
      <c r="A9" s="1406" t="s">
        <v>3189</v>
      </c>
      <c r="B9" s="1406" t="s">
        <v>3104</v>
      </c>
      <c r="C9" s="1406" t="s">
        <v>3163</v>
      </c>
      <c r="D9" s="1406">
        <v>18015.060000000001</v>
      </c>
      <c r="E9" s="1406">
        <v>54046</v>
      </c>
      <c r="F9" s="1406">
        <v>3</v>
      </c>
      <c r="G9" s="1406" t="s">
        <v>3164</v>
      </c>
      <c r="H9" s="1406" t="s">
        <v>3190</v>
      </c>
      <c r="I9" s="1406">
        <v>60000</v>
      </c>
      <c r="J9" s="1406">
        <v>60000</v>
      </c>
      <c r="K9" s="1406">
        <v>11101.64</v>
      </c>
      <c r="L9" s="1406">
        <v>0</v>
      </c>
      <c r="M9" s="1406" t="s">
        <v>3191</v>
      </c>
      <c r="N9" s="1406" t="s">
        <v>3167</v>
      </c>
    </row>
    <row r="10" spans="1:14">
      <c r="A10" s="1406" t="s">
        <v>3192</v>
      </c>
      <c r="B10" s="1406" t="s">
        <v>3104</v>
      </c>
      <c r="C10" s="1406" t="s">
        <v>3163</v>
      </c>
      <c r="D10" s="1406">
        <v>59747.77</v>
      </c>
      <c r="E10" s="1406">
        <v>89622</v>
      </c>
      <c r="F10" s="1406">
        <v>1.5</v>
      </c>
      <c r="G10" s="1406" t="s">
        <v>3164</v>
      </c>
      <c r="H10" s="1406" t="s">
        <v>3193</v>
      </c>
      <c r="I10" s="1406">
        <v>146800</v>
      </c>
      <c r="J10" s="1406">
        <v>146800</v>
      </c>
      <c r="K10" s="1406">
        <v>16379.9</v>
      </c>
      <c r="L10" s="1406">
        <v>0</v>
      </c>
      <c r="M10" s="1406" t="s">
        <v>3194</v>
      </c>
      <c r="N10" s="1406" t="s">
        <v>3172</v>
      </c>
    </row>
    <row r="11" spans="1:14">
      <c r="A11" s="1406" t="s">
        <v>3195</v>
      </c>
      <c r="B11" s="1406" t="s">
        <v>3104</v>
      </c>
      <c r="C11" s="1406" t="s">
        <v>3163</v>
      </c>
      <c r="D11" s="1406">
        <v>31420.65</v>
      </c>
      <c r="E11" s="1406">
        <v>65983</v>
      </c>
      <c r="F11" s="1406">
        <v>2.1</v>
      </c>
      <c r="G11" s="1406" t="s">
        <v>3164</v>
      </c>
      <c r="H11" s="1406" t="s">
        <v>3193</v>
      </c>
      <c r="I11" s="1406">
        <v>108100</v>
      </c>
      <c r="J11" s="1406">
        <v>108100</v>
      </c>
      <c r="K11" s="1406">
        <v>16383.01</v>
      </c>
      <c r="L11" s="1406">
        <v>0</v>
      </c>
      <c r="M11" s="1406" t="s">
        <v>3196</v>
      </c>
      <c r="N11" s="1406" t="s">
        <v>3172</v>
      </c>
    </row>
    <row r="12" spans="1:14">
      <c r="A12" s="1406" t="s">
        <v>3197</v>
      </c>
      <c r="B12" s="1406" t="s">
        <v>3104</v>
      </c>
      <c r="C12" s="1406" t="s">
        <v>3163</v>
      </c>
      <c r="D12" s="1406">
        <v>176099.5</v>
      </c>
      <c r="E12" s="1406">
        <v>153071</v>
      </c>
      <c r="F12" s="1406">
        <v>0.86899999999999999</v>
      </c>
      <c r="G12" s="1406" t="s">
        <v>3164</v>
      </c>
      <c r="H12" s="1406" t="s">
        <v>3198</v>
      </c>
      <c r="I12" s="1406" t="s">
        <v>1298</v>
      </c>
      <c r="J12" s="1406">
        <v>93800</v>
      </c>
      <c r="K12" s="1406">
        <v>6127.88</v>
      </c>
      <c r="L12" s="1406" t="s">
        <v>1298</v>
      </c>
      <c r="M12" s="1406" t="s">
        <v>3199</v>
      </c>
      <c r="N12" s="1406" t="s">
        <v>3188</v>
      </c>
    </row>
    <row r="13" spans="1:14">
      <c r="A13" s="1406" t="s">
        <v>3200</v>
      </c>
      <c r="B13" s="1406" t="s">
        <v>3104</v>
      </c>
      <c r="C13" s="1406" t="s">
        <v>3163</v>
      </c>
      <c r="D13" s="1406">
        <v>15240.2</v>
      </c>
      <c r="E13" s="1406">
        <v>86800</v>
      </c>
      <c r="F13" s="1406">
        <v>5.6955</v>
      </c>
      <c r="G13" s="1406" t="s">
        <v>3164</v>
      </c>
      <c r="H13" s="1406" t="s">
        <v>3201</v>
      </c>
      <c r="I13" s="1406">
        <v>237500</v>
      </c>
      <c r="J13" s="1406">
        <v>242500</v>
      </c>
      <c r="K13" s="1406">
        <v>27937.79</v>
      </c>
      <c r="L13" s="1406">
        <v>2.11</v>
      </c>
      <c r="M13" s="1406" t="s">
        <v>3202</v>
      </c>
      <c r="N13" s="1406" t="s">
        <v>3203</v>
      </c>
    </row>
    <row r="14" spans="1:14">
      <c r="A14" s="1406" t="s">
        <v>3204</v>
      </c>
      <c r="B14" s="1406" t="s">
        <v>3104</v>
      </c>
      <c r="C14" s="1406" t="s">
        <v>3163</v>
      </c>
      <c r="D14" s="1406">
        <v>16863.939999999999</v>
      </c>
      <c r="E14" s="1406">
        <v>87923.61</v>
      </c>
      <c r="F14" s="1406">
        <v>5.2137000000000002</v>
      </c>
      <c r="G14" s="1406" t="s">
        <v>3164</v>
      </c>
      <c r="H14" s="1406" t="s">
        <v>3205</v>
      </c>
      <c r="I14" s="1406">
        <v>211000</v>
      </c>
      <c r="J14" s="1406">
        <v>211000</v>
      </c>
      <c r="K14" s="1406">
        <v>23998.09</v>
      </c>
      <c r="L14" s="1406">
        <v>0</v>
      </c>
      <c r="M14" s="1406" t="s">
        <v>3206</v>
      </c>
      <c r="N14" s="1406" t="s">
        <v>3172</v>
      </c>
    </row>
    <row r="15" spans="1:14">
      <c r="A15" s="1406" t="s">
        <v>3207</v>
      </c>
      <c r="B15" s="1406" t="s">
        <v>3104</v>
      </c>
      <c r="C15" s="1406" t="s">
        <v>3163</v>
      </c>
      <c r="D15" s="1406">
        <v>14089.17</v>
      </c>
      <c r="E15" s="1406">
        <v>105000</v>
      </c>
      <c r="F15" s="1406">
        <v>7.4525300000000003</v>
      </c>
      <c r="G15" s="1406" t="s">
        <v>3164</v>
      </c>
      <c r="H15" s="1406" t="s">
        <v>3205</v>
      </c>
      <c r="I15" s="1406">
        <v>252000</v>
      </c>
      <c r="J15" s="1406">
        <v>355000</v>
      </c>
      <c r="K15" s="1406">
        <v>33809.51</v>
      </c>
      <c r="L15" s="1406">
        <v>40.869999999999997</v>
      </c>
      <c r="M15" s="1406" t="s">
        <v>3208</v>
      </c>
      <c r="N15" s="1406" t="s">
        <v>3172</v>
      </c>
    </row>
    <row r="16" spans="1:14">
      <c r="A16" s="1406" t="s">
        <v>3209</v>
      </c>
      <c r="B16" s="1406" t="s">
        <v>3104</v>
      </c>
      <c r="C16" s="1406" t="s">
        <v>3163</v>
      </c>
      <c r="D16" s="1406">
        <v>5237.16</v>
      </c>
      <c r="E16" s="1406">
        <v>10474</v>
      </c>
      <c r="F16" s="1406">
        <v>2</v>
      </c>
      <c r="G16" s="1406" t="s">
        <v>3164</v>
      </c>
      <c r="H16" s="1406" t="s">
        <v>3210</v>
      </c>
      <c r="I16" s="1406">
        <v>13000</v>
      </c>
      <c r="J16" s="1406">
        <v>13700</v>
      </c>
      <c r="K16" s="1406">
        <v>13080.01</v>
      </c>
      <c r="L16" s="1406">
        <v>5.38</v>
      </c>
      <c r="M16" s="1406" t="s">
        <v>3211</v>
      </c>
      <c r="N16" s="1406" t="s">
        <v>3167</v>
      </c>
    </row>
    <row r="17" spans="1:14">
      <c r="A17" s="1406" t="s">
        <v>3212</v>
      </c>
      <c r="B17" s="1406" t="s">
        <v>3104</v>
      </c>
      <c r="C17" s="1406" t="s">
        <v>3163</v>
      </c>
      <c r="D17" s="1406">
        <v>66237.2</v>
      </c>
      <c r="E17" s="1406">
        <v>264058.7</v>
      </c>
      <c r="F17" s="1406">
        <v>3.99</v>
      </c>
      <c r="G17" s="1406" t="s">
        <v>3164</v>
      </c>
      <c r="H17" s="1406" t="s">
        <v>3213</v>
      </c>
      <c r="I17" s="1406">
        <v>385000</v>
      </c>
      <c r="J17" s="1406">
        <v>385000</v>
      </c>
      <c r="K17" s="1406">
        <v>14580.09</v>
      </c>
      <c r="L17" s="1406">
        <v>0</v>
      </c>
      <c r="M17" s="1406" t="s">
        <v>3214</v>
      </c>
      <c r="N17" s="1406" t="s">
        <v>3167</v>
      </c>
    </row>
    <row r="18" spans="1:14">
      <c r="A18" s="1406" t="s">
        <v>3215</v>
      </c>
      <c r="B18" s="1406" t="s">
        <v>3104</v>
      </c>
      <c r="C18" s="1406" t="s">
        <v>3163</v>
      </c>
      <c r="D18" s="1406">
        <v>27295.08</v>
      </c>
      <c r="E18" s="1406">
        <v>160000</v>
      </c>
      <c r="F18" s="1406">
        <v>5.8</v>
      </c>
      <c r="G18" s="1406" t="s">
        <v>3164</v>
      </c>
      <c r="H18" s="1406" t="s">
        <v>3216</v>
      </c>
      <c r="I18" s="1406">
        <v>432000</v>
      </c>
      <c r="J18" s="1406">
        <v>434000</v>
      </c>
      <c r="K18" s="1406">
        <v>27125</v>
      </c>
      <c r="L18" s="1406">
        <v>0.46</v>
      </c>
      <c r="M18" s="1406" t="s">
        <v>3217</v>
      </c>
      <c r="N18" s="1406" t="s">
        <v>3203</v>
      </c>
    </row>
    <row r="19" spans="1:14">
      <c r="A19" s="1406" t="s">
        <v>3218</v>
      </c>
      <c r="B19" s="1406" t="s">
        <v>3104</v>
      </c>
      <c r="C19" s="1406" t="s">
        <v>3163</v>
      </c>
      <c r="D19" s="1406">
        <v>35230.230000000003</v>
      </c>
      <c r="E19" s="1406">
        <v>88076</v>
      </c>
      <c r="F19" s="1406">
        <v>2.5</v>
      </c>
      <c r="G19" s="1406" t="s">
        <v>3164</v>
      </c>
      <c r="H19" s="1406" t="s">
        <v>3219</v>
      </c>
      <c r="I19" s="1406">
        <v>62000</v>
      </c>
      <c r="J19" s="1406">
        <v>62000</v>
      </c>
      <c r="K19" s="1406">
        <v>7039.38</v>
      </c>
      <c r="L19" s="1406">
        <v>0</v>
      </c>
      <c r="M19" s="1406" t="s">
        <v>3220</v>
      </c>
      <c r="N19" s="1406" t="s">
        <v>3167</v>
      </c>
    </row>
    <row r="20" spans="1:14">
      <c r="A20" s="1406" t="s">
        <v>3221</v>
      </c>
      <c r="B20" s="1406" t="s">
        <v>3104</v>
      </c>
      <c r="C20" s="1406" t="s">
        <v>3163</v>
      </c>
      <c r="D20" s="1406">
        <v>170200.2</v>
      </c>
      <c r="E20" s="1406">
        <v>255301</v>
      </c>
      <c r="F20" s="1406">
        <v>1.5</v>
      </c>
      <c r="G20" s="1406" t="s">
        <v>3164</v>
      </c>
      <c r="H20" s="1406" t="s">
        <v>3222</v>
      </c>
      <c r="I20" s="1406">
        <v>255000</v>
      </c>
      <c r="J20" s="1406">
        <v>259500</v>
      </c>
      <c r="K20" s="1406">
        <v>10164.459999999999</v>
      </c>
      <c r="L20" s="1406">
        <v>1.76</v>
      </c>
      <c r="M20" s="1406" t="s">
        <v>3223</v>
      </c>
      <c r="N20" s="1406" t="s">
        <v>3167</v>
      </c>
    </row>
    <row r="21" spans="1:14">
      <c r="A21" s="1406" t="s">
        <v>3224</v>
      </c>
      <c r="B21" s="1406" t="s">
        <v>3104</v>
      </c>
      <c r="C21" s="1406" t="s">
        <v>3163</v>
      </c>
      <c r="D21" s="1406">
        <v>120885</v>
      </c>
      <c r="E21" s="1406">
        <v>256512</v>
      </c>
      <c r="F21" s="1406" t="s">
        <v>1298</v>
      </c>
      <c r="G21" s="1406" t="s">
        <v>3164</v>
      </c>
      <c r="H21" s="1406" t="s">
        <v>3222</v>
      </c>
      <c r="I21" s="1406">
        <v>250000</v>
      </c>
      <c r="J21" s="1406">
        <v>250000</v>
      </c>
      <c r="K21" s="1406">
        <v>9746.1200000000008</v>
      </c>
      <c r="L21" s="1406">
        <v>0</v>
      </c>
      <c r="M21" s="1406" t="s">
        <v>3225</v>
      </c>
      <c r="N21" s="1406" t="s">
        <v>3167</v>
      </c>
    </row>
    <row r="22" spans="1:14" s="3083" customFormat="1">
      <c r="A22" s="3082" t="s">
        <v>3226</v>
      </c>
      <c r="B22" s="3083" t="s">
        <v>3104</v>
      </c>
      <c r="C22" s="3083" t="s">
        <v>3163</v>
      </c>
      <c r="D22" s="3083">
        <v>39744.120000000003</v>
      </c>
      <c r="E22" s="3083">
        <v>119232</v>
      </c>
      <c r="F22" s="3083">
        <v>3</v>
      </c>
      <c r="G22" s="3083" t="s">
        <v>3164</v>
      </c>
      <c r="H22" s="3083" t="s">
        <v>3227</v>
      </c>
      <c r="I22" s="3083">
        <v>227000</v>
      </c>
      <c r="J22" s="3083">
        <v>292000</v>
      </c>
      <c r="K22" s="3083">
        <v>24490.06</v>
      </c>
      <c r="L22" s="3083">
        <v>28.63</v>
      </c>
      <c r="M22" s="3083" t="s">
        <v>3228</v>
      </c>
      <c r="N22" s="3083" t="s">
        <v>3167</v>
      </c>
    </row>
    <row r="23" spans="1:14">
      <c r="A23" s="1406" t="s">
        <v>3229</v>
      </c>
      <c r="B23" s="1406" t="s">
        <v>3104</v>
      </c>
      <c r="C23" s="1406" t="s">
        <v>3163</v>
      </c>
      <c r="D23" s="1406">
        <v>92055.95</v>
      </c>
      <c r="E23" s="1406">
        <v>92056</v>
      </c>
      <c r="F23" s="1406">
        <v>1</v>
      </c>
      <c r="G23" s="1406" t="s">
        <v>3169</v>
      </c>
      <c r="H23" s="1406" t="s">
        <v>3230</v>
      </c>
      <c r="I23" s="1406" t="s">
        <v>1298</v>
      </c>
      <c r="J23" s="1406">
        <v>285373.59000000003</v>
      </c>
      <c r="K23" s="1406">
        <v>31000</v>
      </c>
      <c r="L23" s="1406" t="s">
        <v>1298</v>
      </c>
      <c r="M23" s="1406" t="s">
        <v>3231</v>
      </c>
      <c r="N23" s="1406" t="s">
        <v>3167</v>
      </c>
    </row>
    <row r="24" spans="1:14">
      <c r="A24" s="1406" t="s">
        <v>3232</v>
      </c>
      <c r="B24" s="1406" t="s">
        <v>3104</v>
      </c>
      <c r="C24" s="1406" t="s">
        <v>3163</v>
      </c>
      <c r="D24" s="1406">
        <v>18303.330000000002</v>
      </c>
      <c r="E24" s="1406">
        <v>58571</v>
      </c>
      <c r="F24" s="1406">
        <v>3.2</v>
      </c>
      <c r="G24" s="1406" t="s">
        <v>3164</v>
      </c>
      <c r="H24" s="1406" t="s">
        <v>3233</v>
      </c>
      <c r="I24" s="1406">
        <v>79600</v>
      </c>
      <c r="J24" s="1406">
        <v>129000</v>
      </c>
      <c r="K24" s="1406">
        <v>22024.54</v>
      </c>
      <c r="L24" s="1406">
        <v>62.06</v>
      </c>
      <c r="M24" s="1406" t="s">
        <v>3234</v>
      </c>
      <c r="N24" s="1406" t="s">
        <v>3172</v>
      </c>
    </row>
    <row r="25" spans="1:14">
      <c r="A25" s="1406" t="s">
        <v>3235</v>
      </c>
      <c r="B25" s="1406" t="s">
        <v>3104</v>
      </c>
      <c r="C25" s="1406" t="s">
        <v>3163</v>
      </c>
      <c r="D25" s="1406">
        <v>29183.54</v>
      </c>
      <c r="E25" s="1406">
        <v>72959</v>
      </c>
      <c r="F25" s="1406">
        <v>2.5</v>
      </c>
      <c r="G25" s="1406" t="s">
        <v>3164</v>
      </c>
      <c r="H25" s="1406" t="s">
        <v>3236</v>
      </c>
      <c r="I25" s="1406">
        <v>83000</v>
      </c>
      <c r="J25" s="1406">
        <v>106000</v>
      </c>
      <c r="K25" s="1406">
        <v>14528.7</v>
      </c>
      <c r="L25" s="1406">
        <v>27.71</v>
      </c>
      <c r="M25" s="1406" t="s">
        <v>3237</v>
      </c>
      <c r="N25" s="1406" t="s">
        <v>3167</v>
      </c>
    </row>
    <row r="26" spans="1:14" s="3083" customFormat="1">
      <c r="A26" s="3083" t="s">
        <v>3238</v>
      </c>
      <c r="B26" s="3083" t="s">
        <v>3104</v>
      </c>
      <c r="C26" s="3083" t="s">
        <v>3163</v>
      </c>
      <c r="D26" s="3083">
        <v>46165.91</v>
      </c>
      <c r="E26" s="3083">
        <v>92332</v>
      </c>
      <c r="F26" s="3083">
        <v>2</v>
      </c>
      <c r="G26" s="3083" t="s">
        <v>3164</v>
      </c>
      <c r="H26" s="3083" t="s">
        <v>3236</v>
      </c>
      <c r="I26" s="3083">
        <v>176000</v>
      </c>
      <c r="J26" s="3083">
        <v>225000</v>
      </c>
      <c r="K26" s="3083">
        <v>24368.58</v>
      </c>
      <c r="L26" s="3083">
        <v>27.84</v>
      </c>
      <c r="M26" s="3083" t="s">
        <v>3239</v>
      </c>
      <c r="N26" s="3083" t="s">
        <v>3167</v>
      </c>
    </row>
    <row r="27" spans="1:14" s="3083" customFormat="1">
      <c r="A27" s="3083" t="s">
        <v>3240</v>
      </c>
      <c r="B27" s="3083" t="s">
        <v>3104</v>
      </c>
      <c r="C27" s="3083" t="s">
        <v>3163</v>
      </c>
      <c r="D27" s="3083">
        <v>38100</v>
      </c>
      <c r="E27" s="3083">
        <v>76200</v>
      </c>
      <c r="F27" s="3083">
        <v>2</v>
      </c>
      <c r="G27" s="3083" t="s">
        <v>3164</v>
      </c>
      <c r="H27" s="3083" t="s">
        <v>3236</v>
      </c>
      <c r="I27" s="3083">
        <v>145000</v>
      </c>
      <c r="J27" s="3083">
        <v>204000</v>
      </c>
      <c r="K27" s="3083">
        <v>26771.65</v>
      </c>
      <c r="L27" s="3083">
        <v>40.69</v>
      </c>
      <c r="M27" s="3083" t="s">
        <v>3241</v>
      </c>
      <c r="N27" s="3083" t="s">
        <v>3167</v>
      </c>
    </row>
    <row r="28" spans="1:14">
      <c r="A28" s="1406" t="s">
        <v>3242</v>
      </c>
      <c r="B28" s="1406" t="s">
        <v>3104</v>
      </c>
      <c r="C28" s="1406" t="s">
        <v>3163</v>
      </c>
      <c r="D28" s="1406">
        <v>23639.39</v>
      </c>
      <c r="E28" s="1406">
        <v>75646</v>
      </c>
      <c r="F28" s="1406">
        <v>3.2</v>
      </c>
      <c r="G28" s="1406" t="s">
        <v>3164</v>
      </c>
      <c r="H28" s="1406" t="s">
        <v>3243</v>
      </c>
      <c r="I28" s="1406">
        <v>102000</v>
      </c>
      <c r="J28" s="1406">
        <v>103020</v>
      </c>
      <c r="K28" s="1406">
        <v>13618.7</v>
      </c>
      <c r="L28" s="1406">
        <v>1</v>
      </c>
      <c r="M28" s="1406" t="s">
        <v>3244</v>
      </c>
      <c r="N28" s="1406" t="s">
        <v>3172</v>
      </c>
    </row>
    <row r="29" spans="1:14">
      <c r="A29" s="1406" t="s">
        <v>3245</v>
      </c>
      <c r="B29" s="1406" t="s">
        <v>3104</v>
      </c>
      <c r="C29" s="1406" t="s">
        <v>3163</v>
      </c>
      <c r="D29" s="1406">
        <v>69848.44</v>
      </c>
      <c r="E29" s="1406">
        <v>146863</v>
      </c>
      <c r="F29" s="1406">
        <v>2.1</v>
      </c>
      <c r="G29" s="1406" t="s">
        <v>3164</v>
      </c>
      <c r="H29" s="1406" t="s">
        <v>3246</v>
      </c>
      <c r="I29" s="1406">
        <v>220000</v>
      </c>
      <c r="J29" s="1406">
        <v>220000</v>
      </c>
      <c r="K29" s="1406">
        <v>14979.95</v>
      </c>
      <c r="L29" s="1406">
        <v>0</v>
      </c>
      <c r="M29" s="1406" t="s">
        <v>3247</v>
      </c>
      <c r="N29" s="1406" t="s">
        <v>3172</v>
      </c>
    </row>
    <row r="30" spans="1:14">
      <c r="A30" s="1406" t="s">
        <v>3248</v>
      </c>
      <c r="B30" s="1406" t="s">
        <v>3104</v>
      </c>
      <c r="C30" s="1406" t="s">
        <v>3163</v>
      </c>
      <c r="D30" s="1406">
        <v>66079.679999999993</v>
      </c>
      <c r="E30" s="1406">
        <v>111429</v>
      </c>
      <c r="F30" s="1406">
        <v>1.69</v>
      </c>
      <c r="G30" s="1406" t="s">
        <v>3164</v>
      </c>
      <c r="H30" s="1406" t="s">
        <v>3246</v>
      </c>
      <c r="I30" s="1406">
        <v>135000</v>
      </c>
      <c r="J30" s="1406">
        <v>135000</v>
      </c>
      <c r="K30" s="1406">
        <v>12115.34</v>
      </c>
      <c r="L30" s="1406">
        <v>0</v>
      </c>
      <c r="M30" s="1406" t="s">
        <v>3196</v>
      </c>
      <c r="N30" s="1406" t="s">
        <v>3172</v>
      </c>
    </row>
    <row r="31" spans="1:14">
      <c r="A31" s="1406" t="s">
        <v>3249</v>
      </c>
      <c r="B31" s="1406" t="s">
        <v>3104</v>
      </c>
      <c r="C31" s="1406" t="s">
        <v>3163</v>
      </c>
      <c r="D31" s="1406">
        <v>85709</v>
      </c>
      <c r="E31" s="1406">
        <v>179122</v>
      </c>
      <c r="F31" s="1406">
        <v>2.09</v>
      </c>
      <c r="G31" s="1406" t="s">
        <v>3164</v>
      </c>
      <c r="H31" s="1406" t="s">
        <v>3250</v>
      </c>
      <c r="I31" s="1406">
        <v>126000</v>
      </c>
      <c r="J31" s="1406">
        <v>378000</v>
      </c>
      <c r="K31" s="1406">
        <v>21102.93</v>
      </c>
      <c r="L31" s="1406">
        <v>200</v>
      </c>
      <c r="M31" s="1406" t="s">
        <v>3251</v>
      </c>
      <c r="N31" s="1406" t="s">
        <v>3188</v>
      </c>
    </row>
    <row r="32" spans="1:14">
      <c r="A32" s="1406" t="s">
        <v>3252</v>
      </c>
      <c r="B32" s="1406" t="s">
        <v>3104</v>
      </c>
      <c r="C32" s="1406" t="s">
        <v>3163</v>
      </c>
      <c r="D32" s="1406">
        <v>10384</v>
      </c>
      <c r="E32" s="1406">
        <v>25960</v>
      </c>
      <c r="F32" s="1406">
        <v>2.5</v>
      </c>
      <c r="G32" s="1406" t="s">
        <v>3164</v>
      </c>
      <c r="H32" s="1406" t="s">
        <v>3250</v>
      </c>
      <c r="I32" s="1406">
        <v>51300</v>
      </c>
      <c r="J32" s="1406">
        <v>51300</v>
      </c>
      <c r="K32" s="1406">
        <v>19761.16</v>
      </c>
      <c r="L32" s="1406">
        <v>0</v>
      </c>
      <c r="M32" s="1406" t="s">
        <v>3253</v>
      </c>
      <c r="N32" s="1406" t="s">
        <v>3172</v>
      </c>
    </row>
    <row r="33" spans="1:14">
      <c r="A33" s="1406" t="s">
        <v>3254</v>
      </c>
      <c r="B33" s="1406" t="s">
        <v>3104</v>
      </c>
      <c r="C33" s="1406" t="s">
        <v>3163</v>
      </c>
      <c r="D33" s="1406">
        <v>8466</v>
      </c>
      <c r="E33" s="1406">
        <v>21165</v>
      </c>
      <c r="F33" s="1406">
        <v>2.5</v>
      </c>
      <c r="G33" s="1406" t="s">
        <v>3164</v>
      </c>
      <c r="H33" s="1406" t="s">
        <v>3255</v>
      </c>
      <c r="I33" s="1406">
        <v>40600</v>
      </c>
      <c r="J33" s="1406">
        <v>42000</v>
      </c>
      <c r="K33" s="1406">
        <v>19844.080000000002</v>
      </c>
      <c r="L33" s="1406">
        <v>3.45</v>
      </c>
      <c r="M33" s="1406" t="s">
        <v>3256</v>
      </c>
      <c r="N33" s="1406" t="s">
        <v>3172</v>
      </c>
    </row>
    <row r="34" spans="1:14">
      <c r="A34" s="1406" t="s">
        <v>3257</v>
      </c>
      <c r="B34" s="1406" t="s">
        <v>3104</v>
      </c>
      <c r="C34" s="1406" t="s">
        <v>3163</v>
      </c>
      <c r="D34" s="1406">
        <v>2070793</v>
      </c>
      <c r="E34" s="1406">
        <v>1642730</v>
      </c>
      <c r="F34" s="1406">
        <v>0.79</v>
      </c>
      <c r="G34" s="1406" t="s">
        <v>3164</v>
      </c>
      <c r="H34" s="1406" t="s">
        <v>3258</v>
      </c>
      <c r="I34" s="1406">
        <v>870000</v>
      </c>
      <c r="J34" s="1406">
        <v>870000</v>
      </c>
      <c r="K34" s="1406">
        <v>5296.06</v>
      </c>
      <c r="L34" s="1406">
        <v>0</v>
      </c>
      <c r="M34" s="1406" t="s">
        <v>3259</v>
      </c>
      <c r="N34" s="1406" t="s">
        <v>3172</v>
      </c>
    </row>
    <row r="35" spans="1:14">
      <c r="A35" s="1406" t="s">
        <v>3260</v>
      </c>
      <c r="B35" s="1406" t="s">
        <v>3104</v>
      </c>
      <c r="C35" s="1406" t="s">
        <v>3163</v>
      </c>
      <c r="D35" s="1406">
        <v>13326.99</v>
      </c>
      <c r="E35" s="1406">
        <v>46644</v>
      </c>
      <c r="F35" s="1406">
        <v>3.5</v>
      </c>
      <c r="G35" s="1406" t="s">
        <v>3164</v>
      </c>
      <c r="H35" s="1406" t="s">
        <v>3261</v>
      </c>
      <c r="I35" s="1406">
        <v>68000</v>
      </c>
      <c r="J35" s="1406">
        <v>141000</v>
      </c>
      <c r="K35" s="1406">
        <v>30228.97</v>
      </c>
      <c r="L35" s="1406">
        <v>107.35</v>
      </c>
      <c r="M35" s="1406" t="s">
        <v>3262</v>
      </c>
      <c r="N35" s="1406" t="s">
        <v>3172</v>
      </c>
    </row>
    <row r="36" spans="1:14">
      <c r="A36" s="1406" t="s">
        <v>3263</v>
      </c>
      <c r="B36" s="1406" t="s">
        <v>3104</v>
      </c>
      <c r="C36" s="1406" t="s">
        <v>3163</v>
      </c>
      <c r="D36" s="1406">
        <v>33619.79</v>
      </c>
      <c r="E36" s="1406">
        <v>134479</v>
      </c>
      <c r="F36" s="1406">
        <v>4</v>
      </c>
      <c r="G36" s="1406" t="s">
        <v>3164</v>
      </c>
      <c r="H36" s="1406" t="s">
        <v>3264</v>
      </c>
      <c r="I36" s="1406">
        <v>153000</v>
      </c>
      <c r="J36" s="1406">
        <v>334000</v>
      </c>
      <c r="K36" s="1406">
        <v>24836.59</v>
      </c>
      <c r="L36" s="1406">
        <v>118.3</v>
      </c>
      <c r="M36" s="1406" t="s">
        <v>3265</v>
      </c>
      <c r="N36" s="1406" t="s">
        <v>3172</v>
      </c>
    </row>
    <row r="37" spans="1:14">
      <c r="A37" s="1406" t="s">
        <v>3266</v>
      </c>
      <c r="B37" s="1406" t="s">
        <v>3104</v>
      </c>
      <c r="C37" s="1406" t="s">
        <v>3163</v>
      </c>
      <c r="D37" s="1406">
        <v>71916.58</v>
      </c>
      <c r="E37" s="1406">
        <v>107875</v>
      </c>
      <c r="F37" s="1406">
        <v>1.5</v>
      </c>
      <c r="G37" s="1406" t="s">
        <v>3164</v>
      </c>
      <c r="H37" s="1406" t="s">
        <v>3267</v>
      </c>
      <c r="I37" s="1406">
        <v>90000</v>
      </c>
      <c r="J37" s="1406">
        <v>181000</v>
      </c>
      <c r="K37" s="1406">
        <v>16778.68</v>
      </c>
      <c r="L37" s="1406">
        <v>101.11</v>
      </c>
      <c r="M37" s="1406" t="s">
        <v>3268</v>
      </c>
      <c r="N37" s="1406" t="s">
        <v>3167</v>
      </c>
    </row>
    <row r="38" spans="1:14">
      <c r="A38" s="1406" t="s">
        <v>3269</v>
      </c>
      <c r="B38" s="1406" t="s">
        <v>3104</v>
      </c>
      <c r="C38" s="1406" t="s">
        <v>3163</v>
      </c>
      <c r="D38" s="1406">
        <v>47919.26</v>
      </c>
      <c r="E38" s="1406">
        <v>143758</v>
      </c>
      <c r="F38" s="1406">
        <v>3</v>
      </c>
      <c r="G38" s="1406" t="s">
        <v>3164</v>
      </c>
      <c r="H38" s="1406" t="s">
        <v>3270</v>
      </c>
      <c r="I38" s="1406">
        <v>120000</v>
      </c>
      <c r="J38" s="1406">
        <v>130000</v>
      </c>
      <c r="K38" s="1406">
        <v>9042.9599999999991</v>
      </c>
      <c r="L38" s="1406">
        <v>8.33</v>
      </c>
      <c r="M38" s="1406" t="s">
        <v>3268</v>
      </c>
      <c r="N38" s="1406" t="s">
        <v>3167</v>
      </c>
    </row>
    <row r="39" spans="1:14" s="3084" customFormat="1">
      <c r="A39" s="3084" t="s">
        <v>3271</v>
      </c>
      <c r="B39" s="3084" t="s">
        <v>3104</v>
      </c>
      <c r="C39" s="3084" t="s">
        <v>3163</v>
      </c>
      <c r="D39" s="3084">
        <v>49477.2</v>
      </c>
      <c r="E39" s="3084">
        <v>123693</v>
      </c>
      <c r="F39" s="3084">
        <v>2.5</v>
      </c>
      <c r="G39" s="3084" t="s">
        <v>3164</v>
      </c>
      <c r="H39" s="3084" t="s">
        <v>3272</v>
      </c>
      <c r="I39" s="3084">
        <v>74300</v>
      </c>
      <c r="J39" s="3084">
        <v>187500</v>
      </c>
      <c r="K39" s="3084">
        <v>15158.5</v>
      </c>
      <c r="L39" s="3084">
        <v>152.36000000000001</v>
      </c>
      <c r="M39" s="3084" t="s">
        <v>3273</v>
      </c>
      <c r="N39" s="3084" t="s">
        <v>3167</v>
      </c>
    </row>
    <row r="40" spans="1:14">
      <c r="A40" s="1406" t="s">
        <v>3274</v>
      </c>
      <c r="B40" s="1406" t="s">
        <v>3104</v>
      </c>
      <c r="C40" s="1406" t="s">
        <v>3163</v>
      </c>
      <c r="D40" s="1406">
        <v>18313.7</v>
      </c>
      <c r="E40" s="1406">
        <v>119400</v>
      </c>
      <c r="F40" s="1406">
        <v>6.52</v>
      </c>
      <c r="G40" s="1406" t="s">
        <v>3169</v>
      </c>
      <c r="H40" s="1406" t="s">
        <v>3275</v>
      </c>
      <c r="I40" s="1406" t="s">
        <v>1298</v>
      </c>
      <c r="J40" s="1406">
        <v>415000</v>
      </c>
      <c r="K40" s="1406">
        <v>34757.120000000003</v>
      </c>
      <c r="L40" s="1406" t="s">
        <v>1298</v>
      </c>
      <c r="M40" s="1406" t="s">
        <v>3276</v>
      </c>
      <c r="N40" s="1406" t="s">
        <v>3172</v>
      </c>
    </row>
    <row r="41" spans="1:14">
      <c r="A41" s="1406" t="s">
        <v>3277</v>
      </c>
      <c r="B41" s="1406" t="s">
        <v>3104</v>
      </c>
      <c r="C41" s="1406" t="s">
        <v>3163</v>
      </c>
      <c r="D41" s="1406">
        <v>61900.3</v>
      </c>
      <c r="E41" s="1406">
        <v>111421</v>
      </c>
      <c r="F41" s="1406">
        <v>1.8</v>
      </c>
      <c r="G41" s="1406" t="s">
        <v>3164</v>
      </c>
      <c r="H41" s="1406" t="s">
        <v>3278</v>
      </c>
      <c r="I41" s="1406">
        <v>89500</v>
      </c>
      <c r="J41" s="1406">
        <v>197000</v>
      </c>
      <c r="K41" s="1406">
        <v>17680.68</v>
      </c>
      <c r="L41" s="1406">
        <v>120.11</v>
      </c>
      <c r="M41" s="1406" t="s">
        <v>3268</v>
      </c>
      <c r="N41" s="1406" t="s">
        <v>3167</v>
      </c>
    </row>
    <row r="42" spans="1:14">
      <c r="A42" s="1406" t="s">
        <v>3279</v>
      </c>
      <c r="B42" s="1406" t="s">
        <v>3104</v>
      </c>
      <c r="C42" s="1406" t="s">
        <v>3163</v>
      </c>
      <c r="D42" s="1406">
        <v>66594.820000000007</v>
      </c>
      <c r="E42" s="1406">
        <v>119871</v>
      </c>
      <c r="F42" s="1406">
        <v>1.8</v>
      </c>
      <c r="G42" s="1406" t="s">
        <v>3164</v>
      </c>
      <c r="H42" s="1406" t="s">
        <v>3278</v>
      </c>
      <c r="I42" s="1406">
        <v>96000</v>
      </c>
      <c r="J42" s="1406">
        <v>196000</v>
      </c>
      <c r="K42" s="1406">
        <v>16350.9</v>
      </c>
      <c r="L42" s="1406">
        <v>104.17</v>
      </c>
      <c r="M42" s="1406" t="s">
        <v>3268</v>
      </c>
      <c r="N42" s="1406" t="s">
        <v>3167</v>
      </c>
    </row>
    <row r="43" spans="1:14">
      <c r="A43" s="1406" t="s">
        <v>3280</v>
      </c>
      <c r="B43" s="1406" t="s">
        <v>3104</v>
      </c>
      <c r="C43" s="1406" t="s">
        <v>3163</v>
      </c>
      <c r="D43" s="1406">
        <v>44700.95</v>
      </c>
      <c r="E43" s="1406">
        <v>80462</v>
      </c>
      <c r="F43" s="1406">
        <v>1.8</v>
      </c>
      <c r="G43" s="1406" t="s">
        <v>3164</v>
      </c>
      <c r="H43" s="1406" t="s">
        <v>3281</v>
      </c>
      <c r="I43" s="1406">
        <v>22400</v>
      </c>
      <c r="J43" s="1406">
        <v>22400</v>
      </c>
      <c r="K43" s="1406">
        <v>2783.92</v>
      </c>
      <c r="L43" s="1406">
        <v>0</v>
      </c>
      <c r="M43" s="1406" t="s">
        <v>3282</v>
      </c>
      <c r="N43" s="1406" t="s">
        <v>3167</v>
      </c>
    </row>
    <row r="44" spans="1:14">
      <c r="A44" s="1406" t="s">
        <v>3283</v>
      </c>
      <c r="B44" s="1406" t="s">
        <v>3104</v>
      </c>
      <c r="C44" s="1406" t="s">
        <v>3163</v>
      </c>
      <c r="D44" s="1406">
        <v>35244.94</v>
      </c>
      <c r="E44" s="1406">
        <v>123357</v>
      </c>
      <c r="F44" s="1406">
        <v>3.5</v>
      </c>
      <c r="G44" s="1406" t="s">
        <v>3164</v>
      </c>
      <c r="H44" s="1406" t="s">
        <v>3284</v>
      </c>
      <c r="I44" s="1406">
        <v>160000</v>
      </c>
      <c r="J44" s="1406">
        <v>354000</v>
      </c>
      <c r="K44" s="1406">
        <v>28697.200000000001</v>
      </c>
      <c r="L44" s="1406">
        <v>121.25</v>
      </c>
      <c r="M44" s="1406" t="s">
        <v>3285</v>
      </c>
      <c r="N44" s="1406" t="s">
        <v>3172</v>
      </c>
    </row>
    <row r="45" spans="1:14">
      <c r="A45" s="1406" t="s">
        <v>3286</v>
      </c>
      <c r="B45" s="1406" t="s">
        <v>3104</v>
      </c>
      <c r="C45" s="1406" t="s">
        <v>3163</v>
      </c>
      <c r="D45" s="1406">
        <v>74500</v>
      </c>
      <c r="E45" s="1406">
        <v>475640</v>
      </c>
      <c r="F45" s="1406">
        <v>6.38</v>
      </c>
      <c r="G45" s="1406" t="s">
        <v>3164</v>
      </c>
      <c r="H45" s="1406" t="s">
        <v>3287</v>
      </c>
      <c r="I45" s="1406">
        <v>420000</v>
      </c>
      <c r="J45" s="1406">
        <v>420000</v>
      </c>
      <c r="K45" s="1406">
        <v>8830.2000000000007</v>
      </c>
      <c r="L45" s="1406">
        <v>0</v>
      </c>
      <c r="M45" s="1406" t="s">
        <v>3288</v>
      </c>
      <c r="N45" s="1406" t="s">
        <v>3172</v>
      </c>
    </row>
    <row r="46" spans="1:14">
      <c r="A46" s="1406" t="s">
        <v>3289</v>
      </c>
      <c r="B46" s="1406" t="s">
        <v>3104</v>
      </c>
      <c r="C46" s="1406" t="s">
        <v>3163</v>
      </c>
      <c r="D46" s="1406">
        <v>17629.740000000002</v>
      </c>
      <c r="E46" s="1406">
        <v>52889</v>
      </c>
      <c r="F46" s="1406">
        <v>3</v>
      </c>
      <c r="G46" s="1406" t="s">
        <v>3164</v>
      </c>
      <c r="H46" s="1406" t="s">
        <v>3290</v>
      </c>
      <c r="I46" s="1406">
        <v>63500</v>
      </c>
      <c r="J46" s="1406">
        <v>64200</v>
      </c>
      <c r="K46" s="1406">
        <v>12138.62</v>
      </c>
      <c r="L46" s="1406">
        <v>1.1000000000000001</v>
      </c>
      <c r="M46" s="1406" t="s">
        <v>3291</v>
      </c>
      <c r="N46" s="1406" t="s">
        <v>3172</v>
      </c>
    </row>
    <row r="47" spans="1:14">
      <c r="A47" s="1406" t="s">
        <v>3292</v>
      </c>
      <c r="B47" s="1406" t="s">
        <v>3104</v>
      </c>
      <c r="C47" s="1406" t="s">
        <v>3163</v>
      </c>
      <c r="D47" s="1406">
        <v>20680.23</v>
      </c>
      <c r="E47" s="1406">
        <v>62041</v>
      </c>
      <c r="F47" s="1406">
        <v>3</v>
      </c>
      <c r="G47" s="1406" t="s">
        <v>3164</v>
      </c>
      <c r="H47" s="1406" t="s">
        <v>3293</v>
      </c>
      <c r="I47" s="1406">
        <v>75000</v>
      </c>
      <c r="J47" s="1406">
        <v>81000</v>
      </c>
      <c r="K47" s="1406">
        <v>13055.87</v>
      </c>
      <c r="L47" s="1406">
        <v>8</v>
      </c>
      <c r="M47" s="1406" t="s">
        <v>3294</v>
      </c>
      <c r="N47" s="1406" t="s">
        <v>3172</v>
      </c>
    </row>
    <row r="48" spans="1:14">
      <c r="A48" s="1406" t="s">
        <v>3295</v>
      </c>
      <c r="B48" s="1406" t="s">
        <v>3104</v>
      </c>
      <c r="C48" s="1406" t="s">
        <v>3163</v>
      </c>
      <c r="D48" s="1406">
        <v>27377.24</v>
      </c>
      <c r="E48" s="1406">
        <v>62968</v>
      </c>
      <c r="F48" s="1406">
        <v>2.2999999999999998</v>
      </c>
      <c r="G48" s="1406" t="s">
        <v>3164</v>
      </c>
      <c r="H48" s="1406" t="s">
        <v>3293</v>
      </c>
      <c r="I48" s="1406">
        <v>65000</v>
      </c>
      <c r="J48" s="1406">
        <v>65000</v>
      </c>
      <c r="K48" s="1406">
        <v>10322.700000000001</v>
      </c>
      <c r="L48" s="1406">
        <v>0</v>
      </c>
      <c r="M48" s="1406" t="s">
        <v>3247</v>
      </c>
      <c r="N48" s="1406" t="s">
        <v>3203</v>
      </c>
    </row>
    <row r="49" spans="1:14">
      <c r="A49" s="1406" t="s">
        <v>3296</v>
      </c>
      <c r="B49" s="1406" t="s">
        <v>3104</v>
      </c>
      <c r="C49" s="1406" t="s">
        <v>3163</v>
      </c>
      <c r="D49" s="1406">
        <v>14788.3</v>
      </c>
      <c r="E49" s="1406">
        <v>59153</v>
      </c>
      <c r="F49" s="1406">
        <v>4</v>
      </c>
      <c r="G49" s="1406" t="s">
        <v>3164</v>
      </c>
      <c r="H49" s="1406" t="s">
        <v>3297</v>
      </c>
      <c r="I49" s="1406">
        <v>71500</v>
      </c>
      <c r="J49" s="1406">
        <v>176000</v>
      </c>
      <c r="K49" s="1406">
        <v>29753.34</v>
      </c>
      <c r="L49" s="1406">
        <v>146.15</v>
      </c>
      <c r="M49" s="1406" t="s">
        <v>3298</v>
      </c>
      <c r="N49" s="1406" t="s">
        <v>3172</v>
      </c>
    </row>
    <row r="50" spans="1:14">
      <c r="A50" s="1406" t="s">
        <v>3299</v>
      </c>
      <c r="B50" s="1406" t="s">
        <v>3104</v>
      </c>
      <c r="C50" s="1406" t="s">
        <v>3163</v>
      </c>
      <c r="D50" s="1406">
        <v>29500</v>
      </c>
      <c r="E50" s="1406">
        <v>118000</v>
      </c>
      <c r="F50" s="1406">
        <v>4</v>
      </c>
      <c r="G50" s="1406" t="s">
        <v>3164</v>
      </c>
      <c r="H50" s="1406" t="s">
        <v>3297</v>
      </c>
      <c r="I50" s="1406">
        <v>142000</v>
      </c>
      <c r="J50" s="1406">
        <v>342000</v>
      </c>
      <c r="K50" s="1406">
        <v>28983.040000000001</v>
      </c>
      <c r="L50" s="1406">
        <v>140.85</v>
      </c>
      <c r="M50" s="1406" t="s">
        <v>3298</v>
      </c>
      <c r="N50" s="1406" t="s">
        <v>3172</v>
      </c>
    </row>
    <row r="51" spans="1:14">
      <c r="A51" s="1406" t="s">
        <v>3300</v>
      </c>
      <c r="B51" s="1406" t="s">
        <v>3104</v>
      </c>
      <c r="C51" s="1406" t="s">
        <v>3163</v>
      </c>
      <c r="D51" s="1406">
        <v>15089.35</v>
      </c>
      <c r="E51" s="1406">
        <v>60357</v>
      </c>
      <c r="F51" s="1406">
        <v>4</v>
      </c>
      <c r="G51" s="1406" t="s">
        <v>3164</v>
      </c>
      <c r="H51" s="1406" t="s">
        <v>3301</v>
      </c>
      <c r="I51" s="1406">
        <v>71000</v>
      </c>
      <c r="J51" s="1406">
        <v>110000</v>
      </c>
      <c r="K51" s="1406">
        <v>18224.900000000001</v>
      </c>
      <c r="L51" s="1406">
        <v>54.93</v>
      </c>
      <c r="M51" s="1406" t="s">
        <v>3302</v>
      </c>
      <c r="N51" s="1406" t="s">
        <v>3172</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I37" sqref="I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2"/>
      <c r="C1" s="1353"/>
      <c r="D1" s="1351"/>
      <c r="E1" s="3038"/>
      <c r="F1" s="3038"/>
      <c r="G1" s="2901"/>
      <c r="H1" s="3038"/>
      <c r="I1" s="3038"/>
      <c r="J1" s="3038"/>
      <c r="K1" s="3039">
        <f>MATCH(C1,'数据-取费表'!A6:A16,0)+5</f>
        <v>8</v>
      </c>
    </row>
    <row r="2" spans="1:33" ht="18" customHeight="1">
      <c r="A2" s="207" t="s">
        <v>2150</v>
      </c>
      <c r="B2" s="210">
        <f ca="1">C32</f>
        <v>196891</v>
      </c>
      <c r="C2" s="282" t="s">
        <v>2283</v>
      </c>
      <c r="D2" s="282"/>
      <c r="E2" s="3038"/>
      <c r="F2" s="3038"/>
      <c r="G2" s="3038"/>
      <c r="H2" s="3038"/>
      <c r="I2" s="3038"/>
      <c r="J2" s="3038"/>
      <c r="K2" s="3038"/>
    </row>
    <row r="3" spans="1:33" ht="18" customHeight="1" thickBot="1">
      <c r="A3" s="209" t="s">
        <v>2152</v>
      </c>
      <c r="B3" s="210">
        <f ca="1">ROUND(B2*10000/IF(C1="",'数据-汇总表'!E3,INDIRECT("'数据-取费表'!K"&amp;$K$1)),0)</f>
        <v>12800</v>
      </c>
      <c r="C3" s="282" t="s">
        <v>2284</v>
      </c>
      <c r="D3" s="282"/>
      <c r="E3" s="3038"/>
      <c r="F3" s="3038"/>
      <c r="G3" s="3038"/>
      <c r="H3" s="3038"/>
      <c r="I3" s="3038"/>
      <c r="J3" s="3038"/>
      <c r="K3" s="3038"/>
    </row>
    <row r="4" spans="1:33" s="893" customFormat="1" ht="16.5" customHeight="1">
      <c r="A4" s="890" t="s">
        <v>2285</v>
      </c>
      <c r="B4" s="891"/>
      <c r="C4" s="933">
        <f ca="1">SUM(C8:K8)</f>
        <v>347171</v>
      </c>
      <c r="D4" s="891"/>
      <c r="E4" s="891"/>
      <c r="F4" s="891"/>
      <c r="G4" s="891"/>
      <c r="H4" s="891"/>
      <c r="I4" s="891"/>
      <c r="J4" s="891"/>
      <c r="K4" s="892"/>
    </row>
    <row r="5" spans="1:33" s="897" customFormat="1" ht="15">
      <c r="A5" s="894" t="s">
        <v>2286</v>
      </c>
      <c r="B5" s="895" t="s">
        <v>2287</v>
      </c>
      <c r="C5" s="2047" t="s">
        <v>27</v>
      </c>
      <c r="D5" s="2047" t="s">
        <v>3328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24532</v>
      </c>
      <c r="D6" s="899">
        <f ca="1">'收益法-二期'!B3</f>
        <v>0</v>
      </c>
      <c r="E6" s="899"/>
      <c r="F6" s="899"/>
      <c r="G6" s="899"/>
      <c r="H6" s="899"/>
      <c r="I6" s="899"/>
      <c r="J6" s="899"/>
      <c r="K6" s="900"/>
      <c r="L6" s="901">
        <f ca="1">C8/'数据-汇总表'!F31</f>
        <v>2.8275481578516137</v>
      </c>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141515.38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f ca="1">收益法!B2</f>
        <v>347171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55473</v>
      </c>
      <c r="D11" s="910"/>
      <c r="E11" s="335"/>
      <c r="F11" s="911">
        <f ca="1">1-IF('数据-取费表'!B24=0,1,IF(C1="",'数据-取费表'!N16,INDIRECT("'数据-取费表'!n"&amp;$K$1)))</f>
        <v>0.73899999999999999</v>
      </c>
      <c r="G11" s="8"/>
      <c r="H11" s="905"/>
      <c r="I11" s="905"/>
      <c r="J11" s="905"/>
      <c r="K11" s="906"/>
    </row>
    <row r="12" spans="1:33" s="912" customFormat="1" ht="13.5" customHeight="1">
      <c r="A12" s="908" t="s">
        <v>1301</v>
      </c>
      <c r="B12" s="909" t="s">
        <v>2301</v>
      </c>
      <c r="C12" s="24">
        <f ca="1">ROUND(C11*F12,0)</f>
        <v>1664</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2273</v>
      </c>
      <c r="D14" s="955">
        <f ca="1">IF(C1="",'数据-汇总表'!E3,INDIRECT("'数据-取费表'!K"&amp;$K$1)+INDIRECT("'数据-取费表'!S"&amp;$K$1))</f>
        <v>153820.67000000001</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832</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60242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1538</v>
      </c>
      <c r="D17" s="955">
        <f ca="1">D14</f>
        <v>153820.67000000001</v>
      </c>
      <c r="E17" s="24">
        <f>'数据-取费表'!B32</f>
        <v>100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8"/>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153820.67000000001</v>
      </c>
      <c r="E20" s="24">
        <f>'数据-取费表'!B28</f>
        <v>0</v>
      </c>
      <c r="F20" s="913"/>
      <c r="G20" s="15"/>
      <c r="H20" s="918"/>
      <c r="I20" s="918"/>
      <c r="J20" s="918"/>
      <c r="K20" s="919"/>
    </row>
    <row r="21" spans="1:33" s="912" customFormat="1" ht="13.5" customHeight="1">
      <c r="A21" s="898" t="s">
        <v>802</v>
      </c>
      <c r="B21" s="922" t="s">
        <v>2316</v>
      </c>
      <c r="C21" s="923">
        <f ca="1">C16+C17+C18</f>
        <v>61780</v>
      </c>
      <c r="D21" s="924"/>
      <c r="E21" s="287"/>
      <c r="F21" s="287"/>
      <c r="G21" s="136" t="s">
        <v>2317</v>
      </c>
      <c r="H21" s="916"/>
      <c r="I21" s="916"/>
      <c r="J21" s="916"/>
      <c r="K21" s="917"/>
    </row>
    <row r="22" spans="1:33" s="912" customFormat="1" ht="13.5" customHeight="1">
      <c r="A22" s="898" t="s">
        <v>2289</v>
      </c>
      <c r="B22" s="922" t="s">
        <v>2318</v>
      </c>
      <c r="C22" s="923">
        <f ca="1">ROUND(C21*F22,0)</f>
        <v>1236</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5131</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3597</v>
      </c>
      <c r="D25" s="286">
        <f ca="1">C26</f>
        <v>0.1115</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0.1115</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3597</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10222</v>
      </c>
      <c r="D28" s="286">
        <f ca="1">C29</f>
        <v>0.11409999999999999</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0.11409999999999999</v>
      </c>
      <c r="D29" s="290"/>
      <c r="E29" s="291"/>
      <c r="F29" s="296"/>
      <c r="G29" s="136" t="s">
        <v>2332</v>
      </c>
      <c r="H29" s="916"/>
      <c r="I29" s="916"/>
      <c r="J29" s="916"/>
      <c r="K29" s="917"/>
    </row>
    <row r="30" spans="1:33" s="297" customFormat="1" ht="13.5" customHeight="1">
      <c r="A30" s="908" t="s">
        <v>804</v>
      </c>
      <c r="B30" s="931" t="s">
        <v>2333</v>
      </c>
      <c r="C30" s="298">
        <f ca="1">ROUND((C21+C22+C23)*F28,0)</f>
        <v>10222</v>
      </c>
      <c r="D30" s="290"/>
      <c r="E30" s="291"/>
      <c r="F30" s="296"/>
      <c r="G30" s="136"/>
      <c r="H30" s="916"/>
      <c r="I30" s="916"/>
      <c r="J30" s="916"/>
      <c r="K30" s="917"/>
    </row>
    <row r="31" spans="1:33" s="912" customFormat="1" ht="13.5" customHeight="1" thickBot="1">
      <c r="A31" s="2053" t="s">
        <v>2334</v>
      </c>
      <c r="B31" s="942" t="s">
        <v>2335</v>
      </c>
      <c r="C31" s="943">
        <f ca="1">ROUND(C4*F31/(1+'数据-取费表'!C42),0)</f>
        <v>18185</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196891</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8"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3144</v>
      </c>
      <c r="E1" s="1548" t="s">
        <v>1352</v>
      </c>
      <c r="F1" s="1193">
        <f ca="1">J53</f>
        <v>43.073</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347171</v>
      </c>
      <c r="C2" s="1572" t="s">
        <v>1481</v>
      </c>
      <c r="D2" s="1572"/>
      <c r="E2" s="1573"/>
      <c r="F2" s="1574"/>
      <c r="G2" s="2936"/>
      <c r="H2" s="2925"/>
      <c r="I2" s="2925"/>
      <c r="J2" s="2925"/>
      <c r="K2" s="2926"/>
      <c r="L2" s="2925"/>
      <c r="M2" s="2925"/>
    </row>
    <row r="3" spans="1:37" ht="18" customHeight="1" thickBot="1">
      <c r="A3" s="1575" t="s">
        <v>1482</v>
      </c>
      <c r="B3" s="1576">
        <f ca="1">IF(ISERROR(B2*10000/F43),0,ROUND(B2*10000/F43,0))</f>
        <v>24532</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17322</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14341</v>
      </c>
      <c r="D6" s="160" t="s">
        <v>2849</v>
      </c>
      <c r="E6" s="308" t="s">
        <v>1370</v>
      </c>
      <c r="F6" s="309">
        <f ca="1">INDIRECT("'数据-取费表'!u"&amp;$G$1)</f>
        <v>3.2</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122781.64</v>
      </c>
      <c r="G7" s="1569"/>
      <c r="H7" s="310"/>
      <c r="I7" s="3358"/>
      <c r="J7" s="312"/>
      <c r="K7" s="313"/>
      <c r="L7" s="308" t="s">
        <v>1371</v>
      </c>
      <c r="M7" s="309">
        <f ca="1">F7</f>
        <v>122781.64</v>
      </c>
    </row>
    <row r="8" spans="1:37" ht="18" customHeight="1">
      <c r="A8" s="310"/>
      <c r="B8" s="3358"/>
      <c r="C8" s="312"/>
      <c r="D8" s="313"/>
      <c r="E8" s="308" t="s">
        <v>1372</v>
      </c>
      <c r="F8" s="309">
        <f ca="1">INDIRECT("'数据-取费表'!ai"&amp;$G$1)</f>
        <v>365</v>
      </c>
      <c r="G8" s="1569"/>
      <c r="H8" s="310"/>
      <c r="I8" s="3358"/>
      <c r="J8" s="312"/>
      <c r="K8" s="313"/>
      <c r="L8" s="308" t="s">
        <v>1372</v>
      </c>
      <c r="M8" s="309">
        <f ca="1">INDIRECT("'数据-取费表'!ai"&amp;$G$1)</f>
        <v>365</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2981</v>
      </c>
      <c r="D10" s="1551" t="s">
        <v>2857</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f>酒店收入计算!C40+'收益法-二期'!C11</f>
        <v>198720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110069</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75065</v>
      </c>
      <c r="D14" s="1530" t="s">
        <v>1383</v>
      </c>
      <c r="E14" s="1527"/>
      <c r="F14" s="325"/>
      <c r="G14" s="1569"/>
      <c r="H14" s="1113" t="s">
        <v>1003</v>
      </c>
      <c r="I14" s="308" t="s">
        <v>1384</v>
      </c>
      <c r="J14" s="24">
        <f ca="1">C29</f>
        <v>110069</v>
      </c>
      <c r="K14" s="15"/>
      <c r="L14" s="916"/>
      <c r="M14" s="917"/>
    </row>
    <row r="15" spans="1:37" s="1582" customFormat="1" ht="18" customHeight="1" thickBot="1">
      <c r="A15" s="1113" t="s">
        <v>1004</v>
      </c>
      <c r="B15" s="308" t="s">
        <v>1385</v>
      </c>
      <c r="C15" s="24">
        <f ca="1">ROUND(C14*F15,0)</f>
        <v>2252</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2583</v>
      </c>
      <c r="K16" s="1247" t="s">
        <v>1390</v>
      </c>
      <c r="L16" s="1248"/>
      <c r="M16" s="1204"/>
    </row>
    <row r="17" spans="1:37" s="1582" customFormat="1" ht="18" customHeight="1">
      <c r="A17" s="1113" t="s">
        <v>1355</v>
      </c>
      <c r="B17" s="308" t="s">
        <v>1391</v>
      </c>
      <c r="C17" s="24">
        <f ca="1">ROUND(F17*(F43+INDIRECT("'数据-取费表'!S"&amp;$G$1))/10000,0)</f>
        <v>3076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932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1126</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81519</v>
      </c>
      <c r="D19" s="136" t="s">
        <v>1401</v>
      </c>
      <c r="E19" s="1545"/>
      <c r="F19" s="26"/>
      <c r="G19" s="1569"/>
      <c r="H19" s="1113" t="s">
        <v>1004</v>
      </c>
      <c r="I19" s="308" t="s">
        <v>1402</v>
      </c>
      <c r="J19" s="24">
        <f ca="1">IF(K19="按租金收入计税",ROUND(J6*M19/(1+'数据-取费表'!C42),2),ROUND(C29*M19*0.7,2))</f>
        <v>924.58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1630</v>
      </c>
      <c r="D20" s="329" t="s">
        <v>1405</v>
      </c>
      <c r="E20" s="308" t="s">
        <v>1387</v>
      </c>
      <c r="F20" s="328">
        <f>'数据-取费表'!B37</f>
        <v>0.02</v>
      </c>
      <c r="G20" s="1581"/>
      <c r="H20" s="1113" t="s">
        <v>1354</v>
      </c>
      <c r="I20" s="160" t="s">
        <v>1406</v>
      </c>
      <c r="J20" s="25">
        <f ca="1">ROUND(M20*M21/10000,2)</f>
        <v>7.42</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49477.2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1651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5995</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-2583</v>
      </c>
      <c r="K25" s="1255" t="s">
        <v>1429</v>
      </c>
      <c r="L25" s="1256"/>
      <c r="M25" s="1257"/>
    </row>
    <row r="26" spans="1:37">
      <c r="A26" s="1113" t="s">
        <v>1002</v>
      </c>
      <c r="B26" s="308" t="s">
        <v>1430</v>
      </c>
      <c r="C26" s="24">
        <f ca="1">ROUND((C19+C20)*F26,0)</f>
        <v>12472</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110069</v>
      </c>
      <c r="D29" s="1252"/>
      <c r="E29" s="1250"/>
      <c r="F29" s="1253"/>
      <c r="G29" s="1581"/>
      <c r="H29" s="340" t="s">
        <v>1001</v>
      </c>
      <c r="I29" s="341" t="s">
        <v>1444</v>
      </c>
      <c r="J29" s="342">
        <f ca="1">ROUND(J26/(1+F40)^F41,0)</f>
        <v>0</v>
      </c>
      <c r="K29" s="343" t="s">
        <v>1445</v>
      </c>
      <c r="L29" s="344"/>
      <c r="M29" s="345">
        <f ca="1">INDIRECT("'数据-取费表'!k"&amp;$G$1)</f>
        <v>141515.38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3846</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1683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751.2</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924.58</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7.42</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49477.2</v>
      </c>
      <c r="G35" s="1569"/>
      <c r="H35" s="2927"/>
      <c r="I35" s="1583"/>
      <c r="J35" s="1584"/>
      <c r="K35" s="2931"/>
      <c r="L35" s="2930"/>
      <c r="M35" s="2930"/>
    </row>
    <row r="36" spans="1:18" ht="18" customHeight="1">
      <c r="A36" s="1262" t="s">
        <v>1007</v>
      </c>
      <c r="B36" s="308" t="s">
        <v>1414</v>
      </c>
      <c r="C36" s="24">
        <f ca="1">ROUND(C29*F36,1)</f>
        <v>1651</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165.1</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346.4</v>
      </c>
      <c r="D38" s="1252" t="s">
        <v>1424</v>
      </c>
      <c r="E38" s="1250" t="s">
        <v>1420</v>
      </c>
      <c r="F38" s="1246">
        <f ca="1">INDIRECT("'数据-取费表'!Am"&amp;$G$1)</f>
        <v>0.02</v>
      </c>
      <c r="G38" s="1569"/>
      <c r="H38" s="2930"/>
      <c r="I38" s="1583"/>
      <c r="J38" s="1584"/>
      <c r="K38" s="2934"/>
      <c r="L38" s="2930"/>
      <c r="M38" s="2930"/>
    </row>
    <row r="39" spans="1:18" ht="24.6" customHeight="1" thickTop="1">
      <c r="A39" s="1239" t="s">
        <v>999</v>
      </c>
      <c r="B39" s="1254" t="s">
        <v>1448</v>
      </c>
      <c r="C39" s="316">
        <f ca="1">C5-C30</f>
        <v>13476</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347171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0.03</v>
      </c>
      <c r="G42" s="1569"/>
      <c r="H42" s="1352"/>
      <c r="I42" s="1583"/>
      <c r="J42" s="1584"/>
      <c r="K42" s="2771"/>
      <c r="L42" s="1352"/>
      <c r="M42" s="1352"/>
    </row>
    <row r="43" spans="1:18" ht="18" customHeight="1" thickBot="1">
      <c r="A43" s="340" t="s">
        <v>1001</v>
      </c>
      <c r="B43" s="341" t="s">
        <v>1452</v>
      </c>
      <c r="C43" s="342">
        <f ca="1">ROUND(C40*10000/F43,0)</f>
        <v>24532</v>
      </c>
      <c r="D43" s="343" t="s">
        <v>1453</v>
      </c>
      <c r="E43" s="344" t="s">
        <v>1454</v>
      </c>
      <c r="F43" s="345">
        <f ca="1">INDIRECT("'数据-取费表'!k"&amp;$G$1)</f>
        <v>141515.38</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-392156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f ca="1">C40+J29</f>
        <v>347171</v>
      </c>
      <c r="R47" s="1605" t="s">
        <v>1494</v>
      </c>
    </row>
    <row r="48" spans="1:18" s="1569" customFormat="1" ht="28.5" thickBot="1">
      <c r="A48" s="1270" t="s">
        <v>1103</v>
      </c>
      <c r="B48" s="306" t="s">
        <v>1366</v>
      </c>
      <c r="C48" s="1544">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2021</v>
      </c>
      <c r="K49" s="1608" t="s">
        <v>1500</v>
      </c>
      <c r="L49" s="1612"/>
      <c r="O49" s="1613" t="s">
        <v>1010</v>
      </c>
      <c r="P49" s="1604" t="s">
        <v>1501</v>
      </c>
      <c r="Q49" s="1605">
        <f ca="1">C29</f>
        <v>110069</v>
      </c>
      <c r="R49" s="1605" t="s">
        <v>1494</v>
      </c>
    </row>
    <row r="50" spans="1:18" s="1569" customFormat="1" ht="13.5" thickBot="1">
      <c r="A50" s="1107"/>
      <c r="B50" s="1110"/>
      <c r="C50" s="1278"/>
      <c r="D50" s="1084"/>
      <c r="E50" s="1187" t="s">
        <v>1371</v>
      </c>
      <c r="F50" s="1188">
        <f ca="1">F7</f>
        <v>122781.64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88647</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f ca="1">Q47+Q48</f>
        <v>347171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110069</v>
      </c>
      <c r="D56" s="1632"/>
      <c r="E56" s="1633"/>
      <c r="F56" s="1625"/>
      <c r="I56" s="1634" t="s">
        <v>1519</v>
      </c>
      <c r="J56" s="1635" t="s">
        <v>3112</v>
      </c>
      <c r="K56" s="1606" t="s">
        <v>1520</v>
      </c>
      <c r="L56" s="1609" t="str">
        <f ca="1">IF(L48&lt;J51,"——",L48-J53)</f>
        <v>——</v>
      </c>
      <c r="O56" s="1603" t="s">
        <v>1008</v>
      </c>
      <c r="P56" s="1604" t="s">
        <v>1493</v>
      </c>
      <c r="Q56" s="1605">
        <f ca="1">C40+J29</f>
        <v>347171</v>
      </c>
      <c r="R56" s="1605" t="s">
        <v>1494</v>
      </c>
    </row>
    <row r="57" spans="1:18" s="1569" customFormat="1" ht="24.75" thickBot="1">
      <c r="A57" s="1636"/>
      <c r="B57" s="1081" t="s">
        <v>1443</v>
      </c>
      <c r="C57" s="244">
        <f ca="1">C29</f>
        <v>110069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2748</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932</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924.58</v>
      </c>
      <c r="D61" s="1555" t="s">
        <v>1403</v>
      </c>
      <c r="E61" s="1081" t="s">
        <v>1459</v>
      </c>
      <c r="F61" s="328">
        <f t="shared" si="0"/>
        <v>1.2E-2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7.42</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347171</v>
      </c>
      <c r="R62" s="1605" t="s">
        <v>1015</v>
      </c>
    </row>
    <row r="63" spans="1:18" s="1569" customFormat="1" ht="13.5" thickBot="1">
      <c r="A63" s="332"/>
      <c r="B63" s="1087"/>
      <c r="C63" s="29"/>
      <c r="D63" s="1097"/>
      <c r="E63" s="1081" t="s">
        <v>1464</v>
      </c>
      <c r="F63" s="309">
        <f t="shared" ca="1" si="0"/>
        <v>49477.2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1651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165.1</v>
      </c>
      <c r="D65" s="1095" t="s">
        <v>1419</v>
      </c>
      <c r="E65" s="1081" t="s">
        <v>1420</v>
      </c>
      <c r="F65" s="336">
        <f t="shared" ca="1" si="0"/>
        <v>1.5E-3</v>
      </c>
      <c r="I65" s="1647" t="s">
        <v>1544</v>
      </c>
      <c r="J65" s="1648">
        <v>40</v>
      </c>
      <c r="K65" s="1648">
        <v>30</v>
      </c>
      <c r="L65" s="1648">
        <v>50</v>
      </c>
      <c r="M65" s="1650">
        <v>0.02</v>
      </c>
      <c r="O65" s="1603" t="s">
        <v>1008</v>
      </c>
      <c r="P65" s="1604" t="s">
        <v>1545</v>
      </c>
      <c r="Q65" s="1605">
        <f ca="1">C40+J29</f>
        <v>347171</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-2748</v>
      </c>
      <c r="D67" s="1094" t="s">
        <v>1429</v>
      </c>
      <c r="E67" s="1099"/>
      <c r="F67" s="1100"/>
      <c r="O67" s="1613" t="s">
        <v>1010</v>
      </c>
      <c r="P67" s="1604" t="s">
        <v>1527</v>
      </c>
      <c r="Q67" s="1651">
        <f ca="1">L51</f>
        <v>88647</v>
      </c>
      <c r="R67" s="1605" t="s">
        <v>1547</v>
      </c>
    </row>
    <row r="68" spans="1:18" s="1569" customFormat="1" ht="16.5" thickBot="1">
      <c r="A68" s="1078" t="s">
        <v>1000</v>
      </c>
      <c r="B68" s="1079" t="s">
        <v>1450</v>
      </c>
      <c r="C68" s="307">
        <f ca="1">ROUND(C67*(1-((1+F70)/(1+F68))^F69)/(F68-F70),0)</f>
        <v>-44985</v>
      </c>
      <c r="D68" s="1096" t="s">
        <v>1434</v>
      </c>
      <c r="E68" s="1081" t="s">
        <v>1435</v>
      </c>
      <c r="F68" s="318">
        <f ca="1">F40</f>
        <v>5.5E-2</v>
      </c>
      <c r="O68" s="1613" t="s">
        <v>1011</v>
      </c>
      <c r="P68" s="1652" t="s">
        <v>1548</v>
      </c>
      <c r="Q68" s="1605">
        <f ca="1">ROUND(Q69-Q70*Q71,0)</f>
        <v>4670</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13476</v>
      </c>
      <c r="R69" s="1605" t="s">
        <v>1494</v>
      </c>
    </row>
    <row r="70" spans="1:18" s="1569" customFormat="1" ht="13.5" thickBot="1">
      <c r="A70" s="1085"/>
      <c r="B70" s="1086"/>
      <c r="C70" s="316"/>
      <c r="D70" s="1097"/>
      <c r="E70" s="1081" t="s">
        <v>1442</v>
      </c>
      <c r="F70" s="1185"/>
      <c r="O70" s="1613" t="s">
        <v>1017</v>
      </c>
      <c r="P70" s="1652" t="s">
        <v>1550</v>
      </c>
      <c r="Q70" s="1605">
        <f ca="1">C13</f>
        <v>110069</v>
      </c>
      <c r="R70" s="1605" t="s">
        <v>1494</v>
      </c>
    </row>
    <row r="71" spans="1:18" s="1569" customFormat="1" ht="13.5" thickBot="1">
      <c r="A71" s="1102" t="s">
        <v>1001</v>
      </c>
      <c r="B71" s="1103" t="s">
        <v>1452</v>
      </c>
      <c r="C71" s="342">
        <f ca="1">ROUND(C68*10000/F71,0)</f>
        <v>-3179</v>
      </c>
      <c r="D71" s="1104" t="s">
        <v>1453</v>
      </c>
      <c r="E71" s="1105" t="s">
        <v>1454</v>
      </c>
      <c r="F71" s="345">
        <f ca="1">F43</f>
        <v>141515.38</v>
      </c>
      <c r="O71" s="1613" t="s">
        <v>1018</v>
      </c>
      <c r="P71" s="1652" t="s">
        <v>1551</v>
      </c>
      <c r="Q71" s="1616">
        <f ca="1">C76</f>
        <v>0.08</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8806</v>
      </c>
      <c r="D75" s="1569"/>
      <c r="E75" s="1569"/>
      <c r="F75" s="1569"/>
      <c r="K75" s="1587"/>
      <c r="L75" s="1569"/>
      <c r="O75" s="1603" t="s">
        <v>1014</v>
      </c>
      <c r="P75" s="1604" t="s">
        <v>1514</v>
      </c>
      <c r="Q75" s="1605">
        <f ca="1">Q65+Q66</f>
        <v>347171</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0.34699999999999998</v>
      </c>
    </row>
    <row r="80" spans="1:18">
      <c r="B80" s="346" t="s">
        <v>1476</v>
      </c>
      <c r="C80" s="280">
        <f ca="1">ROUND(C75/C39,3)</f>
        <v>0.65300000000000002</v>
      </c>
    </row>
    <row r="81" spans="2:3">
      <c r="B81" s="276" t="s">
        <v>1477</v>
      </c>
      <c r="C81" s="244"/>
    </row>
    <row r="82" spans="2:3">
      <c r="B82" s="279" t="s">
        <v>1478</v>
      </c>
      <c r="C82" s="281">
        <f ca="1">1-C83</f>
        <v>0.68300000000000005</v>
      </c>
    </row>
    <row r="83" spans="2:3">
      <c r="B83" s="279" t="s">
        <v>1479</v>
      </c>
      <c r="C83" s="280">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-2.2170000000000001</v>
      </c>
      <c r="G1" s="1563">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7" t="s">
        <v>1368</v>
      </c>
      <c r="C6" s="1206">
        <f ca="1">ROUND(F6*F8*F7*(1-F9),0)</f>
        <v>0</v>
      </c>
      <c r="D6" s="160" t="s">
        <v>2846</v>
      </c>
      <c r="E6" s="308" t="s">
        <v>1370</v>
      </c>
      <c r="F6" s="309">
        <f ca="1">INDIRECT("'数据-取费表'!u"&amp;$G$1)</f>
        <v>0</v>
      </c>
      <c r="G6" s="1569"/>
      <c r="H6" s="1201" t="s">
        <v>1003</v>
      </c>
      <c r="I6" s="3357" t="s">
        <v>1368</v>
      </c>
      <c r="J6" s="307">
        <f ca="1">ROUND(M6*M8*M7*(1-M9),0)</f>
        <v>0</v>
      </c>
      <c r="K6" s="1561" t="s">
        <v>2847</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-2.2170000000000001</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-2.2170000000000001</v>
      </c>
      <c r="K53" s="3355" t="s">
        <v>1513</v>
      </c>
      <c r="L53" s="3356"/>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7"/>
      <c r="G1" s="1675"/>
      <c r="H1" s="1675"/>
      <c r="I1" s="1675"/>
      <c r="J1" s="1675"/>
      <c r="K1" s="1675"/>
      <c r="L1" s="1675"/>
      <c r="M1" s="1675"/>
      <c r="N1" s="1675"/>
      <c r="O1" s="1675"/>
      <c r="P1" s="1675"/>
      <c r="Q1" s="1675"/>
      <c r="R1" s="1675"/>
      <c r="S1" s="1675"/>
    </row>
    <row r="2" spans="1:22" ht="15.75">
      <c r="A2" s="2057" t="s">
        <v>2150</v>
      </c>
      <c r="B2" s="2058" t="e">
        <f ca="1">SUMIF(B6:B13,"&lt;&gt;#ref!",B6:B13)</f>
        <v>#DIV/0!</v>
      </c>
      <c r="C2" s="2059" t="s">
        <v>2339</v>
      </c>
      <c r="D2" s="2060" t="s">
        <v>2340</v>
      </c>
      <c r="E2" s="2834">
        <f>SUM(E6:E13)</f>
        <v>153820.67000000001</v>
      </c>
      <c r="F2" s="2937"/>
      <c r="G2" s="1675"/>
      <c r="H2" s="1675"/>
      <c r="I2" s="1675"/>
      <c r="J2" s="1675"/>
      <c r="K2" s="1675"/>
      <c r="L2" s="1675"/>
      <c r="M2" s="1675"/>
      <c r="N2" s="1675"/>
      <c r="O2" s="1675"/>
      <c r="P2" s="1675"/>
      <c r="Q2" s="1675"/>
      <c r="R2" s="1675"/>
      <c r="S2" s="1675"/>
    </row>
    <row r="3" spans="1:22" ht="15.75">
      <c r="A3" s="2057" t="s">
        <v>1360</v>
      </c>
      <c r="B3" s="2828" t="e">
        <f ca="1">ROUND(B2*10000/E2,0)</f>
        <v>#DIV/0!</v>
      </c>
      <c r="C3" s="2059" t="s">
        <v>2347</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2341</v>
      </c>
      <c r="B5" s="3360" t="s">
        <v>2342</v>
      </c>
      <c r="C5" s="3361"/>
      <c r="D5" s="2938"/>
      <c r="E5" s="2061" t="s">
        <v>2343</v>
      </c>
      <c r="F5" s="2062" t="s">
        <v>2344</v>
      </c>
      <c r="G5" s="1675"/>
      <c r="H5" s="1675"/>
      <c r="I5" s="1675"/>
      <c r="J5" s="1675"/>
      <c r="K5" s="1675"/>
      <c r="L5" s="1675"/>
      <c r="M5" s="1675"/>
      <c r="N5" s="1675"/>
      <c r="O5" s="1675"/>
      <c r="P5" s="1675"/>
      <c r="Q5" s="1675"/>
      <c r="R5" s="1675"/>
      <c r="S5" s="1675"/>
    </row>
    <row r="6" spans="1:22">
      <c r="A6" s="2831" t="str">
        <f>'数据-取费表'!AN6</f>
        <v>收益法</v>
      </c>
      <c r="B6" s="2829">
        <f ca="1">IF(F6="是",'数据-取费表'!AO6,0)</f>
        <v>347171</v>
      </c>
      <c r="C6" s="2059" t="s">
        <v>2339</v>
      </c>
      <c r="D6" s="2939"/>
      <c r="E6" s="2833">
        <f>IF(OR(A6=0,F6="否"),0,'数据-取费表'!K6+'数据-取费表'!S6)</f>
        <v>153820.67000000001</v>
      </c>
      <c r="F6" s="2063" t="s">
        <v>2345</v>
      </c>
      <c r="G6" s="1675"/>
      <c r="H6" s="1675"/>
      <c r="I6" s="1675"/>
      <c r="J6" s="1675"/>
      <c r="K6" s="1675"/>
      <c r="L6" s="1675"/>
      <c r="M6" s="1675"/>
      <c r="N6" s="1675"/>
      <c r="O6" s="1675"/>
      <c r="P6" s="1675"/>
      <c r="Q6" s="1675"/>
      <c r="R6" s="1675"/>
      <c r="S6" s="1675"/>
    </row>
    <row r="7" spans="1:22">
      <c r="A7" s="2831" t="str">
        <f>'数据-取费表'!AN7</f>
        <v>收益法-二期</v>
      </c>
      <c r="B7" s="2829" t="e">
        <f ca="1">IF(F7="是",'数据-取费表'!AO7,0)</f>
        <v>#DIV/0!</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3328</v>
      </c>
      <c r="D1" s="1547" t="s">
        <v>3332</v>
      </c>
      <c r="E1" s="1548" t="s">
        <v>1352</v>
      </c>
      <c r="F1" s="1193">
        <f ca="1">J53</f>
        <v>43.073</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6"/>
      <c r="H2" s="2925"/>
      <c r="I2" s="2925"/>
      <c r="J2" s="2925"/>
      <c r="K2" s="2926"/>
      <c r="L2" s="2925"/>
      <c r="M2" s="2925"/>
    </row>
    <row r="3" spans="1:37" ht="18" customHeight="1" thickBot="1">
      <c r="A3" s="1575" t="s">
        <v>1482</v>
      </c>
      <c r="B3" s="1576">
        <f ca="1">IF(ISERROR(B2*10000/F43),0,ROUND(B2*10000/F43,0))</f>
        <v>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1885</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0</v>
      </c>
      <c r="D6" s="160" t="s">
        <v>2849</v>
      </c>
      <c r="E6" s="308" t="s">
        <v>1370</v>
      </c>
      <c r="F6" s="309">
        <f ca="1">INDIRECT("'数据-取费表'!u"&amp;$G$1)</f>
        <v>0</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3103"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1885</v>
      </c>
      <c r="D10" s="1551" t="s">
        <v>2856</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v>125640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3100" t="s">
        <v>1380</v>
      </c>
      <c r="E13" s="3100"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3106" t="s">
        <v>1383</v>
      </c>
      <c r="E14" s="3105"/>
      <c r="F14" s="325"/>
      <c r="G14" s="1569"/>
      <c r="H14" s="1113" t="s">
        <v>1003</v>
      </c>
      <c r="I14" s="308" t="s">
        <v>1384</v>
      </c>
      <c r="J14" s="24">
        <f ca="1">C29</f>
        <v>0</v>
      </c>
      <c r="K14" s="3102"/>
      <c r="L14" s="916"/>
      <c r="M14" s="917"/>
    </row>
    <row r="15" spans="1:37" s="1582" customFormat="1" ht="18" customHeight="1" thickBot="1">
      <c r="A15" s="1113" t="s">
        <v>1004</v>
      </c>
      <c r="B15" s="308" t="s">
        <v>1385</v>
      </c>
      <c r="C15" s="24">
        <f ca="1">ROUND(C14*F15,0)</f>
        <v>0</v>
      </c>
      <c r="D15" s="3101" t="s">
        <v>1386</v>
      </c>
      <c r="E15" s="3101"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310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3106" t="s">
        <v>1395</v>
      </c>
      <c r="L17" s="310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3107"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3110"/>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10"/>
      <c r="F22" s="26"/>
      <c r="G22" s="1569"/>
      <c r="H22" s="1113" t="s">
        <v>1007</v>
      </c>
      <c r="I22" s="308" t="s">
        <v>1414</v>
      </c>
      <c r="J22" s="24">
        <f ca="1">ROUND(J14*M22,1)</f>
        <v>0</v>
      </c>
      <c r="K22" s="3107"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107" t="s">
        <v>1419</v>
      </c>
      <c r="L23" s="308" t="s">
        <v>1387</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110"/>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10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310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3106" t="s">
        <v>1395</v>
      </c>
      <c r="E31" s="3107"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0</v>
      </c>
      <c r="D32" s="3107"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0</v>
      </c>
      <c r="D36" s="3107"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ROUND(C13*F37,1)</f>
        <v>0</v>
      </c>
      <c r="D37" s="3107" t="s">
        <v>1419</v>
      </c>
      <c r="E37" s="308" t="s">
        <v>1387</v>
      </c>
      <c r="F37" s="336">
        <f ca="1">INDIRECT("'数据-取费表'!Al"&amp;$G$1)</f>
        <v>0</v>
      </c>
      <c r="G37" s="1569"/>
      <c r="H37" s="2930"/>
      <c r="I37" s="1583"/>
      <c r="J37" s="1584"/>
      <c r="K37" s="2771"/>
      <c r="L37" s="2930"/>
      <c r="M37" s="2930"/>
    </row>
    <row r="38" spans="1:18" ht="18" customHeight="1" thickBot="1">
      <c r="A38" s="1249" t="s">
        <v>1357</v>
      </c>
      <c r="B38" s="1250" t="s">
        <v>1404</v>
      </c>
      <c r="C38" s="1251">
        <f ca="1">ROUND(C5*F38,1)</f>
        <v>0</v>
      </c>
      <c r="D38" s="1252" t="s">
        <v>1424</v>
      </c>
      <c r="E38" s="1250" t="s">
        <v>1387</v>
      </c>
      <c r="F38" s="1246">
        <f ca="1">INDIRECT("'数据-取费表'!Am"&amp;$G$1)</f>
        <v>0</v>
      </c>
      <c r="G38" s="1569"/>
      <c r="H38" s="2930"/>
      <c r="I38" s="1583"/>
      <c r="J38" s="1584"/>
      <c r="K38" s="2934"/>
      <c r="L38" s="2930"/>
      <c r="M38" s="2930"/>
    </row>
    <row r="39" spans="1:18" ht="24.6" customHeight="1" thickTop="1">
      <c r="A39" s="1239" t="s">
        <v>999</v>
      </c>
      <c r="B39" s="1254" t="s">
        <v>1428</v>
      </c>
      <c r="C39" s="316">
        <f ca="1">C5-C30</f>
        <v>1885</v>
      </c>
      <c r="D39" s="1255" t="s">
        <v>1429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3109">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0</v>
      </c>
      <c r="I51" s="1617" t="s">
        <v>1505</v>
      </c>
      <c r="J51" s="1618">
        <f>IF(J49="",J50,J49+J50-YEAR('数据-取费表'!B2))</f>
        <v>61</v>
      </c>
      <c r="K51" s="1619" t="s">
        <v>1506</v>
      </c>
      <c r="L51" s="1620">
        <f ca="1">ROUND(-PV(INDIRECT("'数据-取费表'!h"&amp;$G$1),J51,(C39-C13*C76),0),0)</f>
        <v>114985</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t="e">
        <f ca="1">Q47+Q48</f>
        <v>#DIV/0!</v>
      </c>
      <c r="R53" s="1605" t="s">
        <v>1015</v>
      </c>
    </row>
    <row r="54" spans="1:18" s="1569" customFormat="1" ht="13.5" thickBot="1">
      <c r="A54" s="1315"/>
      <c r="B54" s="1552" t="s">
        <v>1353</v>
      </c>
      <c r="C54" s="1090"/>
      <c r="D54" s="1551"/>
      <c r="E54" s="3104"/>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104"/>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t="s">
        <v>3112</v>
      </c>
      <c r="K56" s="1606" t="s">
        <v>1520</v>
      </c>
      <c r="L56" s="1609" t="str">
        <f ca="1">IF(L48&lt;J51,"——",L48-J53)</f>
        <v>——</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0</v>
      </c>
      <c r="D61" s="1555" t="s">
        <v>1403</v>
      </c>
      <c r="E61" s="1081" t="s">
        <v>1387</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t="e">
        <f ca="1">Q56+Q57</f>
        <v>#DIV/0!</v>
      </c>
      <c r="R62" s="1605" t="s">
        <v>1015</v>
      </c>
    </row>
    <row r="63" spans="1:18" s="1569" customFormat="1" ht="13.5"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0</v>
      </c>
      <c r="D64" s="1095" t="s">
        <v>1447</v>
      </c>
      <c r="E64" s="1081" t="s">
        <v>1387</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1387</v>
      </c>
      <c r="F65" s="336">
        <f t="shared" ca="1" si="0"/>
        <v>0</v>
      </c>
      <c r="I65" s="1647" t="s">
        <v>1544</v>
      </c>
      <c r="J65" s="1648">
        <v>40</v>
      </c>
      <c r="K65" s="1648">
        <v>30</v>
      </c>
      <c r="L65" s="1648">
        <v>50</v>
      </c>
      <c r="M65" s="1650">
        <v>0.02</v>
      </c>
      <c r="O65" s="1603" t="s">
        <v>1008</v>
      </c>
      <c r="P65" s="1604" t="s">
        <v>1493</v>
      </c>
      <c r="Q65" s="1605" t="e">
        <f ca="1">C40+J29</f>
        <v>#DIV/0!</v>
      </c>
      <c r="R65" s="1605" t="s">
        <v>1494</v>
      </c>
    </row>
    <row r="66" spans="1:18" s="1569" customFormat="1" ht="16.5" thickBot="1">
      <c r="A66" s="1113" t="s">
        <v>1469</v>
      </c>
      <c r="B66" s="1081" t="s">
        <v>1404</v>
      </c>
      <c r="C66" s="24">
        <f ca="1">ROUND(C48*F66,1)</f>
        <v>0</v>
      </c>
      <c r="D66" s="1095" t="s">
        <v>1424</v>
      </c>
      <c r="E66" s="1081" t="s">
        <v>1387</v>
      </c>
      <c r="F66" s="318">
        <f t="shared" ca="1" si="0"/>
        <v>0</v>
      </c>
      <c r="O66" s="1603" t="s">
        <v>1009</v>
      </c>
      <c r="P66" s="1604" t="s">
        <v>1523</v>
      </c>
      <c r="Q66" s="1605">
        <f ca="1">L60</f>
        <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114985</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1885</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1885</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workbookViewId="0">
      <selection activeCell="A2" sqref="A2:A10"/>
    </sheetView>
  </sheetViews>
  <sheetFormatPr defaultRowHeight="13.5"/>
  <cols>
    <col min="1" max="1" width="10.5" customWidth="1"/>
    <col min="2" max="2" width="12.875" customWidth="1"/>
    <col min="3" max="3" width="8.75" customWidth="1"/>
    <col min="13" max="13" width="12.125" customWidth="1"/>
  </cols>
  <sheetData>
    <row r="1" spans="1:19" ht="14.25">
      <c r="A1" s="3384" t="s">
        <v>1044</v>
      </c>
      <c r="B1" s="3385"/>
      <c r="C1" s="3386"/>
      <c r="D1" s="3387">
        <f>SUM(I10,I15,I20,I21,I23)</f>
        <v>6584</v>
      </c>
      <c r="E1" s="3387"/>
      <c r="F1" s="3387"/>
      <c r="G1" s="3387"/>
      <c r="H1" s="3387"/>
      <c r="I1" s="3388"/>
    </row>
    <row r="2" spans="1:19">
      <c r="A2" s="3368" t="s">
        <v>1045</v>
      </c>
      <c r="B2" s="3369" t="s">
        <v>1046</v>
      </c>
      <c r="C2" s="3369"/>
      <c r="D2" s="1211" t="s">
        <v>1047</v>
      </c>
      <c r="E2" s="1211" t="s">
        <v>1048</v>
      </c>
      <c r="F2" s="1211" t="s">
        <v>1049</v>
      </c>
      <c r="G2" s="1211" t="s">
        <v>1050</v>
      </c>
      <c r="H2" s="1211" t="s">
        <v>1051</v>
      </c>
      <c r="I2" s="1212" t="s">
        <v>1052</v>
      </c>
      <c r="L2" s="3048" t="s">
        <v>3141</v>
      </c>
      <c r="M2" s="3079" t="s">
        <v>3142</v>
      </c>
    </row>
    <row r="3" spans="1:19">
      <c r="A3" s="3368"/>
      <c r="B3" s="3369" t="s">
        <v>1053</v>
      </c>
      <c r="C3" s="3369"/>
      <c r="D3" s="1213">
        <f>N14</f>
        <v>527</v>
      </c>
      <c r="E3" s="1211">
        <v>5800</v>
      </c>
      <c r="F3" s="1214">
        <v>1</v>
      </c>
      <c r="G3" s="1214">
        <v>0.8</v>
      </c>
      <c r="H3" s="1215"/>
      <c r="I3" s="1216">
        <f>J3</f>
        <v>4593</v>
      </c>
      <c r="J3">
        <f>ROUND(D3/L3*M3*G3/10000,0)</f>
        <v>4593</v>
      </c>
      <c r="L3">
        <v>1281</v>
      </c>
      <c r="M3">
        <v>139560480</v>
      </c>
    </row>
    <row r="4" spans="1:19">
      <c r="A4" s="3368"/>
      <c r="B4" s="3369" t="s">
        <v>1054</v>
      </c>
      <c r="C4" s="3369"/>
      <c r="D4" s="1213">
        <f>O14</f>
        <v>44</v>
      </c>
      <c r="E4" s="1211">
        <v>7800</v>
      </c>
      <c r="F4" s="1214">
        <v>1</v>
      </c>
      <c r="G4" s="1214">
        <v>0.8</v>
      </c>
      <c r="H4" s="1215"/>
      <c r="I4" s="1216">
        <f>J4</f>
        <v>524</v>
      </c>
      <c r="J4">
        <f>ROUND(D4/L4*M4*G4/10000,0)</f>
        <v>524</v>
      </c>
      <c r="L4">
        <v>126</v>
      </c>
      <c r="M4">
        <v>18760320</v>
      </c>
    </row>
    <row r="5" spans="1:19">
      <c r="A5" s="3368"/>
      <c r="B5" s="3369" t="s">
        <v>1055</v>
      </c>
      <c r="C5" s="3369"/>
      <c r="D5" s="1213"/>
      <c r="E5" s="1211">
        <v>12000</v>
      </c>
      <c r="F5" s="1214">
        <v>1</v>
      </c>
      <c r="G5" s="1214">
        <v>0.8</v>
      </c>
      <c r="H5" s="1215"/>
      <c r="I5" s="1216">
        <f>J5</f>
        <v>0</v>
      </c>
      <c r="J5">
        <f>ROUND(D5/L5*M5*G5/10000,0)</f>
        <v>0</v>
      </c>
      <c r="L5">
        <v>211</v>
      </c>
      <c r="M5">
        <v>21121380</v>
      </c>
    </row>
    <row r="6" spans="1:19">
      <c r="A6" s="3368"/>
      <c r="B6" s="3369" t="s">
        <v>1056</v>
      </c>
      <c r="C6" s="3369"/>
      <c r="D6" s="1213">
        <f>38</f>
        <v>38</v>
      </c>
      <c r="E6" s="1211">
        <v>21000</v>
      </c>
      <c r="F6" s="1214">
        <v>1</v>
      </c>
      <c r="G6" s="1214">
        <v>0.8</v>
      </c>
      <c r="H6" s="1215"/>
      <c r="I6" s="1216">
        <f>J6</f>
        <v>868</v>
      </c>
      <c r="J6">
        <f>ROUND(D6/L6*M6*G6/10000,0)</f>
        <v>868</v>
      </c>
      <c r="L6">
        <v>38</v>
      </c>
      <c r="M6">
        <v>10848340</v>
      </c>
    </row>
    <row r="7" spans="1:19">
      <c r="A7" s="3368"/>
      <c r="B7" s="3369" t="s">
        <v>1057</v>
      </c>
      <c r="C7" s="3369"/>
      <c r="D7" s="1213"/>
      <c r="E7" s="1211"/>
      <c r="F7" s="1214"/>
      <c r="G7" s="1214"/>
      <c r="H7" s="1215"/>
      <c r="I7" s="1216">
        <f>ROUND(D7*E7*F7*G7*H7/10000,0)</f>
        <v>0</v>
      </c>
    </row>
    <row r="8" spans="1:19" ht="14.25" thickBot="1">
      <c r="A8" s="3368"/>
      <c r="B8" s="3369" t="s">
        <v>1058</v>
      </c>
      <c r="C8" s="3369"/>
      <c r="D8" s="1213"/>
      <c r="E8" s="1211"/>
      <c r="F8" s="1214"/>
      <c r="G8" s="1214"/>
      <c r="H8" s="1215"/>
      <c r="I8" s="1216">
        <f>ROUND(D8*E8*F8*G8*H8/10000,0)</f>
        <v>0</v>
      </c>
    </row>
    <row r="9" spans="1:19" ht="40.5">
      <c r="A9" s="3368"/>
      <c r="B9" s="3369" t="s">
        <v>1059</v>
      </c>
      <c r="C9" s="3369"/>
      <c r="D9" s="1213"/>
      <c r="E9" s="1211"/>
      <c r="F9" s="1214"/>
      <c r="G9" s="1214"/>
      <c r="H9" s="1215"/>
      <c r="I9" s="1216">
        <f>ROUND(D9*E9*F9*G9*H9/10000,0)</f>
        <v>0</v>
      </c>
      <c r="L9" s="3055" t="s">
        <v>3120</v>
      </c>
      <c r="M9" s="3056" t="s">
        <v>3121</v>
      </c>
      <c r="N9" s="3378" t="s">
        <v>3122</v>
      </c>
      <c r="O9" s="3379"/>
      <c r="P9" s="3379"/>
      <c r="Q9" s="3379"/>
      <c r="R9" s="3380"/>
      <c r="S9" s="3057" t="s">
        <v>3123</v>
      </c>
    </row>
    <row r="10" spans="1:19" ht="40.5">
      <c r="A10" s="3368"/>
      <c r="B10" s="3370" t="s">
        <v>1060</v>
      </c>
      <c r="C10" s="3370"/>
      <c r="D10" s="1217"/>
      <c r="E10" s="1217" t="e">
        <f>ROUND(D1*10000/D10/H9,0)</f>
        <v>#DIV/0!</v>
      </c>
      <c r="F10" s="1218"/>
      <c r="G10" s="1218"/>
      <c r="H10" s="1219"/>
      <c r="I10" s="1220">
        <f>SUM(I3:I9)</f>
        <v>5985</v>
      </c>
      <c r="L10" s="3058"/>
      <c r="M10" s="3059"/>
      <c r="N10" s="3060" t="s">
        <v>3124</v>
      </c>
      <c r="O10" s="3060" t="s">
        <v>3125</v>
      </c>
      <c r="P10" s="3060" t="s">
        <v>3126</v>
      </c>
      <c r="Q10" s="3061" t="s">
        <v>3127</v>
      </c>
      <c r="R10" s="3062" t="s">
        <v>3128</v>
      </c>
      <c r="S10" s="3063"/>
    </row>
    <row r="11" spans="1:19" ht="14.25">
      <c r="A11" s="3368" t="s">
        <v>1061</v>
      </c>
      <c r="B11" s="3369" t="s">
        <v>1062</v>
      </c>
      <c r="C11" s="3369"/>
      <c r="D11" s="1213" t="s">
        <v>1063</v>
      </c>
      <c r="E11" s="1213" t="s">
        <v>1064</v>
      </c>
      <c r="F11" s="1214" t="s">
        <v>1065</v>
      </c>
      <c r="G11" s="1214" t="s">
        <v>1051</v>
      </c>
      <c r="H11" s="1221" t="s">
        <v>1066</v>
      </c>
      <c r="I11" s="1212" t="s">
        <v>1052</v>
      </c>
      <c r="L11" s="3058" t="s">
        <v>3108</v>
      </c>
      <c r="M11" s="3059" t="s">
        <v>3129</v>
      </c>
      <c r="N11" s="3059">
        <v>298</v>
      </c>
      <c r="O11" s="3059">
        <v>19</v>
      </c>
      <c r="P11" s="3059">
        <v>0</v>
      </c>
      <c r="Q11" s="3059">
        <v>0</v>
      </c>
      <c r="R11" s="3064"/>
      <c r="S11" s="3063">
        <v>317</v>
      </c>
    </row>
    <row r="12" spans="1:19">
      <c r="A12" s="3368"/>
      <c r="B12" s="3369" t="s">
        <v>1067</v>
      </c>
      <c r="C12" s="3369"/>
      <c r="D12" s="1213"/>
      <c r="E12" s="1213"/>
      <c r="F12" s="1214"/>
      <c r="G12" s="1215"/>
      <c r="H12" s="1222"/>
      <c r="I12" s="1212">
        <f>ROUND(D12*E12*F12*G12/10000,0)</f>
        <v>0</v>
      </c>
      <c r="L12" s="3058"/>
      <c r="M12" s="3059" t="s">
        <v>3130</v>
      </c>
      <c r="N12" s="3059">
        <v>229</v>
      </c>
      <c r="O12" s="3059">
        <v>25</v>
      </c>
      <c r="P12" s="3059">
        <v>0</v>
      </c>
      <c r="Q12" s="3059">
        <v>0</v>
      </c>
      <c r="R12" s="3064"/>
      <c r="S12" s="3063">
        <v>254</v>
      </c>
    </row>
    <row r="13" spans="1:19">
      <c r="A13" s="3368"/>
      <c r="B13" s="3369" t="s">
        <v>1068</v>
      </c>
      <c r="C13" s="3369"/>
      <c r="D13" s="1213"/>
      <c r="E13" s="1213"/>
      <c r="F13" s="1214"/>
      <c r="G13" s="1215"/>
      <c r="H13" s="1222"/>
      <c r="I13" s="1212">
        <f>ROUND(D13*E13*F13*G13/10000,0)</f>
        <v>0</v>
      </c>
      <c r="L13" s="3058"/>
      <c r="M13" s="3059" t="s">
        <v>3131</v>
      </c>
      <c r="N13" s="3059">
        <v>0</v>
      </c>
      <c r="O13" s="3059">
        <v>0</v>
      </c>
      <c r="P13" s="3059">
        <v>0</v>
      </c>
      <c r="Q13" s="3059">
        <v>0</v>
      </c>
      <c r="R13" s="3064">
        <v>40</v>
      </c>
      <c r="S13" s="3063">
        <v>40</v>
      </c>
    </row>
    <row r="14" spans="1:19">
      <c r="A14" s="3368"/>
      <c r="B14" s="3369" t="s">
        <v>1069</v>
      </c>
      <c r="C14" s="3369"/>
      <c r="D14" s="1213"/>
      <c r="E14" s="1213"/>
      <c r="F14" s="1214"/>
      <c r="G14" s="1215"/>
      <c r="H14" s="1222"/>
      <c r="I14" s="1212">
        <f>ROUND(D14*E14*F14*G14/10000,0)</f>
        <v>0</v>
      </c>
      <c r="L14" s="3058" t="s">
        <v>40</v>
      </c>
      <c r="M14" s="3059"/>
      <c r="N14" s="3065">
        <v>527</v>
      </c>
      <c r="O14" s="3065">
        <v>44</v>
      </c>
      <c r="P14" s="3065">
        <v>0</v>
      </c>
      <c r="Q14" s="3065">
        <v>0</v>
      </c>
      <c r="R14" s="3064"/>
      <c r="S14" s="3066"/>
    </row>
    <row r="15" spans="1:19" ht="18.75">
      <c r="A15" s="3368"/>
      <c r="B15" s="3370" t="s">
        <v>1060</v>
      </c>
      <c r="C15" s="3370"/>
      <c r="D15" s="1217"/>
      <c r="E15" s="1217">
        <f>SUM(E12:E14)</f>
        <v>0</v>
      </c>
      <c r="F15" s="1218"/>
      <c r="G15" s="1215"/>
      <c r="H15" s="1222"/>
      <c r="I15" s="1223">
        <f>SUM(I12:I14)</f>
        <v>0</v>
      </c>
      <c r="L15" s="3058" t="s">
        <v>3132</v>
      </c>
      <c r="M15" s="3067"/>
      <c r="N15" s="3381">
        <v>571</v>
      </c>
      <c r="O15" s="3382"/>
      <c r="P15" s="3383"/>
      <c r="Q15" s="3068">
        <v>0</v>
      </c>
      <c r="R15" s="3068">
        <v>40</v>
      </c>
      <c r="S15" s="3069">
        <v>611</v>
      </c>
    </row>
    <row r="16" spans="1:19" ht="24">
      <c r="A16" s="3368" t="s">
        <v>1070</v>
      </c>
      <c r="B16" s="3369" t="s">
        <v>1071</v>
      </c>
      <c r="C16" s="3369"/>
      <c r="D16" s="1213" t="s">
        <v>1047</v>
      </c>
      <c r="E16" s="1224" t="s">
        <v>1072</v>
      </c>
      <c r="F16" s="1214" t="s">
        <v>1073</v>
      </c>
      <c r="G16" s="1215" t="s">
        <v>1051</v>
      </c>
      <c r="H16" s="1221" t="s">
        <v>1066</v>
      </c>
      <c r="I16" s="1212" t="s">
        <v>1052</v>
      </c>
      <c r="L16" s="3070"/>
      <c r="M16" s="3071"/>
      <c r="N16" s="3071"/>
      <c r="O16" s="3071"/>
      <c r="P16" s="3071"/>
      <c r="Q16" s="3071"/>
      <c r="R16" s="3064"/>
      <c r="S16" s="3072"/>
    </row>
    <row r="17" spans="1:19" ht="14.25">
      <c r="A17" s="3368"/>
      <c r="B17" s="3369" t="s">
        <v>1074</v>
      </c>
      <c r="C17" s="3369"/>
      <c r="D17" s="1213"/>
      <c r="E17" s="1213"/>
      <c r="F17" s="1214"/>
      <c r="G17" s="1215"/>
      <c r="H17" s="1225"/>
      <c r="I17" s="1226">
        <f>ROUND(D17*E17*F17*G17/10000,0)</f>
        <v>0</v>
      </c>
      <c r="L17" s="3058" t="s">
        <v>3110</v>
      </c>
      <c r="M17" s="3059" t="s">
        <v>3133</v>
      </c>
      <c r="N17" s="3059">
        <v>114</v>
      </c>
      <c r="O17" s="3059">
        <v>14</v>
      </c>
      <c r="P17" s="3059">
        <v>0</v>
      </c>
      <c r="Q17" s="3059">
        <v>0</v>
      </c>
      <c r="R17" s="3064"/>
      <c r="S17" s="3063">
        <v>128</v>
      </c>
    </row>
    <row r="18" spans="1:19" ht="14.25">
      <c r="A18" s="3368"/>
      <c r="B18" s="3369" t="s">
        <v>1075</v>
      </c>
      <c r="C18" s="3369"/>
      <c r="D18" s="1213"/>
      <c r="E18" s="1213"/>
      <c r="F18" s="1214"/>
      <c r="G18" s="1215"/>
      <c r="H18" s="1225"/>
      <c r="I18" s="1226">
        <f>ROUND(D18*E18*F18*G18/10000,0)</f>
        <v>0</v>
      </c>
      <c r="L18" s="3058"/>
      <c r="M18" s="3059" t="s">
        <v>3134</v>
      </c>
      <c r="N18" s="3059">
        <v>114</v>
      </c>
      <c r="O18" s="3059">
        <v>14</v>
      </c>
      <c r="P18" s="3065">
        <v>0</v>
      </c>
      <c r="Q18" s="3059">
        <v>0</v>
      </c>
      <c r="R18" s="3064"/>
      <c r="S18" s="3063">
        <v>128</v>
      </c>
    </row>
    <row r="19" spans="1:19" ht="14.25">
      <c r="A19" s="3368"/>
      <c r="B19" s="3369" t="s">
        <v>1076</v>
      </c>
      <c r="C19" s="3369"/>
      <c r="D19" s="1213"/>
      <c r="E19" s="1213"/>
      <c r="F19" s="1214"/>
      <c r="G19" s="1215"/>
      <c r="H19" s="1225"/>
      <c r="I19" s="1226">
        <f>ROUND(D19*E19*F19*G19/10000,0)</f>
        <v>0</v>
      </c>
      <c r="L19" s="3073"/>
      <c r="M19" s="3065" t="s">
        <v>3135</v>
      </c>
      <c r="N19" s="3065">
        <v>0</v>
      </c>
      <c r="O19" s="3065">
        <v>0</v>
      </c>
      <c r="P19" s="3065">
        <v>0</v>
      </c>
      <c r="Q19" s="3065">
        <v>130</v>
      </c>
      <c r="R19" s="3064"/>
      <c r="S19" s="3074">
        <v>130</v>
      </c>
    </row>
    <row r="20" spans="1:19">
      <c r="A20" s="3368"/>
      <c r="B20" s="3370" t="s">
        <v>1060</v>
      </c>
      <c r="C20" s="3370"/>
      <c r="D20" s="1217">
        <f>SUM(D17:D19)</f>
        <v>0</v>
      </c>
      <c r="E20" s="1217"/>
      <c r="F20" s="1218"/>
      <c r="G20" s="1215"/>
      <c r="H20" s="1222"/>
      <c r="I20" s="1223">
        <f>SUM(I17:I19)</f>
        <v>0</v>
      </c>
      <c r="L20" s="3058"/>
      <c r="M20" s="3059" t="s">
        <v>3136</v>
      </c>
      <c r="N20" s="3059">
        <v>114</v>
      </c>
      <c r="O20" s="3059">
        <v>14</v>
      </c>
      <c r="P20" s="3059">
        <v>0</v>
      </c>
      <c r="Q20" s="3059">
        <v>0</v>
      </c>
      <c r="R20" s="3064"/>
      <c r="S20" s="3063">
        <v>128</v>
      </c>
    </row>
    <row r="21" spans="1:19">
      <c r="A21" s="3368" t="s">
        <v>1077</v>
      </c>
      <c r="B21" s="3371"/>
      <c r="C21" s="3371"/>
      <c r="D21" s="3371"/>
      <c r="E21" s="3371"/>
      <c r="F21" s="3371"/>
      <c r="G21" s="3371"/>
      <c r="H21" s="1503">
        <v>0.1</v>
      </c>
      <c r="I21" s="1220">
        <f>ROUND(I10*H21,0)</f>
        <v>599</v>
      </c>
      <c r="L21" s="3058"/>
      <c r="M21" s="3059" t="s">
        <v>3137</v>
      </c>
      <c r="N21" s="3059">
        <v>114</v>
      </c>
      <c r="O21" s="3059">
        <v>14</v>
      </c>
      <c r="P21" s="3059">
        <v>0</v>
      </c>
      <c r="Q21" s="3059">
        <v>0</v>
      </c>
      <c r="R21" s="3064"/>
      <c r="S21" s="3063">
        <v>128</v>
      </c>
    </row>
    <row r="22" spans="1:19" ht="14.25">
      <c r="A22" s="3372" t="s">
        <v>1078</v>
      </c>
      <c r="B22" s="3373"/>
      <c r="C22" s="3374"/>
      <c r="D22" s="1227" t="s">
        <v>1079</v>
      </c>
      <c r="E22" s="1227" t="s">
        <v>1080</v>
      </c>
      <c r="F22" s="1228" t="s">
        <v>1081</v>
      </c>
      <c r="G22" s="1228" t="s">
        <v>1082</v>
      </c>
      <c r="H22" s="1221" t="s">
        <v>1083</v>
      </c>
      <c r="I22" s="1212" t="s">
        <v>1084</v>
      </c>
      <c r="L22" s="3058"/>
      <c r="M22" s="3059" t="s">
        <v>3138</v>
      </c>
      <c r="N22" s="3059">
        <v>105</v>
      </c>
      <c r="O22" s="3059">
        <v>13</v>
      </c>
      <c r="P22" s="3059">
        <v>0</v>
      </c>
      <c r="Q22" s="3059">
        <v>0</v>
      </c>
      <c r="R22" s="3064"/>
      <c r="S22" s="3063">
        <v>118</v>
      </c>
    </row>
    <row r="23" spans="1:19" ht="14.25" thickBot="1">
      <c r="A23" s="3375"/>
      <c r="B23" s="3376"/>
      <c r="C23" s="3377"/>
      <c r="D23" s="1229"/>
      <c r="E23" s="1229"/>
      <c r="F23" s="1229"/>
      <c r="G23" s="1230"/>
      <c r="H23" s="1231"/>
      <c r="I23" s="1232">
        <f>ROUND(E23*D23*F23*(1-G23)/10000,0)</f>
        <v>0</v>
      </c>
      <c r="L23" s="3058"/>
      <c r="M23" s="3059" t="s">
        <v>3139</v>
      </c>
      <c r="N23" s="3059">
        <v>274</v>
      </c>
      <c r="O23" s="3059">
        <v>13</v>
      </c>
      <c r="P23" s="3059">
        <v>0</v>
      </c>
      <c r="Q23" s="3059">
        <v>0</v>
      </c>
      <c r="R23" s="3064"/>
      <c r="S23" s="3063">
        <v>287</v>
      </c>
    </row>
    <row r="24" spans="1:19">
      <c r="L24" s="3073" t="s">
        <v>40</v>
      </c>
      <c r="M24" s="3065"/>
      <c r="N24" s="3065">
        <v>835</v>
      </c>
      <c r="O24" s="3065">
        <v>82</v>
      </c>
      <c r="P24" s="3065">
        <v>0</v>
      </c>
      <c r="Q24" s="3065">
        <v>130</v>
      </c>
      <c r="R24" s="3065"/>
      <c r="S24" s="3066"/>
    </row>
    <row r="25" spans="1:19" ht="18.75">
      <c r="L25" s="3073" t="s">
        <v>3132</v>
      </c>
      <c r="M25" s="3065"/>
      <c r="N25" s="3381">
        <v>917</v>
      </c>
      <c r="O25" s="3382"/>
      <c r="P25" s="3383"/>
      <c r="Q25" s="3075">
        <v>130</v>
      </c>
      <c r="R25" s="3064"/>
      <c r="S25" s="3069">
        <v>1047</v>
      </c>
    </row>
    <row r="26" spans="1:19" ht="19.5" thickBot="1">
      <c r="A26" s="1233" t="s">
        <v>1085</v>
      </c>
      <c r="B26" s="1233"/>
      <c r="C26" s="1233"/>
      <c r="D26" s="1233"/>
      <c r="E26" s="3365">
        <f>C27-C30-C31-C32</f>
        <v>4608.8</v>
      </c>
      <c r="F26" s="3365"/>
      <c r="G26" s="3365"/>
      <c r="H26" s="1500" t="s">
        <v>1306</v>
      </c>
      <c r="L26" s="3076" t="s">
        <v>3140</v>
      </c>
      <c r="M26" s="3077"/>
      <c r="N26" s="3077">
        <v>1362</v>
      </c>
      <c r="O26" s="3077">
        <v>126</v>
      </c>
      <c r="P26" s="3077">
        <v>0</v>
      </c>
      <c r="Q26" s="3077">
        <v>130</v>
      </c>
      <c r="R26" s="3077">
        <v>40</v>
      </c>
      <c r="S26" s="3078">
        <v>1658</v>
      </c>
    </row>
    <row r="27" spans="1:19">
      <c r="A27" s="1234">
        <v>1</v>
      </c>
      <c r="B27" s="1235" t="s">
        <v>1086</v>
      </c>
      <c r="C27" s="1235">
        <f>D1</f>
        <v>6584</v>
      </c>
      <c r="D27" s="1235"/>
      <c r="E27" s="3366"/>
      <c r="F27" s="3366"/>
      <c r="G27" s="3366"/>
    </row>
    <row r="28" spans="1:19">
      <c r="A28" s="1236" t="s">
        <v>1087</v>
      </c>
      <c r="B28" s="1235" t="s">
        <v>1088</v>
      </c>
      <c r="C28" s="1235"/>
      <c r="D28" s="1235"/>
      <c r="E28" s="3366"/>
      <c r="F28" s="3366"/>
      <c r="G28" s="3366"/>
    </row>
    <row r="29" spans="1:19">
      <c r="A29" s="1236" t="s">
        <v>1089</v>
      </c>
      <c r="B29" s="1235" t="s">
        <v>1090</v>
      </c>
      <c r="C29" s="1235"/>
      <c r="D29" s="1235"/>
      <c r="E29" s="1235" t="s">
        <v>1091</v>
      </c>
      <c r="F29" s="1235"/>
      <c r="G29" s="1235"/>
    </row>
    <row r="30" spans="1:19">
      <c r="A30" s="1234">
        <v>2</v>
      </c>
      <c r="B30" s="1235" t="s">
        <v>1092</v>
      </c>
      <c r="C30" s="1235">
        <f>C27*D30</f>
        <v>658.40000000000009</v>
      </c>
      <c r="D30" s="1237">
        <v>0.1</v>
      </c>
      <c r="E30" s="1235" t="s">
        <v>1093</v>
      </c>
      <c r="F30" s="1235"/>
      <c r="G30" s="1235"/>
    </row>
    <row r="31" spans="1:19">
      <c r="A31" s="1234">
        <v>3</v>
      </c>
      <c r="B31" s="1235" t="s">
        <v>1094</v>
      </c>
      <c r="C31" s="1235">
        <f>C27*D31</f>
        <v>987.59999999999991</v>
      </c>
      <c r="D31" s="1237">
        <v>0.15</v>
      </c>
      <c r="E31" s="1235" t="s">
        <v>1095</v>
      </c>
      <c r="F31" s="1235"/>
      <c r="G31" s="1235"/>
    </row>
    <row r="32" spans="1:19">
      <c r="A32" s="1234">
        <v>4</v>
      </c>
      <c r="B32" s="1235" t="s">
        <v>1096</v>
      </c>
      <c r="C32" s="1235">
        <f>C27*D32</f>
        <v>329.20000000000005</v>
      </c>
      <c r="D32" s="1237">
        <v>0.05</v>
      </c>
      <c r="E32" s="3367"/>
      <c r="F32" s="3367"/>
      <c r="G32" s="3367"/>
    </row>
    <row r="33" spans="1:7" hidden="1">
      <c r="A33" s="3362" t="s">
        <v>1097</v>
      </c>
      <c r="B33" s="3363"/>
      <c r="C33" s="3363"/>
      <c r="D33" s="3364"/>
      <c r="E33" s="3365"/>
      <c r="F33" s="3365"/>
      <c r="G33" s="3365"/>
    </row>
    <row r="34" spans="1:7" hidden="1">
      <c r="A34" s="1238">
        <v>1</v>
      </c>
      <c r="B34" s="1235" t="s">
        <v>1098</v>
      </c>
      <c r="C34" s="1235"/>
      <c r="D34" s="1235"/>
      <c r="E34" s="3366"/>
      <c r="F34" s="3366"/>
      <c r="G34" s="3366"/>
    </row>
    <row r="35" spans="1:7" hidden="1">
      <c r="A35" s="1238">
        <v>2</v>
      </c>
      <c r="B35" s="1235" t="s">
        <v>1099</v>
      </c>
      <c r="C35" s="1235"/>
      <c r="D35" s="1235"/>
      <c r="E35" s="3366"/>
      <c r="F35" s="3366"/>
      <c r="G35" s="3366"/>
    </row>
    <row r="36" spans="1:7" hidden="1">
      <c r="A36" s="1238">
        <v>3</v>
      </c>
      <c r="B36" s="1235" t="s">
        <v>1100</v>
      </c>
      <c r="C36" s="1235"/>
      <c r="D36" s="1235"/>
      <c r="E36" s="3366"/>
      <c r="F36" s="3366"/>
      <c r="G36" s="3366"/>
    </row>
    <row r="37" spans="1:7" hidden="1">
      <c r="A37" s="1238">
        <v>4</v>
      </c>
      <c r="B37" s="1235" t="s">
        <v>1101</v>
      </c>
      <c r="C37" s="1235"/>
      <c r="D37" s="1235"/>
      <c r="E37" s="3366"/>
      <c r="F37" s="3366"/>
      <c r="G37" s="3366"/>
    </row>
    <row r="38" spans="1:7" hidden="1">
      <c r="A38" s="3362" t="s">
        <v>1102</v>
      </c>
      <c r="B38" s="3363"/>
      <c r="C38" s="3363"/>
      <c r="D38" s="3364"/>
      <c r="E38" s="3365"/>
      <c r="F38" s="3365"/>
      <c r="G38" s="3365"/>
    </row>
    <row r="40" spans="1:7">
      <c r="B40" s="3080" t="s">
        <v>3143</v>
      </c>
      <c r="C40" s="3081">
        <f>(D3+D4+D6)*150*G3</f>
        <v>73080</v>
      </c>
    </row>
  </sheetData>
  <mergeCells count="41">
    <mergeCell ref="N9:R9"/>
    <mergeCell ref="N15:P15"/>
    <mergeCell ref="N25:P25"/>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估价对象为北京市房地产，为所有。根据《国有土地使用证》[]，估价对象（分摊）出让国有建设用地使用权面积为49477.2平方米，建筑面积为153820.67平方米。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估价对象为北京市房地产,属开发建设的，该项目尚在开发建设中。根据《国有土地使用证》[]，估价对象（分摊）出让国有建设用地使用权面积为49477.2平方米，规划建筑面积为153820.67平方米。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2020年12月11日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2349</v>
      </c>
      <c r="C1" s="1405" t="s">
        <v>2350</v>
      </c>
      <c r="D1" s="1392"/>
      <c r="E1" s="2545"/>
      <c r="F1" s="2066" t="s">
        <v>2351</v>
      </c>
      <c r="G1" s="1402" t="s">
        <v>2352</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153820.67000000001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2355</v>
      </c>
      <c r="B4" s="362"/>
      <c r="C4" s="3316" t="s">
        <v>2356</v>
      </c>
      <c r="D4" s="3329"/>
      <c r="E4" s="3330" t="s">
        <v>2357</v>
      </c>
      <c r="F4" s="3331"/>
      <c r="G4" s="3316" t="s">
        <v>2358</v>
      </c>
      <c r="H4" s="3329"/>
      <c r="I4" s="3316" t="s">
        <v>2359</v>
      </c>
      <c r="J4" s="3329"/>
      <c r="K4" s="2076" t="s">
        <v>2360</v>
      </c>
      <c r="L4" s="2945"/>
      <c r="M4" s="2946"/>
      <c r="N4" s="2946"/>
      <c r="O4" s="2946"/>
      <c r="P4" s="3332" t="s">
        <v>2361</v>
      </c>
      <c r="Q4" s="3333"/>
      <c r="R4" s="3338" t="s">
        <v>2357</v>
      </c>
      <c r="S4" s="3339"/>
      <c r="T4" s="3338" t="s">
        <v>2358</v>
      </c>
      <c r="U4" s="3339"/>
      <c r="V4" s="3325" t="s">
        <v>2359</v>
      </c>
      <c r="W4" s="3325"/>
      <c r="X4" s="1540"/>
      <c r="Y4" s="3338" t="s">
        <v>2361</v>
      </c>
      <c r="Z4" s="3339"/>
      <c r="AA4" s="3326" t="s">
        <v>2357</v>
      </c>
      <c r="AB4" s="3326" t="s">
        <v>2358</v>
      </c>
      <c r="AC4" s="3326" t="s">
        <v>2359</v>
      </c>
    </row>
    <row r="5" spans="1:29" ht="15">
      <c r="A5" s="364"/>
      <c r="B5" s="365"/>
      <c r="C5" s="3346" t="s">
        <v>2362</v>
      </c>
      <c r="D5" s="3347"/>
      <c r="E5" s="3353" t="s">
        <v>2363</v>
      </c>
      <c r="F5" s="3354"/>
      <c r="G5" s="3346" t="s">
        <v>2364</v>
      </c>
      <c r="H5" s="3347"/>
      <c r="I5" s="3346" t="s">
        <v>2365</v>
      </c>
      <c r="J5" s="3347"/>
      <c r="K5" s="207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207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48" t="s">
        <v>2369</v>
      </c>
      <c r="Q7" s="3350"/>
      <c r="R7" s="710" t="s">
        <v>23</v>
      </c>
      <c r="S7" s="711">
        <f t="shared" ref="S7:S15" si="0">F7</f>
        <v>0</v>
      </c>
      <c r="T7" s="710" t="s">
        <v>23</v>
      </c>
      <c r="U7" s="711">
        <f t="shared" ref="U7:U15" si="1">H7</f>
        <v>0</v>
      </c>
      <c r="V7" s="710" t="s">
        <v>23</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48" t="s">
        <v>2372</v>
      </c>
      <c r="Q8" s="3349"/>
      <c r="R8" s="710" t="s">
        <v>23</v>
      </c>
      <c r="S8" s="711">
        <f t="shared" si="0"/>
        <v>0</v>
      </c>
      <c r="T8" s="710" t="s">
        <v>23</v>
      </c>
      <c r="U8" s="711">
        <f t="shared" si="1"/>
        <v>0</v>
      </c>
      <c r="V8" s="710" t="s">
        <v>23</v>
      </c>
      <c r="W8" s="711">
        <f t="shared" si="2"/>
        <v>0</v>
      </c>
      <c r="X8" s="712"/>
      <c r="Y8" s="3348" t="s">
        <v>2372</v>
      </c>
      <c r="Z8" s="334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18"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18"/>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18"/>
      <c r="Q11" s="1528" t="str">
        <f t="shared" si="6"/>
        <v>容积率</v>
      </c>
      <c r="R11" s="710" t="s">
        <v>21</v>
      </c>
      <c r="S11" s="711" t="e">
        <f t="shared" si="0"/>
        <v>#N/A</v>
      </c>
      <c r="T11" s="710" t="s">
        <v>21</v>
      </c>
      <c r="U11" s="711" t="e">
        <f t="shared" si="1"/>
        <v>#N/A</v>
      </c>
      <c r="V11" s="710" t="s">
        <v>21</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18"/>
      <c r="Q12" s="1528">
        <f t="shared" si="6"/>
        <v>111</v>
      </c>
      <c r="R12" s="710" t="s">
        <v>21</v>
      </c>
      <c r="S12" s="711">
        <f t="shared" si="0"/>
        <v>100</v>
      </c>
      <c r="T12" s="710" t="s">
        <v>21</v>
      </c>
      <c r="U12" s="711">
        <f t="shared" si="1"/>
        <v>100</v>
      </c>
      <c r="V12" s="710" t="s">
        <v>21</v>
      </c>
      <c r="W12" s="711">
        <f t="shared" si="2"/>
        <v>100</v>
      </c>
      <c r="X12" s="712"/>
      <c r="Y12" s="321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18"/>
      <c r="Q13" s="1528">
        <f t="shared" si="6"/>
        <v>111</v>
      </c>
      <c r="R13" s="710" t="s">
        <v>21</v>
      </c>
      <c r="S13" s="711">
        <f t="shared" si="0"/>
        <v>100</v>
      </c>
      <c r="T13" s="710" t="s">
        <v>21</v>
      </c>
      <c r="U13" s="711">
        <f t="shared" si="1"/>
        <v>100</v>
      </c>
      <c r="V13" s="710" t="s">
        <v>21</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18"/>
      <c r="Q14" s="1528">
        <f t="shared" si="6"/>
        <v>111</v>
      </c>
      <c r="R14" s="710" t="s">
        <v>21</v>
      </c>
      <c r="S14" s="711">
        <f t="shared" si="0"/>
        <v>100</v>
      </c>
      <c r="T14" s="710" t="s">
        <v>21</v>
      </c>
      <c r="U14" s="711">
        <f t="shared" si="1"/>
        <v>100</v>
      </c>
      <c r="V14" s="710" t="s">
        <v>21</v>
      </c>
      <c r="W14" s="711">
        <f t="shared" si="2"/>
        <v>100</v>
      </c>
      <c r="X14" s="712"/>
      <c r="Y14" s="3213"/>
      <c r="Z14" s="55">
        <f t="shared" si="7"/>
        <v>111</v>
      </c>
      <c r="AA14" s="713">
        <f t="shared" si="3"/>
        <v>1</v>
      </c>
      <c r="AB14" s="713">
        <f t="shared" si="4"/>
        <v>1</v>
      </c>
      <c r="AC14" s="713">
        <f t="shared" si="5"/>
        <v>1</v>
      </c>
    </row>
    <row r="15" spans="1:29" ht="99.75">
      <c r="A15" s="399" t="s">
        <v>2379</v>
      </c>
      <c r="B15" s="65" t="s">
        <v>1945</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95" t="s">
        <v>2380</v>
      </c>
      <c r="Q15" s="1537" t="str">
        <f t="shared" si="6"/>
        <v>居住社区成熟度</v>
      </c>
      <c r="R15" s="714" t="s">
        <v>21</v>
      </c>
      <c r="S15" s="715">
        <f t="shared" si="0"/>
        <v>100</v>
      </c>
      <c r="T15" s="714" t="s">
        <v>21</v>
      </c>
      <c r="U15" s="715">
        <f t="shared" si="1"/>
        <v>100</v>
      </c>
      <c r="V15" s="714" t="s">
        <v>21</v>
      </c>
      <c r="W15" s="715">
        <f t="shared" si="2"/>
        <v>100</v>
      </c>
      <c r="X15" s="1540"/>
      <c r="Y15" s="3321"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96"/>
      <c r="Q16" s="1537"/>
      <c r="R16" s="714"/>
      <c r="S16" s="715"/>
      <c r="T16" s="714"/>
      <c r="U16" s="715"/>
      <c r="V16" s="714"/>
      <c r="W16" s="715"/>
      <c r="X16" s="1540"/>
      <c r="Y16" s="3322"/>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96"/>
      <c r="Q17" s="1537" t="str">
        <f>B17</f>
        <v>交通便捷度</v>
      </c>
      <c r="R17" s="714" t="s">
        <v>21</v>
      </c>
      <c r="S17" s="715">
        <f>F17</f>
        <v>100</v>
      </c>
      <c r="T17" s="714" t="s">
        <v>21</v>
      </c>
      <c r="U17" s="715">
        <f>H17</f>
        <v>100</v>
      </c>
      <c r="V17" s="714" t="s">
        <v>21</v>
      </c>
      <c r="W17" s="715">
        <f>J17</f>
        <v>100</v>
      </c>
      <c r="X17" s="1540"/>
      <c r="Y17" s="3322"/>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96"/>
      <c r="Q18" s="1537"/>
      <c r="R18" s="714"/>
      <c r="S18" s="715"/>
      <c r="T18" s="714"/>
      <c r="U18" s="715"/>
      <c r="V18" s="714"/>
      <c r="W18" s="715"/>
      <c r="X18" s="1540"/>
      <c r="Y18" s="3322"/>
      <c r="Z18" s="1541"/>
      <c r="AA18" s="1538">
        <v>1</v>
      </c>
      <c r="AB18" s="1538">
        <v>1</v>
      </c>
      <c r="AC18" s="1538">
        <v>1</v>
      </c>
    </row>
    <row r="19" spans="1:29" ht="42.75">
      <c r="A19" s="387"/>
      <c r="B19" s="410" t="s">
        <v>1946</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96"/>
      <c r="Q19" s="1537" t="str">
        <f>B19</f>
        <v>公共配套设施</v>
      </c>
      <c r="R19" s="714" t="s">
        <v>21</v>
      </c>
      <c r="S19" s="715">
        <f>F19</f>
        <v>100</v>
      </c>
      <c r="T19" s="714" t="s">
        <v>21</v>
      </c>
      <c r="U19" s="715">
        <f>H19</f>
        <v>100</v>
      </c>
      <c r="V19" s="714" t="s">
        <v>21</v>
      </c>
      <c r="W19" s="715">
        <f>J19</f>
        <v>100</v>
      </c>
      <c r="X19" s="1540"/>
      <c r="Y19" s="3322"/>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96"/>
      <c r="Q20" s="1537"/>
      <c r="R20" s="714"/>
      <c r="S20" s="715"/>
      <c r="T20" s="714"/>
      <c r="U20" s="715"/>
      <c r="V20" s="714"/>
      <c r="W20" s="715"/>
      <c r="X20" s="1540"/>
      <c r="Y20" s="3322"/>
      <c r="Z20" s="1541"/>
      <c r="AA20" s="1538">
        <v>1</v>
      </c>
      <c r="AB20" s="1538">
        <v>1</v>
      </c>
      <c r="AC20" s="1538">
        <v>1</v>
      </c>
    </row>
    <row r="21" spans="1:29" ht="28.5">
      <c r="A21" s="387"/>
      <c r="B21" s="1293" t="s">
        <v>1948</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1538">
        <f>D21/J21</f>
        <v>1</v>
      </c>
    </row>
    <row r="22" spans="1:29" ht="15">
      <c r="A22" s="387"/>
      <c r="B22" s="1293"/>
      <c r="C22" s="2088"/>
      <c r="D22" s="407"/>
      <c r="E22" s="406"/>
      <c r="F22" s="407"/>
      <c r="G22" s="2091"/>
      <c r="H22" s="407"/>
      <c r="I22" s="406"/>
      <c r="J22" s="407"/>
      <c r="K22" s="2092"/>
      <c r="L22" s="2952"/>
      <c r="M22" s="2946"/>
      <c r="N22" s="2946"/>
      <c r="O22" s="2946"/>
      <c r="P22" s="3396"/>
      <c r="Q22" s="1537"/>
      <c r="R22" s="714"/>
      <c r="S22" s="715"/>
      <c r="T22" s="714"/>
      <c r="U22" s="715"/>
      <c r="V22" s="714"/>
      <c r="W22" s="715"/>
      <c r="X22" s="1540"/>
      <c r="Y22" s="3322"/>
      <c r="Z22" s="1541"/>
      <c r="AA22" s="1538">
        <v>1</v>
      </c>
      <c r="AB22" s="1538">
        <v>1</v>
      </c>
      <c r="AC22" s="1538">
        <v>1</v>
      </c>
    </row>
    <row r="23" spans="1:29" ht="57">
      <c r="A23" s="387"/>
      <c r="B23" s="410" t="s">
        <v>1949</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96"/>
      <c r="Q23" s="1537" t="str">
        <f>B23</f>
        <v>自然及人文环境</v>
      </c>
      <c r="R23" s="714" t="s">
        <v>21</v>
      </c>
      <c r="S23" s="715">
        <f>F23</f>
        <v>100</v>
      </c>
      <c r="T23" s="714" t="s">
        <v>21</v>
      </c>
      <c r="U23" s="715">
        <f>H23</f>
        <v>100</v>
      </c>
      <c r="V23" s="714" t="s">
        <v>21</v>
      </c>
      <c r="W23" s="715">
        <f>J23</f>
        <v>100</v>
      </c>
      <c r="X23" s="1540"/>
      <c r="Y23" s="3322"/>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96"/>
      <c r="Q24" s="1537"/>
      <c r="R24" s="714"/>
      <c r="S24" s="715"/>
      <c r="T24" s="714"/>
      <c r="U24" s="715"/>
      <c r="V24" s="714"/>
      <c r="W24" s="715"/>
      <c r="X24" s="1540"/>
      <c r="Y24" s="3322"/>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96"/>
      <c r="Q25" s="1537" t="str">
        <f t="shared" ref="Q25:Q46" si="8">B25</f>
        <v>楼层-1</v>
      </c>
      <c r="R25" s="714" t="s">
        <v>21</v>
      </c>
      <c r="S25" s="715">
        <f t="shared" ref="S25:S46" si="9">F25</f>
        <v>100</v>
      </c>
      <c r="T25" s="714" t="s">
        <v>21</v>
      </c>
      <c r="U25" s="715">
        <f t="shared" ref="U25:U46" si="10">H25</f>
        <v>100</v>
      </c>
      <c r="V25" s="714" t="s">
        <v>21</v>
      </c>
      <c r="W25" s="715">
        <f t="shared" ref="W25:W46" si="11">J25</f>
        <v>100</v>
      </c>
      <c r="X25" s="1540"/>
      <c r="Y25" s="3322"/>
      <c r="Z25" s="1541" t="str">
        <f>Q25</f>
        <v>楼层-1</v>
      </c>
      <c r="AA25" s="1538">
        <f t="shared" ref="AA25:AA46" si="12">D25/F25</f>
        <v>1</v>
      </c>
      <c r="AB25" s="1538">
        <f t="shared" ref="AB25:AB46" si="13">D25/H25</f>
        <v>1</v>
      </c>
      <c r="AC25" s="1538">
        <f t="shared" ref="AC25:AC46" si="14">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96"/>
      <c r="Q26" s="1537" t="str">
        <f t="shared" si="8"/>
        <v>朝向</v>
      </c>
      <c r="R26" s="714" t="s">
        <v>21</v>
      </c>
      <c r="S26" s="715">
        <f t="shared" si="9"/>
        <v>100</v>
      </c>
      <c r="T26" s="714" t="s">
        <v>21</v>
      </c>
      <c r="U26" s="715">
        <f t="shared" si="10"/>
        <v>100</v>
      </c>
      <c r="V26" s="714" t="s">
        <v>21</v>
      </c>
      <c r="W26" s="715">
        <f t="shared" si="11"/>
        <v>100</v>
      </c>
      <c r="X26" s="1540"/>
      <c r="Y26" s="3322"/>
      <c r="Z26" s="1541" t="str">
        <f>Q26</f>
        <v>朝向</v>
      </c>
      <c r="AA26" s="1538">
        <f t="shared" si="12"/>
        <v>1</v>
      </c>
      <c r="AB26" s="1538">
        <f t="shared" si="13"/>
        <v>1</v>
      </c>
      <c r="AC26" s="1538">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96"/>
      <c r="Q27" s="1528">
        <f t="shared" si="8"/>
        <v>111</v>
      </c>
      <c r="R27" s="710" t="s">
        <v>21</v>
      </c>
      <c r="S27" s="711">
        <f t="shared" si="9"/>
        <v>100</v>
      </c>
      <c r="T27" s="710" t="s">
        <v>21</v>
      </c>
      <c r="U27" s="711">
        <f t="shared" si="10"/>
        <v>100</v>
      </c>
      <c r="V27" s="710" t="s">
        <v>21</v>
      </c>
      <c r="W27" s="711">
        <f t="shared" si="11"/>
        <v>100</v>
      </c>
      <c r="X27" s="712"/>
      <c r="Y27" s="3322"/>
      <c r="Z27" s="55">
        <f>Q27</f>
        <v>111</v>
      </c>
      <c r="AA27" s="1538">
        <f t="shared" si="12"/>
        <v>1</v>
      </c>
      <c r="AB27" s="1538">
        <f t="shared" si="13"/>
        <v>1</v>
      </c>
      <c r="AC27" s="1538">
        <f t="shared" si="14"/>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96"/>
      <c r="Q28" s="1537">
        <f t="shared" si="8"/>
        <v>111</v>
      </c>
      <c r="R28" s="714" t="s">
        <v>21</v>
      </c>
      <c r="S28" s="715">
        <f t="shared" si="9"/>
        <v>100</v>
      </c>
      <c r="T28" s="714" t="s">
        <v>21</v>
      </c>
      <c r="U28" s="715">
        <f t="shared" si="10"/>
        <v>100</v>
      </c>
      <c r="V28" s="714" t="s">
        <v>21</v>
      </c>
      <c r="W28" s="715">
        <f t="shared" si="11"/>
        <v>100</v>
      </c>
      <c r="X28" s="1540"/>
      <c r="Y28" s="3322"/>
      <c r="Z28" s="1541">
        <f t="shared" ref="Z28:Z46" si="15">Q28</f>
        <v>111</v>
      </c>
      <c r="AA28" s="1538">
        <f t="shared" si="12"/>
        <v>1</v>
      </c>
      <c r="AB28" s="1538">
        <f t="shared" si="13"/>
        <v>1</v>
      </c>
      <c r="AC28" s="1538">
        <f t="shared" si="14"/>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96"/>
      <c r="Q29" s="1537">
        <f t="shared" si="8"/>
        <v>111</v>
      </c>
      <c r="R29" s="714" t="s">
        <v>21</v>
      </c>
      <c r="S29" s="715">
        <f t="shared" si="9"/>
        <v>100</v>
      </c>
      <c r="T29" s="714" t="s">
        <v>21</v>
      </c>
      <c r="U29" s="715">
        <f t="shared" si="10"/>
        <v>100</v>
      </c>
      <c r="V29" s="714" t="s">
        <v>21</v>
      </c>
      <c r="W29" s="715">
        <f t="shared" si="11"/>
        <v>100</v>
      </c>
      <c r="X29" s="1540"/>
      <c r="Y29" s="3322"/>
      <c r="Z29" s="1541">
        <f t="shared" si="15"/>
        <v>111</v>
      </c>
      <c r="AA29" s="1538">
        <f t="shared" si="12"/>
        <v>1</v>
      </c>
      <c r="AB29" s="1538">
        <f t="shared" si="13"/>
        <v>1</v>
      </c>
      <c r="AC29" s="1538">
        <f t="shared" si="14"/>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96"/>
      <c r="Q30" s="1537">
        <f t="shared" si="8"/>
        <v>111</v>
      </c>
      <c r="R30" s="714" t="s">
        <v>21</v>
      </c>
      <c r="S30" s="715">
        <f t="shared" si="9"/>
        <v>100</v>
      </c>
      <c r="T30" s="714" t="s">
        <v>21</v>
      </c>
      <c r="U30" s="715">
        <f t="shared" si="10"/>
        <v>100</v>
      </c>
      <c r="V30" s="714" t="s">
        <v>21</v>
      </c>
      <c r="W30" s="715">
        <f t="shared" si="11"/>
        <v>100</v>
      </c>
      <c r="X30" s="1540"/>
      <c r="Y30" s="3322"/>
      <c r="Z30" s="1541">
        <f t="shared" si="15"/>
        <v>111</v>
      </c>
      <c r="AA30" s="1538">
        <f t="shared" si="12"/>
        <v>1</v>
      </c>
      <c r="AB30" s="1538">
        <f t="shared" si="13"/>
        <v>1</v>
      </c>
      <c r="AC30" s="1538">
        <f t="shared" si="14"/>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96"/>
      <c r="Q31" s="1537">
        <f t="shared" si="8"/>
        <v>111</v>
      </c>
      <c r="R31" s="714" t="s">
        <v>21</v>
      </c>
      <c r="S31" s="715">
        <f t="shared" si="9"/>
        <v>100</v>
      </c>
      <c r="T31" s="714" t="s">
        <v>21</v>
      </c>
      <c r="U31" s="715">
        <f t="shared" si="10"/>
        <v>100</v>
      </c>
      <c r="V31" s="714" t="s">
        <v>21</v>
      </c>
      <c r="W31" s="715">
        <f t="shared" si="11"/>
        <v>100</v>
      </c>
      <c r="X31" s="1540"/>
      <c r="Y31" s="3322"/>
      <c r="Z31" s="1541">
        <f t="shared" si="15"/>
        <v>111</v>
      </c>
      <c r="AA31" s="1538">
        <f t="shared" si="12"/>
        <v>1</v>
      </c>
      <c r="AB31" s="1538">
        <f t="shared" si="13"/>
        <v>1</v>
      </c>
      <c r="AC31" s="1538">
        <f t="shared" si="14"/>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91" t="s">
        <v>2385</v>
      </c>
      <c r="Q32" s="1537" t="str">
        <f t="shared" si="8"/>
        <v>建筑类型</v>
      </c>
      <c r="R32" s="714" t="s">
        <v>21</v>
      </c>
      <c r="S32" s="715">
        <f t="shared" si="9"/>
        <v>100</v>
      </c>
      <c r="T32" s="714" t="s">
        <v>21</v>
      </c>
      <c r="U32" s="715">
        <f t="shared" si="10"/>
        <v>100</v>
      </c>
      <c r="V32" s="714" t="s">
        <v>21</v>
      </c>
      <c r="W32" s="715">
        <f t="shared" si="11"/>
        <v>100</v>
      </c>
      <c r="X32" s="1540"/>
      <c r="Y32" s="3324" t="s">
        <v>2385</v>
      </c>
      <c r="Z32" s="1541" t="str">
        <f t="shared" si="15"/>
        <v>建筑类型</v>
      </c>
      <c r="AA32" s="1538">
        <f t="shared" si="12"/>
        <v>1</v>
      </c>
      <c r="AB32" s="1538">
        <f t="shared" si="13"/>
        <v>1</v>
      </c>
      <c r="AC32" s="1538">
        <f t="shared" si="14"/>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92"/>
      <c r="Q33" s="716" t="str">
        <f t="shared" si="8"/>
        <v>项目建筑规模</v>
      </c>
      <c r="R33" s="717" t="s">
        <v>21</v>
      </c>
      <c r="S33" s="718" t="e">
        <f t="shared" si="9"/>
        <v>#N/A</v>
      </c>
      <c r="T33" s="717" t="s">
        <v>21</v>
      </c>
      <c r="U33" s="718" t="e">
        <f t="shared" si="10"/>
        <v>#N/A</v>
      </c>
      <c r="V33" s="717" t="s">
        <v>21</v>
      </c>
      <c r="W33" s="718" t="e">
        <f t="shared" si="11"/>
        <v>#N/A</v>
      </c>
      <c r="X33" s="719"/>
      <c r="Y33" s="3324"/>
      <c r="Z33" s="720" t="str">
        <f t="shared" si="15"/>
        <v>项目建筑规模</v>
      </c>
      <c r="AA33" s="1538" t="e">
        <f t="shared" si="12"/>
        <v>#N/A</v>
      </c>
      <c r="AB33" s="1538" t="e">
        <f t="shared" si="13"/>
        <v>#N/A</v>
      </c>
      <c r="AC33" s="1538" t="e">
        <f t="shared" si="14"/>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92"/>
      <c r="Q34" s="1537" t="str">
        <f t="shared" si="8"/>
        <v>建筑结构</v>
      </c>
      <c r="R34" s="714" t="s">
        <v>21</v>
      </c>
      <c r="S34" s="715">
        <f t="shared" si="9"/>
        <v>100</v>
      </c>
      <c r="T34" s="714" t="s">
        <v>21</v>
      </c>
      <c r="U34" s="715">
        <f t="shared" si="10"/>
        <v>100</v>
      </c>
      <c r="V34" s="714" t="s">
        <v>21</v>
      </c>
      <c r="W34" s="715">
        <f t="shared" si="11"/>
        <v>100</v>
      </c>
      <c r="X34" s="1540"/>
      <c r="Y34" s="3324"/>
      <c r="Z34" s="1541" t="str">
        <f t="shared" si="15"/>
        <v>建筑结构</v>
      </c>
      <c r="AA34" s="1538">
        <f t="shared" si="12"/>
        <v>1</v>
      </c>
      <c r="AB34" s="1538">
        <f t="shared" si="13"/>
        <v>1</v>
      </c>
      <c r="AC34" s="1538">
        <f t="shared" si="14"/>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92"/>
      <c r="Q35" s="1537" t="str">
        <f t="shared" si="8"/>
        <v>建筑品质</v>
      </c>
      <c r="R35" s="714" t="s">
        <v>21</v>
      </c>
      <c r="S35" s="715">
        <f t="shared" si="9"/>
        <v>100</v>
      </c>
      <c r="T35" s="714" t="s">
        <v>21</v>
      </c>
      <c r="U35" s="715">
        <f t="shared" si="10"/>
        <v>100</v>
      </c>
      <c r="V35" s="714" t="s">
        <v>21</v>
      </c>
      <c r="W35" s="715">
        <f t="shared" si="11"/>
        <v>100</v>
      </c>
      <c r="X35" s="1540"/>
      <c r="Y35" s="3324"/>
      <c r="Z35" s="1541" t="str">
        <f t="shared" si="15"/>
        <v>建筑品质</v>
      </c>
      <c r="AA35" s="1538">
        <f t="shared" si="12"/>
        <v>1</v>
      </c>
      <c r="AB35" s="1538">
        <f t="shared" si="13"/>
        <v>1</v>
      </c>
      <c r="AC35" s="1538">
        <f t="shared" si="14"/>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92"/>
      <c r="Q36" s="1537" t="str">
        <f t="shared" si="8"/>
        <v>公共部分装修</v>
      </c>
      <c r="R36" s="714" t="s">
        <v>21</v>
      </c>
      <c r="S36" s="715">
        <f t="shared" si="9"/>
        <v>100</v>
      </c>
      <c r="T36" s="714" t="s">
        <v>21</v>
      </c>
      <c r="U36" s="715">
        <f t="shared" si="10"/>
        <v>100</v>
      </c>
      <c r="V36" s="714" t="s">
        <v>21</v>
      </c>
      <c r="W36" s="715">
        <f t="shared" si="11"/>
        <v>100</v>
      </c>
      <c r="X36" s="1540"/>
      <c r="Y36" s="3324"/>
      <c r="Z36" s="1541" t="str">
        <f t="shared" si="15"/>
        <v>公共部分装修</v>
      </c>
      <c r="AA36" s="1538">
        <f t="shared" si="12"/>
        <v>1</v>
      </c>
      <c r="AB36" s="1538">
        <f t="shared" si="13"/>
        <v>1</v>
      </c>
      <c r="AC36" s="1538">
        <f t="shared" si="14"/>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92"/>
      <c r="Q37" s="1528" t="str">
        <f t="shared" si="8"/>
        <v>成新度</v>
      </c>
      <c r="R37" s="710" t="s">
        <v>21</v>
      </c>
      <c r="S37" s="711" t="e">
        <f t="shared" si="9"/>
        <v>#N/A</v>
      </c>
      <c r="T37" s="710" t="s">
        <v>21</v>
      </c>
      <c r="U37" s="711" t="e">
        <f t="shared" si="10"/>
        <v>#N/A</v>
      </c>
      <c r="V37" s="710" t="s">
        <v>21</v>
      </c>
      <c r="W37" s="711" t="e">
        <f t="shared" si="11"/>
        <v>#N/A</v>
      </c>
      <c r="X37" s="712"/>
      <c r="Y37" s="3324"/>
      <c r="Z37" s="55" t="str">
        <f t="shared" si="15"/>
        <v>成新度</v>
      </c>
      <c r="AA37" s="713" t="e">
        <f t="shared" si="12"/>
        <v>#N/A</v>
      </c>
      <c r="AB37" s="713" t="e">
        <f t="shared" si="13"/>
        <v>#N/A</v>
      </c>
      <c r="AC37" s="713" t="e">
        <f t="shared" si="14"/>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92" t="s">
        <v>2385</v>
      </c>
      <c r="Q38" s="1537" t="str">
        <f t="shared" si="8"/>
        <v>物业管理</v>
      </c>
      <c r="R38" s="714" t="s">
        <v>21</v>
      </c>
      <c r="S38" s="715">
        <f t="shared" si="9"/>
        <v>100</v>
      </c>
      <c r="T38" s="714" t="s">
        <v>21</v>
      </c>
      <c r="U38" s="715">
        <f t="shared" si="10"/>
        <v>100</v>
      </c>
      <c r="V38" s="714" t="s">
        <v>21</v>
      </c>
      <c r="W38" s="715">
        <f t="shared" si="11"/>
        <v>100</v>
      </c>
      <c r="X38" s="1540"/>
      <c r="Y38" s="3324" t="s">
        <v>2385</v>
      </c>
      <c r="Z38" s="1541" t="str">
        <f t="shared" si="15"/>
        <v>物业管理</v>
      </c>
      <c r="AA38" s="1538">
        <f t="shared" si="12"/>
        <v>1</v>
      </c>
      <c r="AB38" s="1538">
        <f t="shared" si="13"/>
        <v>1</v>
      </c>
      <c r="AC38" s="1538">
        <f t="shared" si="14"/>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92"/>
      <c r="Q39" s="1537" t="str">
        <f t="shared" si="8"/>
        <v>市政基础设施</v>
      </c>
      <c r="R39" s="714" t="s">
        <v>21</v>
      </c>
      <c r="S39" s="715">
        <f t="shared" si="9"/>
        <v>100</v>
      </c>
      <c r="T39" s="714" t="s">
        <v>21</v>
      </c>
      <c r="U39" s="715">
        <f t="shared" si="10"/>
        <v>100</v>
      </c>
      <c r="V39" s="714" t="s">
        <v>21</v>
      </c>
      <c r="W39" s="715">
        <f t="shared" si="11"/>
        <v>100</v>
      </c>
      <c r="X39" s="1540"/>
      <c r="Y39" s="3324"/>
      <c r="Z39" s="1541" t="str">
        <f t="shared" si="15"/>
        <v>市政基础设施</v>
      </c>
      <c r="AA39" s="1538">
        <f t="shared" si="12"/>
        <v>1</v>
      </c>
      <c r="AB39" s="1538">
        <f t="shared" si="13"/>
        <v>1</v>
      </c>
      <c r="AC39" s="1538">
        <f t="shared" si="14"/>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92"/>
      <c r="Q40" s="1537" t="str">
        <f t="shared" si="8"/>
        <v>房型</v>
      </c>
      <c r="R40" s="714" t="s">
        <v>21</v>
      </c>
      <c r="S40" s="715">
        <f t="shared" si="9"/>
        <v>100</v>
      </c>
      <c r="T40" s="714" t="s">
        <v>21</v>
      </c>
      <c r="U40" s="715">
        <f t="shared" si="10"/>
        <v>100</v>
      </c>
      <c r="V40" s="714" t="s">
        <v>21</v>
      </c>
      <c r="W40" s="715">
        <f t="shared" si="11"/>
        <v>100</v>
      </c>
      <c r="X40" s="1540"/>
      <c r="Y40" s="3324"/>
      <c r="Z40" s="1541" t="str">
        <f t="shared" si="15"/>
        <v>房型</v>
      </c>
      <c r="AA40" s="1538">
        <f t="shared" si="12"/>
        <v>1</v>
      </c>
      <c r="AB40" s="1538">
        <f t="shared" si="13"/>
        <v>1</v>
      </c>
      <c r="AC40" s="1538">
        <f t="shared" si="14"/>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92"/>
      <c r="Q41" s="716" t="str">
        <f t="shared" si="8"/>
        <v>单套/主力户型建筑面积</v>
      </c>
      <c r="R41" s="717" t="s">
        <v>21</v>
      </c>
      <c r="S41" s="718">
        <f t="shared" si="9"/>
        <v>100</v>
      </c>
      <c r="T41" s="717" t="s">
        <v>21</v>
      </c>
      <c r="U41" s="718">
        <f t="shared" si="10"/>
        <v>100</v>
      </c>
      <c r="V41" s="717" t="s">
        <v>21</v>
      </c>
      <c r="W41" s="718">
        <f t="shared" si="11"/>
        <v>100</v>
      </c>
      <c r="X41" s="719"/>
      <c r="Y41" s="3324"/>
      <c r="Z41" s="720" t="str">
        <f t="shared" si="15"/>
        <v>单套/主力户型建筑面积</v>
      </c>
      <c r="AA41" s="1538">
        <f t="shared" si="12"/>
        <v>1</v>
      </c>
      <c r="AB41" s="1538">
        <f t="shared" si="13"/>
        <v>1</v>
      </c>
      <c r="AC41" s="1538">
        <f t="shared" si="14"/>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92"/>
      <c r="Q42" s="1537" t="str">
        <f t="shared" si="8"/>
        <v>内部装修</v>
      </c>
      <c r="R42" s="714" t="s">
        <v>21</v>
      </c>
      <c r="S42" s="715">
        <f t="shared" si="9"/>
        <v>100</v>
      </c>
      <c r="T42" s="714" t="s">
        <v>21</v>
      </c>
      <c r="U42" s="715">
        <f t="shared" si="10"/>
        <v>100</v>
      </c>
      <c r="V42" s="714" t="s">
        <v>21</v>
      </c>
      <c r="W42" s="715">
        <f t="shared" si="11"/>
        <v>100</v>
      </c>
      <c r="X42" s="1540"/>
      <c r="Y42" s="3324"/>
      <c r="Z42" s="1541" t="str">
        <f t="shared" si="15"/>
        <v>内部装修</v>
      </c>
      <c r="AA42" s="1538">
        <f t="shared" si="12"/>
        <v>1</v>
      </c>
      <c r="AB42" s="1538">
        <f t="shared" si="13"/>
        <v>1</v>
      </c>
      <c r="AC42" s="1538">
        <f t="shared" si="14"/>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92"/>
      <c r="Q43" s="1537" t="str">
        <f t="shared" si="8"/>
        <v>内部装修维护情况</v>
      </c>
      <c r="R43" s="714" t="s">
        <v>21</v>
      </c>
      <c r="S43" s="715">
        <f t="shared" si="9"/>
        <v>100</v>
      </c>
      <c r="T43" s="714" t="s">
        <v>21</v>
      </c>
      <c r="U43" s="715">
        <f t="shared" si="10"/>
        <v>100</v>
      </c>
      <c r="V43" s="714" t="s">
        <v>21</v>
      </c>
      <c r="W43" s="715">
        <f t="shared" si="11"/>
        <v>100</v>
      </c>
      <c r="X43" s="1540"/>
      <c r="Y43" s="3324"/>
      <c r="Z43" s="1541" t="str">
        <f t="shared" si="15"/>
        <v>内部装修维护情况</v>
      </c>
      <c r="AA43" s="1538">
        <f t="shared" si="12"/>
        <v>1</v>
      </c>
      <c r="AB43" s="1538">
        <f t="shared" si="13"/>
        <v>1</v>
      </c>
      <c r="AC43" s="1538">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92"/>
      <c r="Q44" s="1528">
        <f t="shared" si="8"/>
        <v>111</v>
      </c>
      <c r="R44" s="710" t="s">
        <v>21</v>
      </c>
      <c r="S44" s="711">
        <f t="shared" si="9"/>
        <v>100</v>
      </c>
      <c r="T44" s="710" t="s">
        <v>21</v>
      </c>
      <c r="U44" s="711">
        <f t="shared" si="10"/>
        <v>100</v>
      </c>
      <c r="V44" s="710" t="s">
        <v>21</v>
      </c>
      <c r="W44" s="711">
        <f t="shared" si="11"/>
        <v>100</v>
      </c>
      <c r="X44" s="712"/>
      <c r="Y44" s="3324"/>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92"/>
      <c r="Q45" s="1537">
        <f t="shared" si="8"/>
        <v>111</v>
      </c>
      <c r="R45" s="714" t="s">
        <v>21</v>
      </c>
      <c r="S45" s="715">
        <f t="shared" si="9"/>
        <v>100</v>
      </c>
      <c r="T45" s="714" t="s">
        <v>21</v>
      </c>
      <c r="U45" s="715">
        <f t="shared" si="10"/>
        <v>100</v>
      </c>
      <c r="V45" s="714" t="s">
        <v>21</v>
      </c>
      <c r="W45" s="715">
        <f t="shared" si="11"/>
        <v>100</v>
      </c>
      <c r="X45" s="1540"/>
      <c r="Y45" s="3324"/>
      <c r="Z45" s="1541">
        <f t="shared" si="15"/>
        <v>111</v>
      </c>
      <c r="AA45" s="1538">
        <f t="shared" si="12"/>
        <v>1</v>
      </c>
      <c r="AB45" s="1538">
        <f t="shared" si="13"/>
        <v>1</v>
      </c>
      <c r="AC45" s="1538">
        <f t="shared" si="14"/>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93"/>
      <c r="Q46" s="1537">
        <f t="shared" si="8"/>
        <v>111</v>
      </c>
      <c r="R46" s="714" t="s">
        <v>20</v>
      </c>
      <c r="S46" s="715">
        <f t="shared" si="9"/>
        <v>100</v>
      </c>
      <c r="T46" s="714" t="s">
        <v>20</v>
      </c>
      <c r="U46" s="715">
        <f t="shared" si="10"/>
        <v>100</v>
      </c>
      <c r="V46" s="714" t="s">
        <v>20</v>
      </c>
      <c r="W46" s="715">
        <f t="shared" si="11"/>
        <v>100</v>
      </c>
      <c r="X46" s="1540"/>
      <c r="Y46" s="3394"/>
      <c r="Z46" s="1541">
        <f t="shared" si="15"/>
        <v>111</v>
      </c>
      <c r="AA46" s="1538">
        <f t="shared" si="12"/>
        <v>1</v>
      </c>
      <c r="AB46" s="1538">
        <f t="shared" si="13"/>
        <v>1</v>
      </c>
      <c r="AC46" s="1538">
        <f t="shared" si="14"/>
        <v>1</v>
      </c>
    </row>
    <row r="47" spans="1:29" ht="15">
      <c r="A47" s="438" t="s">
        <v>2397</v>
      </c>
      <c r="B47" s="439"/>
      <c r="C47" s="1316" t="s">
        <v>19</v>
      </c>
      <c r="D47" s="1317"/>
      <c r="E47" s="1318"/>
      <c r="F47" s="1319"/>
      <c r="G47" s="1320"/>
      <c r="H47" s="1321"/>
      <c r="I47" s="1318"/>
      <c r="J47" s="1321"/>
      <c r="K47" s="2101"/>
      <c r="L47" s="2954"/>
      <c r="M47" s="2955"/>
      <c r="N47" s="2946"/>
      <c r="O47" s="2955"/>
      <c r="P47" s="3319" t="str">
        <f>A47</f>
        <v>成交单价（元/平方米）</v>
      </c>
      <c r="Q47" s="3319"/>
      <c r="R47" s="3390">
        <f>E47</f>
        <v>0</v>
      </c>
      <c r="S47" s="3390"/>
      <c r="T47" s="3390">
        <f>G47</f>
        <v>0</v>
      </c>
      <c r="U47" s="3390"/>
      <c r="V47" s="3390">
        <f>I47</f>
        <v>0</v>
      </c>
      <c r="W47" s="3390"/>
      <c r="X47" s="699"/>
      <c r="Y47" s="721"/>
      <c r="Z47" s="699"/>
      <c r="AA47" s="699"/>
      <c r="AB47" s="699"/>
      <c r="AC47" s="699"/>
    </row>
    <row r="48" spans="1:29" ht="15.75" thickBot="1">
      <c r="A48" s="445" t="s">
        <v>2398</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19" t="str">
        <f>A48</f>
        <v>比较价值（元/平方米）</v>
      </c>
      <c r="Q48" s="331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4"/>
      <c r="M49" s="2955"/>
      <c r="N49" s="2955"/>
      <c r="O49" s="2955"/>
      <c r="P49" s="3313" t="str">
        <f>A49</f>
        <v>估价对象XX用房的比较价值（楼面单价，元/平方米）</v>
      </c>
      <c r="Q49" s="331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7" t="str">
        <f>YEAR(C7)&amp;"-"&amp;MONTH(C7)</f>
        <v>2020-12</v>
      </c>
      <c r="D58" s="1346">
        <f>EDATE(C58,-1)</f>
        <v>44136</v>
      </c>
      <c r="E58" s="1346">
        <f>EDATE(D58,-1)</f>
        <v>44105</v>
      </c>
      <c r="F58" s="1346">
        <f t="shared" ref="F58:O58" si="16">EDATE(E58,-1)</f>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 t="shared" si="16"/>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9"/>
      <c r="Q66" s="461"/>
    </row>
    <row r="67" spans="1:17" ht="15.75" thickTop="1">
      <c r="A67" s="491"/>
      <c r="B67" s="503" t="s">
        <v>2378</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9"/>
      <c r="Q101" s="461"/>
    </row>
    <row r="102" spans="1:17"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9"/>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2462</v>
      </c>
      <c r="C1" s="1405" t="s">
        <v>2350</v>
      </c>
      <c r="D1" s="1392"/>
      <c r="E1" s="2544"/>
      <c r="F1" s="2066"/>
      <c r="G1" s="1402" t="s">
        <v>2463</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2150</v>
      </c>
      <c r="B2" s="1326" t="e">
        <f ca="1">IF(C2="——",ROUND(C49*D3/10000,0),ROUND(C49*D3/10000,0)-D2)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2152</v>
      </c>
      <c r="B3" s="566" t="e">
        <f ca="1">IF(C2="——",C49,ROUND(B2*10000/D3,0))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5"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5"/>
      <c r="AC5" s="3327"/>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5"/>
      <c r="AC6" s="3328"/>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48"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18"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18"/>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18"/>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18"/>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18"/>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18"/>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71.25">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95" t="s">
        <v>2380</v>
      </c>
      <c r="Q15" s="1537" t="str">
        <f t="shared" si="6"/>
        <v>商业繁华度</v>
      </c>
      <c r="R15" s="714" t="s">
        <v>17</v>
      </c>
      <c r="S15" s="715">
        <f t="shared" si="0"/>
        <v>100</v>
      </c>
      <c r="T15" s="714" t="s">
        <v>17</v>
      </c>
      <c r="U15" s="715">
        <f t="shared" si="1"/>
        <v>100</v>
      </c>
      <c r="V15" s="714" t="s">
        <v>17</v>
      </c>
      <c r="W15" s="715">
        <f t="shared" si="2"/>
        <v>100</v>
      </c>
      <c r="X15" s="1540"/>
      <c r="Y15" s="3321"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96"/>
      <c r="Q16" s="1537"/>
      <c r="R16" s="714"/>
      <c r="S16" s="715"/>
      <c r="T16" s="714"/>
      <c r="U16" s="715"/>
      <c r="V16" s="714"/>
      <c r="W16" s="715"/>
      <c r="X16" s="1540"/>
      <c r="Y16" s="3322"/>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96"/>
      <c r="Q18" s="1537"/>
      <c r="R18" s="714"/>
      <c r="S18" s="715"/>
      <c r="T18" s="714"/>
      <c r="U18" s="715"/>
      <c r="V18" s="714"/>
      <c r="W18" s="715"/>
      <c r="X18" s="1540"/>
      <c r="Y18" s="3322"/>
      <c r="Z18" s="1541"/>
      <c r="AA18" s="1538">
        <v>1</v>
      </c>
      <c r="AB18" s="1538">
        <v>1</v>
      </c>
      <c r="AC18" s="1538">
        <v>1</v>
      </c>
    </row>
    <row r="19" spans="1:29" ht="42.75">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2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96"/>
      <c r="Q20" s="1537"/>
      <c r="R20" s="714"/>
      <c r="S20" s="715"/>
      <c r="T20" s="714"/>
      <c r="U20" s="715"/>
      <c r="V20" s="714"/>
      <c r="W20" s="715"/>
      <c r="X20" s="1540"/>
      <c r="Y20" s="3322"/>
      <c r="Z20" s="1541"/>
      <c r="AA20" s="1538">
        <v>1</v>
      </c>
      <c r="AB20" s="1538">
        <v>1</v>
      </c>
      <c r="AC20" s="1538">
        <v>1</v>
      </c>
    </row>
    <row r="21" spans="1:29" ht="28.5">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2952"/>
      <c r="M22" s="2946"/>
      <c r="N22" s="2946"/>
      <c r="O22" s="2946"/>
      <c r="P22" s="3396"/>
      <c r="Q22" s="1537"/>
      <c r="R22" s="714"/>
      <c r="S22" s="715"/>
      <c r="T22" s="714"/>
      <c r="U22" s="715"/>
      <c r="V22" s="714"/>
      <c r="W22" s="715"/>
      <c r="X22" s="1540"/>
      <c r="Y22" s="3322"/>
      <c r="Z22" s="1541"/>
      <c r="AA22" s="1538">
        <v>1</v>
      </c>
      <c r="AB22" s="1538">
        <v>1</v>
      </c>
      <c r="AC22" s="1538">
        <v>1</v>
      </c>
    </row>
    <row r="23" spans="1:29" ht="57">
      <c r="A23" s="387"/>
      <c r="B23" s="410" t="s">
        <v>1949</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96"/>
      <c r="Q23" s="1537" t="str">
        <f>B23</f>
        <v>自然及人文环境</v>
      </c>
      <c r="R23" s="714" t="s">
        <v>17</v>
      </c>
      <c r="S23" s="715">
        <f>F23</f>
        <v>100</v>
      </c>
      <c r="T23" s="714" t="s">
        <v>17</v>
      </c>
      <c r="U23" s="715">
        <f>H23</f>
        <v>100</v>
      </c>
      <c r="V23" s="714" t="s">
        <v>17</v>
      </c>
      <c r="W23" s="715">
        <f>J23</f>
        <v>100</v>
      </c>
      <c r="X23" s="1540"/>
      <c r="Y23" s="3322"/>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96"/>
      <c r="Q24" s="1537"/>
      <c r="R24" s="714"/>
      <c r="S24" s="715"/>
      <c r="T24" s="714"/>
      <c r="U24" s="715"/>
      <c r="V24" s="714"/>
      <c r="W24" s="715"/>
      <c r="X24" s="1540"/>
      <c r="Y24" s="3322"/>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96"/>
      <c r="Q25" s="1537" t="str">
        <f t="shared" ref="Q25:Q46" si="8">B25</f>
        <v>临街状况</v>
      </c>
      <c r="R25" s="714" t="s">
        <v>17</v>
      </c>
      <c r="S25" s="715">
        <f>F25</f>
        <v>100</v>
      </c>
      <c r="T25" s="714" t="s">
        <v>17</v>
      </c>
      <c r="U25" s="715">
        <f>H25</f>
        <v>100</v>
      </c>
      <c r="V25" s="714" t="s">
        <v>17</v>
      </c>
      <c r="W25" s="715">
        <f>J25</f>
        <v>100</v>
      </c>
      <c r="X25" s="1540"/>
      <c r="Y25" s="3322"/>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96"/>
      <c r="Q26" s="1537" t="str">
        <f t="shared" si="8"/>
        <v>平面位置/可视性</v>
      </c>
      <c r="R26" s="714" t="s">
        <v>17</v>
      </c>
      <c r="S26" s="715">
        <f>F26</f>
        <v>100</v>
      </c>
      <c r="T26" s="714" t="s">
        <v>17</v>
      </c>
      <c r="U26" s="715">
        <f>H26</f>
        <v>100</v>
      </c>
      <c r="V26" s="714" t="s">
        <v>17</v>
      </c>
      <c r="W26" s="715">
        <f>J26</f>
        <v>100</v>
      </c>
      <c r="X26" s="1540"/>
      <c r="Y26" s="3322"/>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96"/>
      <c r="Q27" s="1528" t="str">
        <f t="shared" si="8"/>
        <v>人流量</v>
      </c>
      <c r="R27" s="710" t="s">
        <v>17</v>
      </c>
      <c r="S27" s="711">
        <f>F27</f>
        <v>100</v>
      </c>
      <c r="T27" s="710" t="s">
        <v>17</v>
      </c>
      <c r="U27" s="711">
        <f>H27</f>
        <v>100</v>
      </c>
      <c r="V27" s="710" t="s">
        <v>17</v>
      </c>
      <c r="W27" s="711">
        <f>J27</f>
        <v>100</v>
      </c>
      <c r="X27" s="712"/>
      <c r="Y27" s="3322"/>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96"/>
      <c r="Q28" s="1537" t="str">
        <f t="shared" si="8"/>
        <v>楼层</v>
      </c>
      <c r="R28" s="714" t="s">
        <v>17</v>
      </c>
      <c r="S28" s="715">
        <f t="shared" ref="S28:S46" si="9">F28</f>
        <v>100</v>
      </c>
      <c r="T28" s="714" t="s">
        <v>17</v>
      </c>
      <c r="U28" s="715">
        <f t="shared" ref="U28:U46" si="10">H28</f>
        <v>100</v>
      </c>
      <c r="V28" s="714" t="s">
        <v>17</v>
      </c>
      <c r="W28" s="715">
        <f t="shared" ref="W28:W46" si="11">J28</f>
        <v>100</v>
      </c>
      <c r="X28" s="1540"/>
      <c r="Y28" s="3322"/>
      <c r="Z28" s="1541" t="str">
        <f t="shared" ref="Z28:Z46" si="12">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96"/>
      <c r="Q29" s="1537">
        <f t="shared" si="8"/>
        <v>111</v>
      </c>
      <c r="R29" s="714" t="s">
        <v>17</v>
      </c>
      <c r="S29" s="715">
        <f t="shared" si="9"/>
        <v>100</v>
      </c>
      <c r="T29" s="714" t="s">
        <v>17</v>
      </c>
      <c r="U29" s="715">
        <f t="shared" si="10"/>
        <v>100</v>
      </c>
      <c r="V29" s="714" t="s">
        <v>17</v>
      </c>
      <c r="W29" s="715">
        <f t="shared" si="11"/>
        <v>100</v>
      </c>
      <c r="X29" s="1540"/>
      <c r="Y29" s="3322"/>
      <c r="Z29" s="1541">
        <f t="shared" si="12"/>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22"/>
      <c r="Z30" s="1541">
        <f t="shared" si="12"/>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22"/>
      <c r="Z31" s="1541">
        <f t="shared" si="12"/>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91" t="s">
        <v>2385</v>
      </c>
      <c r="Q32" s="1537" t="str">
        <f t="shared" si="8"/>
        <v>商业类型</v>
      </c>
      <c r="R32" s="714" t="s">
        <v>17</v>
      </c>
      <c r="S32" s="715">
        <f t="shared" si="9"/>
        <v>100</v>
      </c>
      <c r="T32" s="714" t="s">
        <v>17</v>
      </c>
      <c r="U32" s="715">
        <f t="shared" si="10"/>
        <v>100</v>
      </c>
      <c r="V32" s="714" t="s">
        <v>17</v>
      </c>
      <c r="W32" s="715">
        <f t="shared" si="11"/>
        <v>100</v>
      </c>
      <c r="X32" s="1540"/>
      <c r="Y32" s="3324" t="s">
        <v>2385</v>
      </c>
      <c r="Z32" s="1541" t="str">
        <f t="shared" si="12"/>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92"/>
      <c r="Q33" s="716" t="str">
        <f t="shared" si="8"/>
        <v>项目建筑规模</v>
      </c>
      <c r="R33" s="717" t="s">
        <v>17</v>
      </c>
      <c r="S33" s="718" t="e">
        <f t="shared" si="9"/>
        <v>#N/A</v>
      </c>
      <c r="T33" s="717" t="s">
        <v>17</v>
      </c>
      <c r="U33" s="718" t="e">
        <f t="shared" si="10"/>
        <v>#N/A</v>
      </c>
      <c r="V33" s="717" t="s">
        <v>17</v>
      </c>
      <c r="W33" s="718" t="e">
        <f t="shared" si="11"/>
        <v>#N/A</v>
      </c>
      <c r="X33" s="719"/>
      <c r="Y33" s="3324"/>
      <c r="Z33" s="720" t="str">
        <f t="shared" si="12"/>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92"/>
      <c r="Q34" s="1537" t="str">
        <f t="shared" si="8"/>
        <v>建筑结构</v>
      </c>
      <c r="R34" s="714" t="s">
        <v>17</v>
      </c>
      <c r="S34" s="715">
        <f t="shared" si="9"/>
        <v>100</v>
      </c>
      <c r="T34" s="714" t="s">
        <v>17</v>
      </c>
      <c r="U34" s="715">
        <f t="shared" si="10"/>
        <v>100</v>
      </c>
      <c r="V34" s="714" t="s">
        <v>17</v>
      </c>
      <c r="W34" s="715">
        <f t="shared" si="11"/>
        <v>100</v>
      </c>
      <c r="X34" s="1540"/>
      <c r="Y34" s="3324"/>
      <c r="Z34" s="1541" t="str">
        <f t="shared" si="12"/>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92"/>
      <c r="Q35" s="1537" t="str">
        <f t="shared" si="8"/>
        <v>公共部分装修</v>
      </c>
      <c r="R35" s="714" t="s">
        <v>17</v>
      </c>
      <c r="S35" s="715">
        <f t="shared" si="9"/>
        <v>100</v>
      </c>
      <c r="T35" s="714" t="s">
        <v>17</v>
      </c>
      <c r="U35" s="715">
        <f t="shared" si="10"/>
        <v>100</v>
      </c>
      <c r="V35" s="714" t="s">
        <v>17</v>
      </c>
      <c r="W35" s="715">
        <f t="shared" si="11"/>
        <v>100</v>
      </c>
      <c r="X35" s="1540"/>
      <c r="Y35" s="3324"/>
      <c r="Z35" s="1541" t="str">
        <f t="shared" si="12"/>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92"/>
      <c r="Q36" s="1537" t="str">
        <f t="shared" si="8"/>
        <v>成新度</v>
      </c>
      <c r="R36" s="714" t="s">
        <v>17</v>
      </c>
      <c r="S36" s="715" t="e">
        <f t="shared" si="9"/>
        <v>#N/A</v>
      </c>
      <c r="T36" s="714" t="s">
        <v>17</v>
      </c>
      <c r="U36" s="715" t="e">
        <f t="shared" si="10"/>
        <v>#N/A</v>
      </c>
      <c r="V36" s="714" t="s">
        <v>17</v>
      </c>
      <c r="W36" s="715" t="e">
        <f t="shared" si="11"/>
        <v>#N/A</v>
      </c>
      <c r="X36" s="1540"/>
      <c r="Y36" s="3324"/>
      <c r="Z36" s="1541" t="str">
        <f t="shared" si="12"/>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92"/>
      <c r="Q37" s="1528" t="str">
        <f t="shared" si="8"/>
        <v>市政基础设施</v>
      </c>
      <c r="R37" s="710" t="s">
        <v>17</v>
      </c>
      <c r="S37" s="711">
        <f t="shared" si="9"/>
        <v>100</v>
      </c>
      <c r="T37" s="710" t="s">
        <v>17</v>
      </c>
      <c r="U37" s="711">
        <f t="shared" si="10"/>
        <v>100</v>
      </c>
      <c r="V37" s="710" t="s">
        <v>17</v>
      </c>
      <c r="W37" s="711">
        <f t="shared" si="11"/>
        <v>100</v>
      </c>
      <c r="X37" s="712"/>
      <c r="Y37" s="3324"/>
      <c r="Z37" s="55" t="str">
        <f t="shared" si="12"/>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92" t="s">
        <v>2385</v>
      </c>
      <c r="Q38" s="1537" t="str">
        <f t="shared" si="8"/>
        <v>业态</v>
      </c>
      <c r="R38" s="714" t="s">
        <v>17</v>
      </c>
      <c r="S38" s="715">
        <f t="shared" si="9"/>
        <v>100</v>
      </c>
      <c r="T38" s="714" t="s">
        <v>17</v>
      </c>
      <c r="U38" s="715">
        <f t="shared" si="10"/>
        <v>100</v>
      </c>
      <c r="V38" s="714" t="s">
        <v>17</v>
      </c>
      <c r="W38" s="715">
        <f t="shared" si="11"/>
        <v>100</v>
      </c>
      <c r="X38" s="1540"/>
      <c r="Y38" s="3324" t="s">
        <v>2385</v>
      </c>
      <c r="Z38" s="1541" t="str">
        <f t="shared" si="12"/>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92"/>
      <c r="Q39" s="1537" t="str">
        <f t="shared" si="8"/>
        <v>层高</v>
      </c>
      <c r="R39" s="714" t="s">
        <v>17</v>
      </c>
      <c r="S39" s="715">
        <f t="shared" si="9"/>
        <v>100</v>
      </c>
      <c r="T39" s="714" t="s">
        <v>17</v>
      </c>
      <c r="U39" s="715">
        <f t="shared" si="10"/>
        <v>100</v>
      </c>
      <c r="V39" s="714" t="s">
        <v>17</v>
      </c>
      <c r="W39" s="715">
        <f t="shared" si="11"/>
        <v>100</v>
      </c>
      <c r="X39" s="1540"/>
      <c r="Y39" s="3324"/>
      <c r="Z39" s="1541" t="str">
        <f t="shared" si="12"/>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92"/>
      <c r="Q40" s="1537" t="str">
        <f t="shared" si="8"/>
        <v>单套建筑面积</v>
      </c>
      <c r="R40" s="714" t="s">
        <v>17</v>
      </c>
      <c r="S40" s="715">
        <f t="shared" si="9"/>
        <v>100</v>
      </c>
      <c r="T40" s="714" t="s">
        <v>17</v>
      </c>
      <c r="U40" s="715">
        <f t="shared" si="10"/>
        <v>100</v>
      </c>
      <c r="V40" s="714" t="s">
        <v>17</v>
      </c>
      <c r="W40" s="715">
        <f t="shared" si="11"/>
        <v>100</v>
      </c>
      <c r="X40" s="1540"/>
      <c r="Y40" s="3324"/>
      <c r="Z40" s="1541" t="str">
        <f t="shared" si="12"/>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92"/>
      <c r="Q41" s="716" t="str">
        <f t="shared" si="8"/>
        <v>进深比</v>
      </c>
      <c r="R41" s="717" t="s">
        <v>17</v>
      </c>
      <c r="S41" s="718">
        <f t="shared" si="9"/>
        <v>100</v>
      </c>
      <c r="T41" s="717" t="s">
        <v>17</v>
      </c>
      <c r="U41" s="718">
        <f t="shared" si="10"/>
        <v>100</v>
      </c>
      <c r="V41" s="717" t="s">
        <v>17</v>
      </c>
      <c r="W41" s="718">
        <f t="shared" si="11"/>
        <v>100</v>
      </c>
      <c r="X41" s="719"/>
      <c r="Y41" s="3324"/>
      <c r="Z41" s="720" t="str">
        <f t="shared" si="12"/>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92"/>
      <c r="Q42" s="1537" t="str">
        <f t="shared" si="8"/>
        <v>内部装修</v>
      </c>
      <c r="R42" s="714" t="s">
        <v>17</v>
      </c>
      <c r="S42" s="715">
        <f t="shared" si="9"/>
        <v>100</v>
      </c>
      <c r="T42" s="714" t="s">
        <v>17</v>
      </c>
      <c r="U42" s="715">
        <f t="shared" si="10"/>
        <v>100</v>
      </c>
      <c r="V42" s="714" t="s">
        <v>17</v>
      </c>
      <c r="W42" s="715">
        <f t="shared" si="11"/>
        <v>100</v>
      </c>
      <c r="X42" s="1540"/>
      <c r="Y42" s="3324"/>
      <c r="Z42" s="1541" t="str">
        <f t="shared" si="12"/>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92"/>
      <c r="Q43" s="1537" t="str">
        <f t="shared" si="8"/>
        <v>内部装修维护情况</v>
      </c>
      <c r="R43" s="714" t="s">
        <v>17</v>
      </c>
      <c r="S43" s="715">
        <f t="shared" si="9"/>
        <v>100</v>
      </c>
      <c r="T43" s="714" t="s">
        <v>17</v>
      </c>
      <c r="U43" s="715">
        <f t="shared" si="10"/>
        <v>100</v>
      </c>
      <c r="V43" s="714" t="s">
        <v>17</v>
      </c>
      <c r="W43" s="715">
        <f t="shared" si="11"/>
        <v>100</v>
      </c>
      <c r="X43" s="1540"/>
      <c r="Y43" s="3324"/>
      <c r="Z43" s="1541" t="str">
        <f t="shared" si="12"/>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92"/>
      <c r="Q44" s="1528">
        <f t="shared" si="8"/>
        <v>111</v>
      </c>
      <c r="R44" s="710" t="s">
        <v>17</v>
      </c>
      <c r="S44" s="711">
        <f t="shared" si="9"/>
        <v>100</v>
      </c>
      <c r="T44" s="710" t="s">
        <v>17</v>
      </c>
      <c r="U44" s="711">
        <f t="shared" si="10"/>
        <v>100</v>
      </c>
      <c r="V44" s="710" t="s">
        <v>17</v>
      </c>
      <c r="W44" s="711">
        <f t="shared" si="11"/>
        <v>100</v>
      </c>
      <c r="X44" s="712"/>
      <c r="Y44" s="3324"/>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92"/>
      <c r="Q45" s="1537">
        <f t="shared" si="8"/>
        <v>111</v>
      </c>
      <c r="R45" s="714" t="s">
        <v>17</v>
      </c>
      <c r="S45" s="715">
        <f t="shared" si="9"/>
        <v>100</v>
      </c>
      <c r="T45" s="714" t="s">
        <v>17</v>
      </c>
      <c r="U45" s="715">
        <f t="shared" si="10"/>
        <v>100</v>
      </c>
      <c r="V45" s="714" t="s">
        <v>17</v>
      </c>
      <c r="W45" s="715">
        <f t="shared" si="11"/>
        <v>100</v>
      </c>
      <c r="X45" s="1540"/>
      <c r="Y45" s="3324"/>
      <c r="Z45" s="1541">
        <f t="shared" si="12"/>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93"/>
      <c r="Q46" s="1537">
        <f t="shared" si="8"/>
        <v>111</v>
      </c>
      <c r="R46" s="714" t="s">
        <v>17</v>
      </c>
      <c r="S46" s="715">
        <f t="shared" si="9"/>
        <v>100</v>
      </c>
      <c r="T46" s="714" t="s">
        <v>17</v>
      </c>
      <c r="U46" s="715">
        <f t="shared" si="10"/>
        <v>100</v>
      </c>
      <c r="V46" s="714" t="s">
        <v>17</v>
      </c>
      <c r="W46" s="715">
        <f t="shared" si="11"/>
        <v>100</v>
      </c>
      <c r="X46" s="1540"/>
      <c r="Y46" s="3394"/>
      <c r="Z46" s="1541">
        <f t="shared" si="12"/>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4"/>
      <c r="M47" s="2955"/>
      <c r="N47" s="2946"/>
      <c r="O47" s="2955"/>
      <c r="P47" s="3319" t="str">
        <f>A47</f>
        <v>成交单价（元/平方米）</v>
      </c>
      <c r="Q47" s="3319"/>
      <c r="R47" s="3325">
        <f>E47</f>
        <v>0</v>
      </c>
      <c r="S47" s="3325"/>
      <c r="T47" s="3325">
        <f>G47</f>
        <v>0</v>
      </c>
      <c r="U47" s="3325"/>
      <c r="V47" s="3325">
        <f>I47</f>
        <v>0</v>
      </c>
      <c r="W47" s="3325"/>
      <c r="X47" s="699"/>
      <c r="Y47" s="721"/>
      <c r="Z47" s="699"/>
      <c r="AA47" s="699"/>
      <c r="AB47" s="699"/>
      <c r="AC47" s="699"/>
    </row>
    <row r="48" spans="1:29" ht="15.75" thickBot="1">
      <c r="A48" s="445" t="s">
        <v>2489</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319" t="str">
        <f>A48</f>
        <v>比较价值（元/平方米）</v>
      </c>
      <c r="Q48" s="331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4"/>
      <c r="M49" s="2955"/>
      <c r="N49" s="2946"/>
      <c r="O49" s="2955"/>
      <c r="P49" s="3313" t="str">
        <f>A49</f>
        <v>估价对象XX用房的比较价值（楼面单价，元/平方米）</v>
      </c>
      <c r="Q49" s="331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2368</v>
      </c>
      <c r="B58" s="463"/>
      <c r="C58" s="1345" t="str">
        <f>YEAR(C7)&amp;"-"&amp;MONTH(C7)</f>
        <v>2020-12</v>
      </c>
      <c r="D58" s="1346">
        <f>EDATE(C58,-1)</f>
        <v>44136</v>
      </c>
      <c r="E58" s="1346">
        <f t="shared" ref="E58:N58" si="13">EDATE(D58,-1)</f>
        <v>44105</v>
      </c>
      <c r="F58" s="1346">
        <f t="shared" si="13"/>
        <v>44075</v>
      </c>
      <c r="G58" s="1346">
        <f t="shared" si="13"/>
        <v>44044</v>
      </c>
      <c r="H58" s="1346">
        <f t="shared" si="13"/>
        <v>44013</v>
      </c>
      <c r="I58" s="1346">
        <f t="shared" si="13"/>
        <v>43983</v>
      </c>
      <c r="J58" s="1346">
        <f t="shared" si="13"/>
        <v>43952</v>
      </c>
      <c r="K58" s="1346">
        <f t="shared" si="13"/>
        <v>43922</v>
      </c>
      <c r="L58" s="1346">
        <f t="shared" si="13"/>
        <v>43891</v>
      </c>
      <c r="M58" s="1346">
        <f t="shared" si="13"/>
        <v>43862</v>
      </c>
      <c r="N58" s="1346">
        <f t="shared" si="13"/>
        <v>43831</v>
      </c>
      <c r="O58" s="1346">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2378</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2433</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2506</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IF(C2="——",ROUND(C50*D3/10000,0),ROUND(C50*D3/10000,0)-D2)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403" t="s">
        <v>2471</v>
      </c>
      <c r="Q4" s="3404"/>
      <c r="R4" s="3407" t="s">
        <v>2467</v>
      </c>
      <c r="S4" s="3408"/>
      <c r="T4" s="3407" t="s">
        <v>2468</v>
      </c>
      <c r="U4" s="3408"/>
      <c r="V4" s="3409" t="s">
        <v>2469</v>
      </c>
      <c r="W4" s="3409"/>
      <c r="X4" s="2145"/>
      <c r="Y4" s="3407" t="s">
        <v>2471</v>
      </c>
      <c r="Z4" s="3408"/>
      <c r="AA4" s="3411" t="s">
        <v>2467</v>
      </c>
      <c r="AB4" s="3411" t="s">
        <v>2468</v>
      </c>
      <c r="AC4" s="3400" t="s">
        <v>2469</v>
      </c>
    </row>
    <row r="5" spans="1:29" ht="15">
      <c r="A5" s="364"/>
      <c r="B5" s="365"/>
      <c r="C5" s="3346" t="s">
        <v>2362</v>
      </c>
      <c r="D5" s="3347"/>
      <c r="E5" s="3353" t="s">
        <v>2363</v>
      </c>
      <c r="F5" s="3354"/>
      <c r="G5" s="3346" t="s">
        <v>2364</v>
      </c>
      <c r="H5" s="3347"/>
      <c r="I5" s="3346" t="s">
        <v>2365</v>
      </c>
      <c r="J5" s="3347"/>
      <c r="K5" s="567"/>
      <c r="L5" s="2945"/>
      <c r="M5" s="2946"/>
      <c r="N5" s="2946"/>
      <c r="O5" s="2946"/>
      <c r="P5" s="3405"/>
      <c r="Q5" s="3335"/>
      <c r="R5" s="3340"/>
      <c r="S5" s="3341"/>
      <c r="T5" s="3340"/>
      <c r="U5" s="3341"/>
      <c r="V5" s="3325"/>
      <c r="W5" s="3325"/>
      <c r="X5" s="1540"/>
      <c r="Y5" s="3340"/>
      <c r="Z5" s="3341"/>
      <c r="AA5" s="3327"/>
      <c r="AB5" s="3327"/>
      <c r="AC5" s="3401"/>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406"/>
      <c r="Q6" s="3337"/>
      <c r="R6" s="3340"/>
      <c r="S6" s="3341"/>
      <c r="T6" s="3342"/>
      <c r="U6" s="3343"/>
      <c r="V6" s="3325"/>
      <c r="W6" s="3325"/>
      <c r="X6" s="1540"/>
      <c r="Y6" s="3342"/>
      <c r="Z6" s="3343"/>
      <c r="AA6" s="3328"/>
      <c r="AB6" s="3328"/>
      <c r="AC6" s="3402"/>
    </row>
    <row r="7" spans="1:29" s="113" customFormat="1" ht="15.75" thickBot="1">
      <c r="A7" s="368" t="s">
        <v>2368</v>
      </c>
      <c r="B7" s="369"/>
      <c r="C7" s="370">
        <f>'数据-取费表'!B2</f>
        <v>44176</v>
      </c>
      <c r="D7" s="371">
        <v>100</v>
      </c>
      <c r="E7" s="372"/>
      <c r="F7" s="373">
        <f>SUMIF(59:59,YEAR(E7)&amp;"-"&amp;MONTH(E7),60:60)</f>
        <v>0</v>
      </c>
      <c r="G7" s="372"/>
      <c r="H7" s="371">
        <f>SUMIF(59:59,YEAR(G7)&amp;"-"&amp;MONTH(G7),60:60)</f>
        <v>0</v>
      </c>
      <c r="I7" s="372"/>
      <c r="J7" s="371">
        <f>SUMIF(59:59,YEAR(I7)&amp;"-"&amp;MONTH(I7),60:60)</f>
        <v>0</v>
      </c>
      <c r="K7" s="568"/>
      <c r="L7" s="2947"/>
      <c r="M7" s="2948"/>
      <c r="N7" s="2948"/>
      <c r="O7" s="2948"/>
      <c r="P7" s="3410"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410" t="s">
        <v>2372</v>
      </c>
      <c r="Q8" s="3349"/>
      <c r="R8" s="710" t="s">
        <v>17</v>
      </c>
      <c r="S8" s="711">
        <f t="shared" si="0"/>
        <v>0</v>
      </c>
      <c r="T8" s="710" t="s">
        <v>17</v>
      </c>
      <c r="U8" s="711">
        <f t="shared" si="1"/>
        <v>0</v>
      </c>
      <c r="V8" s="710" t="s">
        <v>17</v>
      </c>
      <c r="W8" s="711">
        <f t="shared" si="2"/>
        <v>0</v>
      </c>
      <c r="X8" s="712"/>
      <c r="Y8" s="3348" t="s">
        <v>2372</v>
      </c>
      <c r="Z8" s="3349"/>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18"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18"/>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18"/>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18"/>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18"/>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18"/>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2146">
        <f t="shared" si="5"/>
        <v>1</v>
      </c>
    </row>
    <row r="15" spans="1:29" ht="71.25">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95" t="s">
        <v>2380</v>
      </c>
      <c r="Q15" s="1537" t="str">
        <f t="shared" si="6"/>
        <v>办公集聚程度</v>
      </c>
      <c r="R15" s="714" t="s">
        <v>17</v>
      </c>
      <c r="S15" s="715">
        <f t="shared" si="0"/>
        <v>100</v>
      </c>
      <c r="T15" s="714" t="s">
        <v>17</v>
      </c>
      <c r="U15" s="715">
        <f t="shared" si="1"/>
        <v>100</v>
      </c>
      <c r="V15" s="714" t="s">
        <v>17</v>
      </c>
      <c r="W15" s="715">
        <f t="shared" si="2"/>
        <v>100</v>
      </c>
      <c r="X15" s="1540"/>
      <c r="Y15" s="3321"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96"/>
      <c r="Q16" s="1537"/>
      <c r="R16" s="714"/>
      <c r="S16" s="715"/>
      <c r="T16" s="714"/>
      <c r="U16" s="715"/>
      <c r="V16" s="714"/>
      <c r="W16" s="715"/>
      <c r="X16" s="1540"/>
      <c r="Y16" s="3322"/>
      <c r="Z16" s="1541"/>
      <c r="AA16" s="1538">
        <v>1</v>
      </c>
      <c r="AB16" s="1538">
        <v>1</v>
      </c>
      <c r="AC16" s="2149">
        <v>1</v>
      </c>
    </row>
    <row r="17" spans="1:29" ht="71.25">
      <c r="A17" s="387"/>
      <c r="B17" s="587" t="s">
        <v>1947</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96"/>
      <c r="Q18" s="1537"/>
      <c r="R18" s="714"/>
      <c r="S18" s="715"/>
      <c r="T18" s="714"/>
      <c r="U18" s="715"/>
      <c r="V18" s="714"/>
      <c r="W18" s="715"/>
      <c r="X18" s="1540"/>
      <c r="Y18" s="3322"/>
      <c r="Z18" s="1541"/>
      <c r="AA18" s="1538">
        <v>1</v>
      </c>
      <c r="AB18" s="1538">
        <v>1</v>
      </c>
      <c r="AC18" s="2149">
        <v>1</v>
      </c>
    </row>
    <row r="19" spans="1:29" ht="42.75">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22"/>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96"/>
      <c r="Q20" s="1537"/>
      <c r="R20" s="714"/>
      <c r="S20" s="715"/>
      <c r="T20" s="714"/>
      <c r="U20" s="715"/>
      <c r="V20" s="714"/>
      <c r="W20" s="715"/>
      <c r="X20" s="1540"/>
      <c r="Y20" s="3322"/>
      <c r="Z20" s="1541"/>
      <c r="AA20" s="1538">
        <v>1</v>
      </c>
      <c r="AB20" s="1538">
        <v>1</v>
      </c>
      <c r="AC20" s="2149">
        <v>1</v>
      </c>
    </row>
    <row r="21" spans="1:29" ht="28.5">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2149">
        <f>D21/J21</f>
        <v>1</v>
      </c>
    </row>
    <row r="22" spans="1:29" ht="15">
      <c r="A22" s="387"/>
      <c r="B22" s="589"/>
      <c r="C22" s="2151"/>
      <c r="D22" s="407"/>
      <c r="E22" s="406"/>
      <c r="F22" s="407"/>
      <c r="G22" s="2091"/>
      <c r="H22" s="407"/>
      <c r="I22" s="2091"/>
      <c r="J22" s="407"/>
      <c r="K22" s="1292"/>
      <c r="L22" s="2952"/>
      <c r="M22" s="2946"/>
      <c r="N22" s="2946"/>
      <c r="O22" s="2946"/>
      <c r="P22" s="3396"/>
      <c r="Q22" s="1537"/>
      <c r="R22" s="714"/>
      <c r="S22" s="715"/>
      <c r="T22" s="714"/>
      <c r="U22" s="715"/>
      <c r="V22" s="714"/>
      <c r="W22" s="715"/>
      <c r="X22" s="1540"/>
      <c r="Y22" s="3322"/>
      <c r="Z22" s="1541"/>
      <c r="AA22" s="1538">
        <v>1</v>
      </c>
      <c r="AB22" s="1538">
        <v>1</v>
      </c>
      <c r="AC22" s="2149">
        <v>1</v>
      </c>
    </row>
    <row r="23" spans="1:29" ht="42.75">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96"/>
      <c r="Q23" s="1537" t="str">
        <f>B23</f>
        <v>环境质量</v>
      </c>
      <c r="R23" s="714" t="s">
        <v>17</v>
      </c>
      <c r="S23" s="715">
        <f>F23</f>
        <v>100</v>
      </c>
      <c r="T23" s="714" t="s">
        <v>17</v>
      </c>
      <c r="U23" s="715">
        <f>H23</f>
        <v>100</v>
      </c>
      <c r="V23" s="714" t="s">
        <v>17</v>
      </c>
      <c r="W23" s="715">
        <f>J23</f>
        <v>100</v>
      </c>
      <c r="X23" s="1540"/>
      <c r="Y23" s="3322"/>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96"/>
      <c r="Q24" s="1537"/>
      <c r="R24" s="714"/>
      <c r="S24" s="715"/>
      <c r="T24" s="714"/>
      <c r="U24" s="715"/>
      <c r="V24" s="714"/>
      <c r="W24" s="715"/>
      <c r="X24" s="1540"/>
      <c r="Y24" s="3322"/>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96"/>
      <c r="Q25" s="1537" t="str">
        <f>B25</f>
        <v>毗邻道路的类型与等级</v>
      </c>
      <c r="R25" s="714" t="s">
        <v>17</v>
      </c>
      <c r="S25" s="715">
        <f>F25</f>
        <v>100</v>
      </c>
      <c r="T25" s="714" t="s">
        <v>17</v>
      </c>
      <c r="U25" s="715">
        <f>H25</f>
        <v>100</v>
      </c>
      <c r="V25" s="714" t="s">
        <v>17</v>
      </c>
      <c r="W25" s="715">
        <f>J25</f>
        <v>100</v>
      </c>
      <c r="X25" s="1540"/>
      <c r="Y25" s="3322"/>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96"/>
      <c r="Q26" s="1537"/>
      <c r="R26" s="714"/>
      <c r="S26" s="715"/>
      <c r="T26" s="714"/>
      <c r="U26" s="715"/>
      <c r="V26" s="714"/>
      <c r="W26" s="715"/>
      <c r="X26" s="1540"/>
      <c r="Y26" s="3322"/>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96"/>
      <c r="Q27" s="1537" t="str">
        <f t="shared" ref="Q27:Q47" si="8">B27</f>
        <v>楼层</v>
      </c>
      <c r="R27" s="714" t="s">
        <v>17</v>
      </c>
      <c r="S27" s="715">
        <f>F27</f>
        <v>100</v>
      </c>
      <c r="T27" s="714" t="s">
        <v>17</v>
      </c>
      <c r="U27" s="715">
        <f>H27</f>
        <v>100</v>
      </c>
      <c r="V27" s="714" t="s">
        <v>17</v>
      </c>
      <c r="W27" s="715">
        <f>J27</f>
        <v>100</v>
      </c>
      <c r="X27" s="1540"/>
      <c r="Y27" s="3322"/>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96"/>
      <c r="Q28" s="1528" t="str">
        <f t="shared" si="8"/>
        <v>朝向</v>
      </c>
      <c r="R28" s="710" t="s">
        <v>17</v>
      </c>
      <c r="S28" s="711">
        <f>F28</f>
        <v>100</v>
      </c>
      <c r="T28" s="710" t="s">
        <v>17</v>
      </c>
      <c r="U28" s="711">
        <f>H28</f>
        <v>100</v>
      </c>
      <c r="V28" s="710" t="s">
        <v>17</v>
      </c>
      <c r="W28" s="711">
        <f>J28</f>
        <v>100</v>
      </c>
      <c r="X28" s="712"/>
      <c r="Y28" s="3322"/>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96"/>
      <c r="Q29" s="1537">
        <f t="shared" si="8"/>
        <v>111</v>
      </c>
      <c r="R29" s="714" t="s">
        <v>17</v>
      </c>
      <c r="S29" s="715">
        <f t="shared" ref="S29:S47" si="9">F29</f>
        <v>100</v>
      </c>
      <c r="T29" s="714" t="s">
        <v>17</v>
      </c>
      <c r="U29" s="715">
        <f t="shared" ref="U29:U47" si="10">H29</f>
        <v>100</v>
      </c>
      <c r="V29" s="714" t="s">
        <v>17</v>
      </c>
      <c r="W29" s="715">
        <f t="shared" ref="W29:W47" si="11">J29</f>
        <v>100</v>
      </c>
      <c r="X29" s="1540"/>
      <c r="Y29" s="3322"/>
      <c r="Z29" s="1541">
        <f t="shared" ref="Z29:Z47" si="12">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22"/>
      <c r="Z30" s="1541">
        <f t="shared" si="12"/>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22"/>
      <c r="Z31" s="1541">
        <f t="shared" si="12"/>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96"/>
      <c r="Q32" s="1537">
        <f t="shared" si="8"/>
        <v>111</v>
      </c>
      <c r="R32" s="714" t="s">
        <v>17</v>
      </c>
      <c r="S32" s="715">
        <f t="shared" si="9"/>
        <v>100</v>
      </c>
      <c r="T32" s="714" t="s">
        <v>17</v>
      </c>
      <c r="U32" s="715">
        <f t="shared" si="10"/>
        <v>100</v>
      </c>
      <c r="V32" s="714" t="s">
        <v>17</v>
      </c>
      <c r="W32" s="715">
        <f t="shared" si="11"/>
        <v>100</v>
      </c>
      <c r="X32" s="1540"/>
      <c r="Y32" s="3322"/>
      <c r="Z32" s="1541">
        <f t="shared" si="12"/>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91" t="s">
        <v>2385</v>
      </c>
      <c r="Q33" s="1537" t="str">
        <f t="shared" si="8"/>
        <v>建筑类型</v>
      </c>
      <c r="R33" s="714" t="s">
        <v>17</v>
      </c>
      <c r="S33" s="715">
        <f t="shared" si="9"/>
        <v>100</v>
      </c>
      <c r="T33" s="714" t="s">
        <v>17</v>
      </c>
      <c r="U33" s="715">
        <f t="shared" si="10"/>
        <v>100</v>
      </c>
      <c r="V33" s="714" t="s">
        <v>17</v>
      </c>
      <c r="W33" s="715">
        <f t="shared" si="11"/>
        <v>100</v>
      </c>
      <c r="X33" s="1540"/>
      <c r="Y33" s="3324" t="s">
        <v>2385</v>
      </c>
      <c r="Z33" s="1541" t="str">
        <f t="shared" si="12"/>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92"/>
      <c r="Q34" s="716" t="str">
        <f t="shared" si="8"/>
        <v>项目建筑规模</v>
      </c>
      <c r="R34" s="717" t="s">
        <v>17</v>
      </c>
      <c r="S34" s="718" t="e">
        <f t="shared" si="9"/>
        <v>#N/A</v>
      </c>
      <c r="T34" s="717" t="s">
        <v>17</v>
      </c>
      <c r="U34" s="718" t="e">
        <f t="shared" si="10"/>
        <v>#N/A</v>
      </c>
      <c r="V34" s="717" t="s">
        <v>17</v>
      </c>
      <c r="W34" s="718" t="e">
        <f t="shared" si="11"/>
        <v>#N/A</v>
      </c>
      <c r="X34" s="719"/>
      <c r="Y34" s="3324"/>
      <c r="Z34" s="720" t="str">
        <f t="shared" si="12"/>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92"/>
      <c r="Q35" s="1537" t="str">
        <f t="shared" si="8"/>
        <v>建筑结构</v>
      </c>
      <c r="R35" s="714" t="s">
        <v>17</v>
      </c>
      <c r="S35" s="715">
        <f t="shared" si="9"/>
        <v>100</v>
      </c>
      <c r="T35" s="714" t="s">
        <v>17</v>
      </c>
      <c r="U35" s="715">
        <f t="shared" si="10"/>
        <v>100</v>
      </c>
      <c r="V35" s="714" t="s">
        <v>17</v>
      </c>
      <c r="W35" s="715">
        <f t="shared" si="11"/>
        <v>100</v>
      </c>
      <c r="X35" s="1540"/>
      <c r="Y35" s="3324"/>
      <c r="Z35" s="1541" t="str">
        <f t="shared" si="12"/>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92"/>
      <c r="Q36" s="1537" t="str">
        <f t="shared" si="8"/>
        <v>公共部分装修</v>
      </c>
      <c r="R36" s="714" t="s">
        <v>17</v>
      </c>
      <c r="S36" s="715">
        <f t="shared" si="9"/>
        <v>100</v>
      </c>
      <c r="T36" s="714" t="s">
        <v>17</v>
      </c>
      <c r="U36" s="715">
        <f t="shared" si="10"/>
        <v>100</v>
      </c>
      <c r="V36" s="714" t="s">
        <v>17</v>
      </c>
      <c r="W36" s="715">
        <f t="shared" si="11"/>
        <v>100</v>
      </c>
      <c r="X36" s="1540"/>
      <c r="Y36" s="3324"/>
      <c r="Z36" s="1541" t="str">
        <f t="shared" si="12"/>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92"/>
      <c r="Q37" s="1537" t="str">
        <f t="shared" si="8"/>
        <v>成新度</v>
      </c>
      <c r="R37" s="714" t="s">
        <v>17</v>
      </c>
      <c r="S37" s="715" t="e">
        <f t="shared" si="9"/>
        <v>#N/A</v>
      </c>
      <c r="T37" s="714" t="s">
        <v>17</v>
      </c>
      <c r="U37" s="715" t="e">
        <f t="shared" si="10"/>
        <v>#N/A</v>
      </c>
      <c r="V37" s="714" t="s">
        <v>17</v>
      </c>
      <c r="W37" s="715" t="e">
        <f t="shared" si="11"/>
        <v>#N/A</v>
      </c>
      <c r="X37" s="1540"/>
      <c r="Y37" s="3324"/>
      <c r="Z37" s="1541" t="str">
        <f t="shared" si="12"/>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92"/>
      <c r="Q38" s="1528" t="str">
        <f t="shared" si="8"/>
        <v>写字楼等级</v>
      </c>
      <c r="R38" s="710" t="s">
        <v>17</v>
      </c>
      <c r="S38" s="711">
        <f t="shared" si="9"/>
        <v>100</v>
      </c>
      <c r="T38" s="710" t="s">
        <v>17</v>
      </c>
      <c r="U38" s="711">
        <f t="shared" si="10"/>
        <v>100</v>
      </c>
      <c r="V38" s="710" t="s">
        <v>17</v>
      </c>
      <c r="W38" s="711">
        <f t="shared" si="11"/>
        <v>100</v>
      </c>
      <c r="X38" s="712"/>
      <c r="Y38" s="3324"/>
      <c r="Z38" s="55" t="str">
        <f t="shared" si="12"/>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92" t="s">
        <v>2385</v>
      </c>
      <c r="Q39" s="1537" t="str">
        <f t="shared" si="8"/>
        <v>物业管理</v>
      </c>
      <c r="R39" s="714" t="s">
        <v>17</v>
      </c>
      <c r="S39" s="715">
        <f t="shared" si="9"/>
        <v>100</v>
      </c>
      <c r="T39" s="714" t="s">
        <v>17</v>
      </c>
      <c r="U39" s="715">
        <f t="shared" si="10"/>
        <v>100</v>
      </c>
      <c r="V39" s="714" t="s">
        <v>17</v>
      </c>
      <c r="W39" s="715">
        <f t="shared" si="11"/>
        <v>100</v>
      </c>
      <c r="X39" s="1540"/>
      <c r="Y39" s="3324" t="s">
        <v>2385</v>
      </c>
      <c r="Z39" s="1541" t="str">
        <f t="shared" si="12"/>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92"/>
      <c r="Q40" s="1537" t="str">
        <f t="shared" si="8"/>
        <v>市政基础设施</v>
      </c>
      <c r="R40" s="714" t="s">
        <v>17</v>
      </c>
      <c r="S40" s="715">
        <f t="shared" si="9"/>
        <v>100</v>
      </c>
      <c r="T40" s="714" t="s">
        <v>17</v>
      </c>
      <c r="U40" s="715">
        <f t="shared" si="10"/>
        <v>100</v>
      </c>
      <c r="V40" s="714" t="s">
        <v>17</v>
      </c>
      <c r="W40" s="715">
        <f t="shared" si="11"/>
        <v>100</v>
      </c>
      <c r="X40" s="1540"/>
      <c r="Y40" s="3324"/>
      <c r="Z40" s="1541" t="str">
        <f t="shared" si="12"/>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92"/>
      <c r="Q41" s="1537" t="str">
        <f t="shared" si="8"/>
        <v>层高</v>
      </c>
      <c r="R41" s="714" t="s">
        <v>17</v>
      </c>
      <c r="S41" s="715">
        <f t="shared" si="9"/>
        <v>100</v>
      </c>
      <c r="T41" s="714" t="s">
        <v>17</v>
      </c>
      <c r="U41" s="715">
        <f t="shared" si="10"/>
        <v>100</v>
      </c>
      <c r="V41" s="714" t="s">
        <v>17</v>
      </c>
      <c r="W41" s="715">
        <f t="shared" si="11"/>
        <v>100</v>
      </c>
      <c r="X41" s="1540"/>
      <c r="Y41" s="3324"/>
      <c r="Z41" s="1541" t="str">
        <f t="shared" si="12"/>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92"/>
      <c r="Q42" s="716" t="str">
        <f t="shared" si="8"/>
        <v>单套建筑面积</v>
      </c>
      <c r="R42" s="717" t="s">
        <v>17</v>
      </c>
      <c r="S42" s="718">
        <f t="shared" si="9"/>
        <v>100</v>
      </c>
      <c r="T42" s="717" t="s">
        <v>17</v>
      </c>
      <c r="U42" s="718">
        <f t="shared" si="10"/>
        <v>100</v>
      </c>
      <c r="V42" s="717" t="s">
        <v>17</v>
      </c>
      <c r="W42" s="718">
        <f t="shared" si="11"/>
        <v>100</v>
      </c>
      <c r="X42" s="719"/>
      <c r="Y42" s="3324"/>
      <c r="Z42" s="720" t="str">
        <f t="shared" si="12"/>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92"/>
      <c r="Q43" s="1537" t="str">
        <f t="shared" si="8"/>
        <v>内部装修</v>
      </c>
      <c r="R43" s="714" t="s">
        <v>17</v>
      </c>
      <c r="S43" s="715">
        <f t="shared" si="9"/>
        <v>100</v>
      </c>
      <c r="T43" s="714" t="s">
        <v>17</v>
      </c>
      <c r="U43" s="715">
        <f t="shared" si="10"/>
        <v>100</v>
      </c>
      <c r="V43" s="714" t="s">
        <v>17</v>
      </c>
      <c r="W43" s="715">
        <f t="shared" si="11"/>
        <v>100</v>
      </c>
      <c r="X43" s="1540"/>
      <c r="Y43" s="3324"/>
      <c r="Z43" s="1541" t="str">
        <f t="shared" si="12"/>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92"/>
      <c r="Q44" s="1537" t="str">
        <f t="shared" si="8"/>
        <v>内部装修维护情况</v>
      </c>
      <c r="R44" s="714" t="s">
        <v>17</v>
      </c>
      <c r="S44" s="715">
        <f t="shared" si="9"/>
        <v>100</v>
      </c>
      <c r="T44" s="714" t="s">
        <v>17</v>
      </c>
      <c r="U44" s="715">
        <f t="shared" si="10"/>
        <v>100</v>
      </c>
      <c r="V44" s="714" t="s">
        <v>17</v>
      </c>
      <c r="W44" s="715">
        <f t="shared" si="11"/>
        <v>100</v>
      </c>
      <c r="X44" s="1540"/>
      <c r="Y44" s="3324"/>
      <c r="Z44" s="1541" t="str">
        <f t="shared" si="12"/>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92"/>
      <c r="Q45" s="1528">
        <f t="shared" si="8"/>
        <v>111</v>
      </c>
      <c r="R45" s="710" t="s">
        <v>17</v>
      </c>
      <c r="S45" s="711">
        <f t="shared" si="9"/>
        <v>100</v>
      </c>
      <c r="T45" s="710" t="s">
        <v>17</v>
      </c>
      <c r="U45" s="711">
        <f t="shared" si="10"/>
        <v>100</v>
      </c>
      <c r="V45" s="710" t="s">
        <v>17</v>
      </c>
      <c r="W45" s="711">
        <f t="shared" si="11"/>
        <v>100</v>
      </c>
      <c r="X45" s="712"/>
      <c r="Y45" s="3324"/>
      <c r="Z45" s="55">
        <f t="shared" si="12"/>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92"/>
      <c r="Q46" s="1537">
        <f t="shared" si="8"/>
        <v>111</v>
      </c>
      <c r="R46" s="714" t="s">
        <v>17</v>
      </c>
      <c r="S46" s="715">
        <f t="shared" si="9"/>
        <v>100</v>
      </c>
      <c r="T46" s="714" t="s">
        <v>17</v>
      </c>
      <c r="U46" s="715">
        <f t="shared" si="10"/>
        <v>100</v>
      </c>
      <c r="V46" s="714" t="s">
        <v>17</v>
      </c>
      <c r="W46" s="715">
        <f t="shared" si="11"/>
        <v>100</v>
      </c>
      <c r="X46" s="1540"/>
      <c r="Y46" s="3324"/>
      <c r="Z46" s="1541">
        <f t="shared" si="12"/>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93"/>
      <c r="Q47" s="1537">
        <f t="shared" si="8"/>
        <v>111</v>
      </c>
      <c r="R47" s="714" t="s">
        <v>17</v>
      </c>
      <c r="S47" s="715">
        <f t="shared" si="9"/>
        <v>100</v>
      </c>
      <c r="T47" s="714" t="s">
        <v>17</v>
      </c>
      <c r="U47" s="715">
        <f t="shared" si="10"/>
        <v>100</v>
      </c>
      <c r="V47" s="714" t="s">
        <v>17</v>
      </c>
      <c r="W47" s="715">
        <f t="shared" si="11"/>
        <v>100</v>
      </c>
      <c r="X47" s="1540"/>
      <c r="Y47" s="3394"/>
      <c r="Z47" s="1541">
        <f t="shared" si="12"/>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4"/>
      <c r="M48" s="2946"/>
      <c r="N48" s="2946"/>
      <c r="O48" s="2946"/>
      <c r="P48" s="3318" t="str">
        <f>A48</f>
        <v>成交单价（元/平方米）</v>
      </c>
      <c r="Q48" s="3319"/>
      <c r="R48" s="3390">
        <f>E48</f>
        <v>0</v>
      </c>
      <c r="S48" s="3390"/>
      <c r="T48" s="3390">
        <f>G48</f>
        <v>0</v>
      </c>
      <c r="U48" s="3390"/>
      <c r="V48" s="3390">
        <f>I48</f>
        <v>0</v>
      </c>
      <c r="W48" s="3390"/>
      <c r="X48" s="405"/>
      <c r="Y48" s="721"/>
      <c r="Z48" s="405"/>
      <c r="AA48" s="405"/>
      <c r="AB48" s="405"/>
      <c r="AC48" s="586"/>
    </row>
    <row r="49" spans="1:29" ht="15.75" thickBot="1">
      <c r="A49" s="445" t="s">
        <v>2489</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318" t="str">
        <f>A49</f>
        <v>比较价值（元/平方米）</v>
      </c>
      <c r="Q49" s="331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4"/>
      <c r="M50" s="2946"/>
      <c r="N50" s="2946"/>
      <c r="O50" s="2946"/>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2368</v>
      </c>
      <c r="B59" s="463"/>
      <c r="C59" s="1345" t="str">
        <f>YEAR(C7)&amp;"-"&amp;MONTH(C7)</f>
        <v>2020-12</v>
      </c>
      <c r="D59" s="1346">
        <f>EDATE(C59,-1)</f>
        <v>44136</v>
      </c>
      <c r="E59" s="1346">
        <f>EDATE(D59,-1)</f>
        <v>44105</v>
      </c>
      <c r="F59" s="1346">
        <f t="shared" ref="F59:O59" si="13">EDATE(E59,-1)</f>
        <v>44075</v>
      </c>
      <c r="G59" s="1346">
        <f t="shared" si="13"/>
        <v>44044</v>
      </c>
      <c r="H59" s="1346">
        <f t="shared" si="13"/>
        <v>44013</v>
      </c>
      <c r="I59" s="1346">
        <f t="shared" si="13"/>
        <v>43983</v>
      </c>
      <c r="J59" s="1346">
        <f t="shared" si="13"/>
        <v>43952</v>
      </c>
      <c r="K59" s="1346">
        <f t="shared" si="13"/>
        <v>43922</v>
      </c>
      <c r="L59" s="1346">
        <f t="shared" si="13"/>
        <v>43891</v>
      </c>
      <c r="M59" s="1346">
        <f t="shared" si="13"/>
        <v>43862</v>
      </c>
      <c r="N59" s="1346">
        <f t="shared" si="13"/>
        <v>43831</v>
      </c>
      <c r="O59" s="1346">
        <f t="shared" si="13"/>
        <v>43800</v>
      </c>
      <c r="P59" s="2989"/>
      <c r="Q59" s="2971"/>
      <c r="R59" s="2971"/>
      <c r="S59" s="2971"/>
      <c r="T59" s="2971"/>
      <c r="U59" s="2971"/>
      <c r="V59" s="2971"/>
      <c r="W59" s="2971"/>
      <c r="X59" s="2971"/>
      <c r="Y59" s="2971"/>
      <c r="Z59" s="2971"/>
      <c r="AA59" s="2971"/>
      <c r="AB59" s="2971"/>
      <c r="AC59" s="2971"/>
    </row>
    <row r="60" spans="1:29" s="113" customFormat="1" ht="15">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2378</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2433</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2522</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IF(C2="——",ROUND(C43*D3/10000,0),ROUND(C43*D3/10000,0)-D2)</f>
        <v>#DIV/0!</v>
      </c>
      <c r="C2" s="2068"/>
      <c r="D2" s="1038" t="e">
        <f ca="1">SUMIF(INDIRECT("'"&amp;F2&amp;"'"&amp;"!A:A"),"承租人权益价值",INDIRECT("'"&amp;F2&amp;"'"&amp;"!c:c"))</f>
        <v>#REF!</v>
      </c>
      <c r="E2" s="2069" t="s">
        <v>2151</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153820.67000000001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1044"/>
      <c r="M4" s="1045"/>
      <c r="N4" s="1045"/>
      <c r="O4" s="1045"/>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1044"/>
      <c r="M5" s="1045"/>
      <c r="N5" s="1045"/>
      <c r="O5" s="1045"/>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567" t="s">
        <v>2367</v>
      </c>
      <c r="L6" s="1044"/>
      <c r="M6" s="1045"/>
      <c r="N6" s="1045"/>
      <c r="O6" s="1045"/>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8"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8" t="s">
        <v>2372</v>
      </c>
      <c r="Q8" s="3349"/>
      <c r="R8" s="710" t="s">
        <v>17</v>
      </c>
      <c r="S8" s="711">
        <f t="shared" si="0"/>
        <v>0</v>
      </c>
      <c r="T8" s="710" t="s">
        <v>17</v>
      </c>
      <c r="U8" s="711">
        <f t="shared" si="1"/>
        <v>0</v>
      </c>
      <c r="V8" s="710" t="s">
        <v>17</v>
      </c>
      <c r="W8" s="711">
        <f t="shared" si="2"/>
        <v>0</v>
      </c>
      <c r="X8" s="712"/>
      <c r="Y8" s="3348" t="s">
        <v>2372</v>
      </c>
      <c r="Z8" s="334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9"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9"/>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9"/>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9"/>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1" t="s">
        <v>2380</v>
      </c>
      <c r="Q15" s="1537" t="str">
        <f t="shared" si="6"/>
        <v>产业集聚程度</v>
      </c>
      <c r="R15" s="714" t="s">
        <v>17</v>
      </c>
      <c r="S15" s="715">
        <f t="shared" si="0"/>
        <v>100</v>
      </c>
      <c r="T15" s="714" t="s">
        <v>17</v>
      </c>
      <c r="U15" s="715">
        <f t="shared" si="1"/>
        <v>100</v>
      </c>
      <c r="V15" s="714" t="s">
        <v>17</v>
      </c>
      <c r="W15" s="715">
        <f t="shared" si="2"/>
        <v>100</v>
      </c>
      <c r="X15" s="1540"/>
      <c r="Y15" s="3321"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22"/>
      <c r="Q16" s="1537"/>
      <c r="R16" s="714"/>
      <c r="S16" s="715"/>
      <c r="T16" s="714"/>
      <c r="U16" s="715"/>
      <c r="V16" s="714"/>
      <c r="W16" s="715"/>
      <c r="X16" s="1540"/>
      <c r="Y16" s="3322"/>
      <c r="Z16" s="1541"/>
      <c r="AA16" s="1538">
        <v>1</v>
      </c>
      <c r="AB16" s="1538">
        <v>1</v>
      </c>
      <c r="AC16" s="1538">
        <v>1</v>
      </c>
    </row>
    <row r="17" spans="1:29" ht="85.5">
      <c r="A17" s="387"/>
      <c r="B17" s="410" t="s">
        <v>1947</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2"/>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22"/>
      <c r="Q18" s="1537"/>
      <c r="R18" s="714"/>
      <c r="S18" s="715"/>
      <c r="T18" s="714"/>
      <c r="U18" s="715"/>
      <c r="V18" s="714"/>
      <c r="W18" s="715"/>
      <c r="X18" s="1540"/>
      <c r="Y18" s="3322"/>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2"/>
      <c r="Q19" s="1537" t="str">
        <f>B19</f>
        <v>公共配套设施</v>
      </c>
      <c r="R19" s="714" t="s">
        <v>17</v>
      </c>
      <c r="S19" s="715">
        <f>F19</f>
        <v>100</v>
      </c>
      <c r="T19" s="714" t="s">
        <v>17</v>
      </c>
      <c r="U19" s="715">
        <f>H19</f>
        <v>100</v>
      </c>
      <c r="V19" s="714" t="s">
        <v>17</v>
      </c>
      <c r="W19" s="715">
        <f>J19</f>
        <v>100</v>
      </c>
      <c r="X19" s="1540"/>
      <c r="Y19" s="332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22"/>
      <c r="Q20" s="1537"/>
      <c r="R20" s="714"/>
      <c r="S20" s="715"/>
      <c r="T20" s="714"/>
      <c r="U20" s="715"/>
      <c r="V20" s="714"/>
      <c r="W20" s="715"/>
      <c r="X20" s="1540"/>
      <c r="Y20" s="3322"/>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2"/>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1054"/>
      <c r="M22" s="1045"/>
      <c r="N22" s="1045"/>
      <c r="O22" s="1053"/>
      <c r="P22" s="3322"/>
      <c r="Q22" s="1537"/>
      <c r="R22" s="714"/>
      <c r="S22" s="715"/>
      <c r="T22" s="714"/>
      <c r="U22" s="715"/>
      <c r="V22" s="714"/>
      <c r="W22" s="715"/>
      <c r="X22" s="1540"/>
      <c r="Y22" s="3322"/>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2"/>
      <c r="Q23" s="1537" t="str">
        <f>B23</f>
        <v>环境质量</v>
      </c>
      <c r="R23" s="714" t="s">
        <v>17</v>
      </c>
      <c r="S23" s="715">
        <f>F23</f>
        <v>100</v>
      </c>
      <c r="T23" s="714" t="s">
        <v>17</v>
      </c>
      <c r="U23" s="715">
        <f>H23</f>
        <v>100</v>
      </c>
      <c r="V23" s="714" t="s">
        <v>17</v>
      </c>
      <c r="W23" s="715">
        <f>J23</f>
        <v>100</v>
      </c>
      <c r="X23" s="1540"/>
      <c r="Y23" s="3322"/>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22"/>
      <c r="Q24" s="1537"/>
      <c r="R24" s="714"/>
      <c r="S24" s="715"/>
      <c r="T24" s="714"/>
      <c r="U24" s="715"/>
      <c r="V24" s="714"/>
      <c r="W24" s="715"/>
      <c r="X24" s="1540"/>
      <c r="Y24" s="3322"/>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2"/>
      <c r="Q25" s="1537">
        <f>B25</f>
        <v>111</v>
      </c>
      <c r="R25" s="714" t="s">
        <v>17</v>
      </c>
      <c r="S25" s="715">
        <f>F25</f>
        <v>100</v>
      </c>
      <c r="T25" s="714" t="s">
        <v>17</v>
      </c>
      <c r="U25" s="715">
        <f>H25</f>
        <v>100</v>
      </c>
      <c r="V25" s="714" t="s">
        <v>17</v>
      </c>
      <c r="W25" s="715">
        <f>J25</f>
        <v>100</v>
      </c>
      <c r="X25" s="1540"/>
      <c r="Y25" s="3322"/>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2"/>
      <c r="Q26" s="1537">
        <f t="shared" ref="Q26:Q40" si="8">B26</f>
        <v>111</v>
      </c>
      <c r="R26" s="714" t="s">
        <v>17</v>
      </c>
      <c r="S26" s="715">
        <f>F26</f>
        <v>100</v>
      </c>
      <c r="T26" s="714" t="s">
        <v>17</v>
      </c>
      <c r="U26" s="715">
        <f>H26</f>
        <v>100</v>
      </c>
      <c r="V26" s="714" t="s">
        <v>17</v>
      </c>
      <c r="W26" s="715">
        <f>J26</f>
        <v>100</v>
      </c>
      <c r="X26" s="1540"/>
      <c r="Y26" s="3322"/>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2"/>
      <c r="Q27" s="1528">
        <f t="shared" si="8"/>
        <v>111</v>
      </c>
      <c r="R27" s="710" t="s">
        <v>17</v>
      </c>
      <c r="S27" s="711">
        <f>F27</f>
        <v>100</v>
      </c>
      <c r="T27" s="710" t="s">
        <v>17</v>
      </c>
      <c r="U27" s="711">
        <f>H27</f>
        <v>100</v>
      </c>
      <c r="V27" s="710" t="s">
        <v>17</v>
      </c>
      <c r="W27" s="711">
        <f>J27</f>
        <v>100</v>
      </c>
      <c r="X27" s="712"/>
      <c r="Y27" s="3322"/>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2"/>
      <c r="Q28" s="1537">
        <f t="shared" si="8"/>
        <v>111</v>
      </c>
      <c r="R28" s="714" t="s">
        <v>17</v>
      </c>
      <c r="S28" s="715">
        <f t="shared" ref="S28:S40" si="9">F28</f>
        <v>100</v>
      </c>
      <c r="T28" s="714" t="s">
        <v>17</v>
      </c>
      <c r="U28" s="715">
        <f t="shared" ref="U28:U40" si="10">H28</f>
        <v>100</v>
      </c>
      <c r="V28" s="714" t="s">
        <v>17</v>
      </c>
      <c r="W28" s="715">
        <f t="shared" ref="W28:W40" si="11">J28</f>
        <v>100</v>
      </c>
      <c r="X28" s="1540"/>
      <c r="Y28" s="3322"/>
      <c r="Z28" s="1541">
        <f t="shared" ref="Z28:Z40" si="12">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23" t="s">
        <v>2385</v>
      </c>
      <c r="Q29" s="1537" t="str">
        <f t="shared" si="8"/>
        <v>建筑类型</v>
      </c>
      <c r="R29" s="714" t="s">
        <v>17</v>
      </c>
      <c r="S29" s="715">
        <f t="shared" si="9"/>
        <v>100</v>
      </c>
      <c r="T29" s="714" t="s">
        <v>17</v>
      </c>
      <c r="U29" s="715">
        <f t="shared" si="10"/>
        <v>100</v>
      </c>
      <c r="V29" s="714" t="s">
        <v>17</v>
      </c>
      <c r="W29" s="715">
        <f t="shared" si="11"/>
        <v>100</v>
      </c>
      <c r="X29" s="1540"/>
      <c r="Y29" s="3324" t="s">
        <v>2385</v>
      </c>
      <c r="Z29" s="1541" t="str">
        <f t="shared" si="12"/>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4"/>
      <c r="Q30" s="716" t="str">
        <f t="shared" si="8"/>
        <v>项目建筑规模</v>
      </c>
      <c r="R30" s="717" t="s">
        <v>17</v>
      </c>
      <c r="S30" s="718" t="e">
        <f t="shared" si="9"/>
        <v>#N/A</v>
      </c>
      <c r="T30" s="717" t="s">
        <v>17</v>
      </c>
      <c r="U30" s="718" t="e">
        <f t="shared" si="10"/>
        <v>#N/A</v>
      </c>
      <c r="V30" s="717" t="s">
        <v>17</v>
      </c>
      <c r="W30" s="718" t="e">
        <f t="shared" si="11"/>
        <v>#N/A</v>
      </c>
      <c r="X30" s="719"/>
      <c r="Y30" s="3324"/>
      <c r="Z30" s="720" t="str">
        <f t="shared" si="12"/>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4"/>
      <c r="Q31" s="1537" t="str">
        <f t="shared" si="8"/>
        <v>建筑结构</v>
      </c>
      <c r="R31" s="714" t="s">
        <v>17</v>
      </c>
      <c r="S31" s="715">
        <f t="shared" si="9"/>
        <v>100</v>
      </c>
      <c r="T31" s="714" t="s">
        <v>17</v>
      </c>
      <c r="U31" s="715">
        <f t="shared" si="10"/>
        <v>100</v>
      </c>
      <c r="V31" s="714" t="s">
        <v>17</v>
      </c>
      <c r="W31" s="715">
        <f t="shared" si="11"/>
        <v>100</v>
      </c>
      <c r="X31" s="1540"/>
      <c r="Y31" s="3324"/>
      <c r="Z31" s="1541" t="str">
        <f t="shared" si="12"/>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4"/>
      <c r="Q32" s="1537" t="str">
        <f t="shared" si="8"/>
        <v>公共部分装修</v>
      </c>
      <c r="R32" s="714" t="s">
        <v>17</v>
      </c>
      <c r="S32" s="715">
        <f t="shared" si="9"/>
        <v>100</v>
      </c>
      <c r="T32" s="714" t="s">
        <v>17</v>
      </c>
      <c r="U32" s="715">
        <f t="shared" si="10"/>
        <v>100</v>
      </c>
      <c r="V32" s="714" t="s">
        <v>17</v>
      </c>
      <c r="W32" s="715">
        <f t="shared" si="11"/>
        <v>100</v>
      </c>
      <c r="X32" s="1540"/>
      <c r="Y32" s="3324"/>
      <c r="Z32" s="1541" t="str">
        <f t="shared" si="12"/>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4"/>
      <c r="Q33" s="1537" t="str">
        <f t="shared" si="8"/>
        <v>成新度</v>
      </c>
      <c r="R33" s="714" t="s">
        <v>17</v>
      </c>
      <c r="S33" s="715" t="e">
        <f t="shared" si="9"/>
        <v>#N/A</v>
      </c>
      <c r="T33" s="714" t="s">
        <v>17</v>
      </c>
      <c r="U33" s="715" t="e">
        <f t="shared" si="10"/>
        <v>#N/A</v>
      </c>
      <c r="V33" s="714" t="s">
        <v>17</v>
      </c>
      <c r="W33" s="715" t="e">
        <f t="shared" si="11"/>
        <v>#N/A</v>
      </c>
      <c r="X33" s="1540"/>
      <c r="Y33" s="3324"/>
      <c r="Z33" s="1541" t="str">
        <f t="shared" si="12"/>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4"/>
      <c r="Q34" s="1528" t="str">
        <f t="shared" si="8"/>
        <v>物业管理</v>
      </c>
      <c r="R34" s="710" t="s">
        <v>17</v>
      </c>
      <c r="S34" s="711">
        <f t="shared" si="9"/>
        <v>100</v>
      </c>
      <c r="T34" s="710" t="s">
        <v>17</v>
      </c>
      <c r="U34" s="711">
        <f t="shared" si="10"/>
        <v>100</v>
      </c>
      <c r="V34" s="710" t="s">
        <v>17</v>
      </c>
      <c r="W34" s="711">
        <f t="shared" si="11"/>
        <v>100</v>
      </c>
      <c r="X34" s="712"/>
      <c r="Y34" s="3324"/>
      <c r="Z34" s="55" t="str">
        <f t="shared" si="12"/>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4" t="s">
        <v>2385</v>
      </c>
      <c r="Q35" s="1537" t="str">
        <f t="shared" si="8"/>
        <v>市政基础设施</v>
      </c>
      <c r="R35" s="714" t="s">
        <v>17</v>
      </c>
      <c r="S35" s="715">
        <f t="shared" si="9"/>
        <v>100</v>
      </c>
      <c r="T35" s="714" t="s">
        <v>17</v>
      </c>
      <c r="U35" s="715">
        <f t="shared" si="10"/>
        <v>100</v>
      </c>
      <c r="V35" s="714" t="s">
        <v>17</v>
      </c>
      <c r="W35" s="715">
        <f t="shared" si="11"/>
        <v>100</v>
      </c>
      <c r="X35" s="1540"/>
      <c r="Y35" s="3324" t="s">
        <v>2385</v>
      </c>
      <c r="Z35" s="1541" t="str">
        <f t="shared" si="12"/>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4"/>
      <c r="Q36" s="1537" t="str">
        <f t="shared" si="8"/>
        <v>内部装修</v>
      </c>
      <c r="R36" s="714" t="s">
        <v>17</v>
      </c>
      <c r="S36" s="715">
        <f t="shared" si="9"/>
        <v>100</v>
      </c>
      <c r="T36" s="714" t="s">
        <v>17</v>
      </c>
      <c r="U36" s="715">
        <f t="shared" si="10"/>
        <v>100</v>
      </c>
      <c r="V36" s="714" t="s">
        <v>17</v>
      </c>
      <c r="W36" s="715">
        <f t="shared" si="11"/>
        <v>100</v>
      </c>
      <c r="X36" s="1540"/>
      <c r="Y36" s="3324"/>
      <c r="Z36" s="1541" t="str">
        <f t="shared" si="12"/>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4"/>
      <c r="Q37" s="1537" t="str">
        <f t="shared" si="8"/>
        <v>内部装修状况</v>
      </c>
      <c r="R37" s="714" t="s">
        <v>17</v>
      </c>
      <c r="S37" s="715">
        <f t="shared" si="9"/>
        <v>100</v>
      </c>
      <c r="T37" s="714" t="s">
        <v>17</v>
      </c>
      <c r="U37" s="715">
        <f t="shared" si="10"/>
        <v>100</v>
      </c>
      <c r="V37" s="714" t="s">
        <v>17</v>
      </c>
      <c r="W37" s="715">
        <f t="shared" si="11"/>
        <v>100</v>
      </c>
      <c r="X37" s="1540"/>
      <c r="Y37" s="3324"/>
      <c r="Z37" s="1541" t="str">
        <f t="shared" si="12"/>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4"/>
      <c r="Q38" s="716">
        <f t="shared" si="8"/>
        <v>111</v>
      </c>
      <c r="R38" s="717" t="s">
        <v>17</v>
      </c>
      <c r="S38" s="718">
        <f t="shared" si="9"/>
        <v>100</v>
      </c>
      <c r="T38" s="717" t="s">
        <v>17</v>
      </c>
      <c r="U38" s="718">
        <f t="shared" si="10"/>
        <v>100</v>
      </c>
      <c r="V38" s="717" t="s">
        <v>17</v>
      </c>
      <c r="W38" s="718">
        <f t="shared" si="11"/>
        <v>100</v>
      </c>
      <c r="X38" s="719"/>
      <c r="Y38" s="3324"/>
      <c r="Z38" s="720">
        <f t="shared" si="12"/>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4"/>
      <c r="Q39" s="1537">
        <f t="shared" si="8"/>
        <v>111</v>
      </c>
      <c r="R39" s="714" t="s">
        <v>17</v>
      </c>
      <c r="S39" s="715">
        <f t="shared" si="9"/>
        <v>100</v>
      </c>
      <c r="T39" s="714" t="s">
        <v>17</v>
      </c>
      <c r="U39" s="715">
        <f t="shared" si="10"/>
        <v>100</v>
      </c>
      <c r="V39" s="714" t="s">
        <v>17</v>
      </c>
      <c r="W39" s="715">
        <f t="shared" si="11"/>
        <v>100</v>
      </c>
      <c r="X39" s="1540"/>
      <c r="Y39" s="3324"/>
      <c r="Z39" s="1541">
        <f t="shared" si="12"/>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4"/>
      <c r="Q40" s="1537">
        <f t="shared" si="8"/>
        <v>111</v>
      </c>
      <c r="R40" s="714" t="s">
        <v>17</v>
      </c>
      <c r="S40" s="715">
        <f t="shared" si="9"/>
        <v>100</v>
      </c>
      <c r="T40" s="714" t="s">
        <v>17</v>
      </c>
      <c r="U40" s="715">
        <f t="shared" si="10"/>
        <v>100</v>
      </c>
      <c r="V40" s="714" t="s">
        <v>17</v>
      </c>
      <c r="W40" s="715">
        <f t="shared" si="11"/>
        <v>100</v>
      </c>
      <c r="X40" s="1540"/>
      <c r="Y40" s="3394"/>
      <c r="Z40" s="1541">
        <f t="shared" si="12"/>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319" t="str">
        <f>A41</f>
        <v>成交单价（元/平方米）</v>
      </c>
      <c r="Q41" s="3319"/>
      <c r="R41" s="3390">
        <f>E41</f>
        <v>0</v>
      </c>
      <c r="S41" s="3390"/>
      <c r="T41" s="3390">
        <f>G41</f>
        <v>0</v>
      </c>
      <c r="U41" s="3390"/>
      <c r="V41" s="3390">
        <f>I41</f>
        <v>0</v>
      </c>
      <c r="W41" s="3390"/>
      <c r="X41" s="699"/>
      <c r="Y41" s="721"/>
      <c r="Z41" s="699"/>
      <c r="AA41" s="699"/>
      <c r="AB41" s="699"/>
      <c r="AC41" s="699"/>
    </row>
    <row r="42" spans="1:29" ht="15.75" thickBot="1">
      <c r="A42" s="445" t="s">
        <v>2489</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9" t="str">
        <f>A42</f>
        <v>比较价值（元/平方米）</v>
      </c>
      <c r="Q42" s="331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89" t="e">
        <f>IF(F1="售价",ROUND(IF(D42="简单平均",AVERAGE(R42:V42),R42*F42+T42*H42+V42*J42),0),ROUND(IF(D42="简单平均",AVERAGE(R42:V42),R42*F42+T42*H42+V42*J42),1))</f>
        <v>#DIV/0!</v>
      </c>
      <c r="S43" s="3389"/>
      <c r="T43" s="3389"/>
      <c r="U43" s="3389"/>
      <c r="V43" s="3389"/>
      <c r="W43" s="338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2020-12</v>
      </c>
      <c r="D52" s="1346">
        <f>EDATE(C52,-1)</f>
        <v>44136</v>
      </c>
      <c r="E52" s="1346">
        <f t="shared" ref="E52:O52" si="13">EDATE(D52,-1)</f>
        <v>44105</v>
      </c>
      <c r="F52" s="1346">
        <f t="shared" si="13"/>
        <v>44075</v>
      </c>
      <c r="G52" s="1346">
        <f t="shared" si="13"/>
        <v>44044</v>
      </c>
      <c r="H52" s="1346">
        <f t="shared" si="13"/>
        <v>44013</v>
      </c>
      <c r="I52" s="1346">
        <f t="shared" si="13"/>
        <v>43983</v>
      </c>
      <c r="J52" s="1346">
        <f t="shared" si="13"/>
        <v>43952</v>
      </c>
      <c r="K52" s="1346">
        <f t="shared" si="13"/>
        <v>43922</v>
      </c>
      <c r="L52" s="1346">
        <f t="shared" si="13"/>
        <v>43891</v>
      </c>
      <c r="M52" s="1346">
        <f t="shared" si="13"/>
        <v>43862</v>
      </c>
      <c r="N52" s="1346">
        <f t="shared" si="13"/>
        <v>43831</v>
      </c>
      <c r="O52" s="1346">
        <f t="shared" si="13"/>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0"/>
      <c r="O54" s="3001"/>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2433</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6"/>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2150</v>
      </c>
      <c r="B2" s="1326" t="e">
        <f ca="1">IF(C2="——",IF(B37="元/平方米",ROUND(C39*D3/10000,0),ROUND(F3*C39/10000,0)),IF(B37="元/平方米",ROUND(C39*D3/10000,0),ROUND(F3*C39/10000,0))-D2)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48" t="s">
        <v>2369</v>
      </c>
      <c r="Q7" s="3350"/>
      <c r="R7" s="710" t="s">
        <v>17</v>
      </c>
      <c r="S7" s="711">
        <f t="shared" ref="S7:S14" si="0">F7</f>
        <v>0</v>
      </c>
      <c r="T7" s="710" t="s">
        <v>17</v>
      </c>
      <c r="U7" s="711">
        <f t="shared" ref="U7:U14" si="1">H7</f>
        <v>0</v>
      </c>
      <c r="V7" s="710" t="s">
        <v>17</v>
      </c>
      <c r="W7" s="711">
        <f t="shared" ref="W7:W14" si="2">J7</f>
        <v>0</v>
      </c>
      <c r="X7" s="712"/>
      <c r="Y7" s="3348" t="s">
        <v>2369</v>
      </c>
      <c r="Z7" s="334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9" t="s">
        <v>2375</v>
      </c>
      <c r="Q9" s="1528" t="str">
        <f t="shared" ref="Q9:Q14" si="6">B9</f>
        <v>用途</v>
      </c>
      <c r="R9" s="710" t="s">
        <v>17</v>
      </c>
      <c r="S9" s="711">
        <f t="shared" si="0"/>
        <v>100</v>
      </c>
      <c r="T9" s="710" t="s">
        <v>17</v>
      </c>
      <c r="U9" s="711">
        <f t="shared" si="1"/>
        <v>100</v>
      </c>
      <c r="V9" s="710" t="s">
        <v>17</v>
      </c>
      <c r="W9" s="711">
        <f t="shared" si="2"/>
        <v>100</v>
      </c>
      <c r="X9" s="712"/>
      <c r="Y9" s="321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9"/>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9"/>
      <c r="Q11" s="1528">
        <f t="shared" si="6"/>
        <v>111</v>
      </c>
      <c r="R11" s="710" t="s">
        <v>17</v>
      </c>
      <c r="S11" s="711">
        <f t="shared" si="0"/>
        <v>100</v>
      </c>
      <c r="T11" s="710" t="s">
        <v>17</v>
      </c>
      <c r="U11" s="711">
        <f t="shared" si="1"/>
        <v>100</v>
      </c>
      <c r="V11" s="710" t="s">
        <v>17</v>
      </c>
      <c r="W11" s="711">
        <f t="shared" si="2"/>
        <v>100</v>
      </c>
      <c r="X11" s="712"/>
      <c r="Y11" s="32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85.5">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21" t="s">
        <v>2380</v>
      </c>
      <c r="Q14" s="1537" t="str">
        <f t="shared" si="6"/>
        <v>交通便捷度</v>
      </c>
      <c r="R14" s="714" t="s">
        <v>17</v>
      </c>
      <c r="S14" s="715">
        <f t="shared" si="0"/>
        <v>100</v>
      </c>
      <c r="T14" s="714" t="s">
        <v>17</v>
      </c>
      <c r="U14" s="715">
        <f t="shared" si="1"/>
        <v>100</v>
      </c>
      <c r="V14" s="714" t="s">
        <v>17</v>
      </c>
      <c r="W14" s="715">
        <f t="shared" si="2"/>
        <v>100</v>
      </c>
      <c r="X14" s="1540"/>
      <c r="Y14" s="3321"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22"/>
      <c r="Q15" s="1537"/>
      <c r="R15" s="714"/>
      <c r="S15" s="715"/>
      <c r="T15" s="714"/>
      <c r="U15" s="715"/>
      <c r="V15" s="714"/>
      <c r="W15" s="715"/>
      <c r="X15" s="1540"/>
      <c r="Y15" s="3322"/>
      <c r="Z15" s="1541"/>
      <c r="AA15" s="1538">
        <v>1</v>
      </c>
      <c r="AB15" s="1538">
        <v>1</v>
      </c>
      <c r="AC15" s="1538">
        <v>1</v>
      </c>
    </row>
    <row r="16" spans="1:29" ht="42.75">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22"/>
      <c r="Q16" s="1537" t="str">
        <f>B16</f>
        <v>公共配套设施</v>
      </c>
      <c r="R16" s="714" t="s">
        <v>17</v>
      </c>
      <c r="S16" s="715">
        <f>F16</f>
        <v>100</v>
      </c>
      <c r="T16" s="714" t="s">
        <v>17</v>
      </c>
      <c r="U16" s="715">
        <f>H16</f>
        <v>100</v>
      </c>
      <c r="V16" s="714" t="s">
        <v>17</v>
      </c>
      <c r="W16" s="715">
        <f>J16</f>
        <v>100</v>
      </c>
      <c r="X16" s="1540"/>
      <c r="Y16" s="3322"/>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22"/>
      <c r="Q17" s="1537"/>
      <c r="R17" s="714"/>
      <c r="S17" s="715"/>
      <c r="T17" s="714"/>
      <c r="U17" s="715"/>
      <c r="V17" s="714"/>
      <c r="W17" s="715"/>
      <c r="X17" s="1540"/>
      <c r="Y17" s="3322"/>
      <c r="Z17" s="1541"/>
      <c r="AA17" s="1538">
        <v>1</v>
      </c>
      <c r="AB17" s="1538">
        <v>1</v>
      </c>
      <c r="AC17" s="1538">
        <v>1</v>
      </c>
    </row>
    <row r="18" spans="1:29" ht="28.5">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22"/>
      <c r="Q18" s="1537" t="str">
        <f>B18</f>
        <v>基础设施水平</v>
      </c>
      <c r="R18" s="714" t="s">
        <v>17</v>
      </c>
      <c r="S18" s="715">
        <f>F18</f>
        <v>100</v>
      </c>
      <c r="T18" s="714" t="s">
        <v>17</v>
      </c>
      <c r="U18" s="715">
        <f>H18</f>
        <v>100</v>
      </c>
      <c r="V18" s="714" t="s">
        <v>17</v>
      </c>
      <c r="W18" s="715">
        <f>J18</f>
        <v>100</v>
      </c>
      <c r="X18" s="1540"/>
      <c r="Y18" s="3322"/>
      <c r="Z18" s="1541" t="str">
        <f>Q18</f>
        <v>基础设施水平</v>
      </c>
      <c r="AA18" s="1538">
        <f>D18/F18</f>
        <v>1</v>
      </c>
      <c r="AB18" s="1538">
        <f>D18/H18</f>
        <v>1</v>
      </c>
      <c r="AC18" s="1538">
        <f>D18/J18</f>
        <v>1</v>
      </c>
    </row>
    <row r="19" spans="1:29" ht="15">
      <c r="A19" s="364"/>
      <c r="B19" s="589"/>
      <c r="C19" s="2088"/>
      <c r="D19" s="409"/>
      <c r="E19" s="2088"/>
      <c r="F19" s="412"/>
      <c r="G19" s="2088"/>
      <c r="H19" s="407"/>
      <c r="I19" s="406"/>
      <c r="J19" s="407"/>
      <c r="K19" s="1292"/>
      <c r="L19" s="2952"/>
      <c r="M19" s="2946"/>
      <c r="N19" s="2946"/>
      <c r="O19" s="2946"/>
      <c r="P19" s="3322"/>
      <c r="Q19" s="1537"/>
      <c r="R19" s="714"/>
      <c r="S19" s="715"/>
      <c r="T19" s="714"/>
      <c r="U19" s="715"/>
      <c r="V19" s="714"/>
      <c r="W19" s="715"/>
      <c r="X19" s="1540"/>
      <c r="Y19" s="3322"/>
      <c r="Z19" s="1541"/>
      <c r="AA19" s="1538">
        <v>1</v>
      </c>
      <c r="AB19" s="1538">
        <v>1</v>
      </c>
      <c r="AC19" s="1538">
        <v>1</v>
      </c>
    </row>
    <row r="20" spans="1:29" ht="57">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22"/>
      <c r="Q20" s="1537" t="str">
        <f>B20</f>
        <v>自然及人文环境</v>
      </c>
      <c r="R20" s="714" t="s">
        <v>17</v>
      </c>
      <c r="S20" s="715">
        <f>F20</f>
        <v>100</v>
      </c>
      <c r="T20" s="714" t="s">
        <v>17</v>
      </c>
      <c r="U20" s="715">
        <f>H20</f>
        <v>100</v>
      </c>
      <c r="V20" s="714" t="s">
        <v>17</v>
      </c>
      <c r="W20" s="715">
        <f>J20</f>
        <v>100</v>
      </c>
      <c r="X20" s="1540"/>
      <c r="Y20" s="3322"/>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22"/>
      <c r="Q21" s="1537"/>
      <c r="R21" s="714"/>
      <c r="S21" s="715"/>
      <c r="T21" s="714"/>
      <c r="U21" s="715"/>
      <c r="V21" s="714"/>
      <c r="W21" s="715"/>
      <c r="X21" s="1540"/>
      <c r="Y21" s="3322"/>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22"/>
      <c r="Q22" s="1537" t="str">
        <f>B22</f>
        <v>楼层</v>
      </c>
      <c r="R22" s="714" t="s">
        <v>17</v>
      </c>
      <c r="S22" s="715">
        <f>F22</f>
        <v>100</v>
      </c>
      <c r="T22" s="714" t="s">
        <v>17</v>
      </c>
      <c r="U22" s="715">
        <f>H22</f>
        <v>100</v>
      </c>
      <c r="V22" s="714" t="s">
        <v>17</v>
      </c>
      <c r="W22" s="715">
        <f>J22</f>
        <v>100</v>
      </c>
      <c r="X22" s="1540"/>
      <c r="Y22" s="3322"/>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22"/>
      <c r="Q23" s="1537">
        <f>B23</f>
        <v>111</v>
      </c>
      <c r="R23" s="714" t="s">
        <v>17</v>
      </c>
      <c r="S23" s="715">
        <f>F23</f>
        <v>100</v>
      </c>
      <c r="T23" s="714" t="s">
        <v>17</v>
      </c>
      <c r="U23" s="715">
        <f>H23</f>
        <v>100</v>
      </c>
      <c r="V23" s="714" t="s">
        <v>17</v>
      </c>
      <c r="W23" s="715">
        <f>J23</f>
        <v>100</v>
      </c>
      <c r="X23" s="1540"/>
      <c r="Y23" s="3322"/>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22"/>
      <c r="Q24" s="1537">
        <f t="shared" ref="Q24:Q36" si="8">B24</f>
        <v>111</v>
      </c>
      <c r="R24" s="714" t="s">
        <v>17</v>
      </c>
      <c r="S24" s="715">
        <f>F24</f>
        <v>100</v>
      </c>
      <c r="T24" s="714" t="s">
        <v>17</v>
      </c>
      <c r="U24" s="715">
        <f>H24</f>
        <v>100</v>
      </c>
      <c r="V24" s="714" t="s">
        <v>17</v>
      </c>
      <c r="W24" s="715">
        <f>J24</f>
        <v>100</v>
      </c>
      <c r="X24" s="1540"/>
      <c r="Y24" s="3322"/>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22"/>
      <c r="Q25" s="1528">
        <f t="shared" si="8"/>
        <v>111</v>
      </c>
      <c r="R25" s="710" t="s">
        <v>17</v>
      </c>
      <c r="S25" s="711">
        <f>F25</f>
        <v>100</v>
      </c>
      <c r="T25" s="710" t="s">
        <v>17</v>
      </c>
      <c r="U25" s="711">
        <f>H25</f>
        <v>100</v>
      </c>
      <c r="V25" s="710" t="s">
        <v>17</v>
      </c>
      <c r="W25" s="711">
        <f>J25</f>
        <v>100</v>
      </c>
      <c r="X25" s="712"/>
      <c r="Y25" s="3322"/>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23" t="s">
        <v>2385</v>
      </c>
      <c r="Q26" s="1537" t="str">
        <f t="shared" si="8"/>
        <v>配套类型</v>
      </c>
      <c r="R26" s="714" t="s">
        <v>17</v>
      </c>
      <c r="S26" s="715">
        <f t="shared" ref="S26:S36" si="9">F26</f>
        <v>100</v>
      </c>
      <c r="T26" s="714" t="s">
        <v>17</v>
      </c>
      <c r="U26" s="715">
        <f t="shared" ref="U26:U36" si="10">H26</f>
        <v>100</v>
      </c>
      <c r="V26" s="714" t="s">
        <v>17</v>
      </c>
      <c r="W26" s="715">
        <f t="shared" ref="W26:W36" si="11">J26</f>
        <v>100</v>
      </c>
      <c r="X26" s="1540"/>
      <c r="Y26" s="3324" t="s">
        <v>2385</v>
      </c>
      <c r="Z26" s="1541" t="str">
        <f t="shared" ref="Z26:Z36" si="12">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24"/>
      <c r="Q27" s="716" t="str">
        <f t="shared" si="8"/>
        <v>项目停车位配比</v>
      </c>
      <c r="R27" s="717" t="s">
        <v>17</v>
      </c>
      <c r="S27" s="718">
        <f t="shared" si="9"/>
        <v>100</v>
      </c>
      <c r="T27" s="717" t="s">
        <v>17</v>
      </c>
      <c r="U27" s="718">
        <f t="shared" si="10"/>
        <v>100</v>
      </c>
      <c r="V27" s="717" t="s">
        <v>17</v>
      </c>
      <c r="W27" s="718">
        <f t="shared" si="11"/>
        <v>100</v>
      </c>
      <c r="X27" s="719"/>
      <c r="Y27" s="3324"/>
      <c r="Z27" s="720" t="str">
        <f t="shared" si="12"/>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24"/>
      <c r="Q28" s="1537" t="str">
        <f t="shared" si="8"/>
        <v>公共部分装修</v>
      </c>
      <c r="R28" s="714" t="s">
        <v>17</v>
      </c>
      <c r="S28" s="715">
        <f t="shared" si="9"/>
        <v>100</v>
      </c>
      <c r="T28" s="714" t="s">
        <v>17</v>
      </c>
      <c r="U28" s="715">
        <f t="shared" si="10"/>
        <v>100</v>
      </c>
      <c r="V28" s="714" t="s">
        <v>17</v>
      </c>
      <c r="W28" s="715">
        <f t="shared" si="11"/>
        <v>100</v>
      </c>
      <c r="X28" s="1540"/>
      <c r="Y28" s="3324"/>
      <c r="Z28" s="1541" t="str">
        <f t="shared" si="12"/>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24"/>
      <c r="Q29" s="1537" t="str">
        <f t="shared" si="8"/>
        <v>成新率</v>
      </c>
      <c r="R29" s="714" t="s">
        <v>17</v>
      </c>
      <c r="S29" s="715" t="e">
        <f t="shared" si="9"/>
        <v>#N/A</v>
      </c>
      <c r="T29" s="714" t="s">
        <v>17</v>
      </c>
      <c r="U29" s="715" t="e">
        <f t="shared" si="10"/>
        <v>#N/A</v>
      </c>
      <c r="V29" s="714" t="s">
        <v>17</v>
      </c>
      <c r="W29" s="715" t="e">
        <f t="shared" si="11"/>
        <v>#N/A</v>
      </c>
      <c r="X29" s="1540"/>
      <c r="Y29" s="3324"/>
      <c r="Z29" s="1541" t="str">
        <f t="shared" si="12"/>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24"/>
      <c r="Q30" s="1537" t="str">
        <f t="shared" si="8"/>
        <v>物业等级</v>
      </c>
      <c r="R30" s="714" t="s">
        <v>17</v>
      </c>
      <c r="S30" s="715">
        <f t="shared" si="9"/>
        <v>100</v>
      </c>
      <c r="T30" s="714" t="s">
        <v>17</v>
      </c>
      <c r="U30" s="715">
        <f t="shared" si="10"/>
        <v>100</v>
      </c>
      <c r="V30" s="714" t="s">
        <v>17</v>
      </c>
      <c r="W30" s="715">
        <f t="shared" si="11"/>
        <v>100</v>
      </c>
      <c r="X30" s="1540"/>
      <c r="Y30" s="3324"/>
      <c r="Z30" s="1541" t="str">
        <f t="shared" si="12"/>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24"/>
      <c r="Q31" s="1528" t="str">
        <f t="shared" si="8"/>
        <v>停车位面积</v>
      </c>
      <c r="R31" s="710" t="s">
        <v>17</v>
      </c>
      <c r="S31" s="711" t="e">
        <f t="shared" si="9"/>
        <v>#N/A</v>
      </c>
      <c r="T31" s="710" t="s">
        <v>17</v>
      </c>
      <c r="U31" s="711" t="e">
        <f t="shared" si="10"/>
        <v>#N/A</v>
      </c>
      <c r="V31" s="710" t="s">
        <v>17</v>
      </c>
      <c r="W31" s="711" t="e">
        <f t="shared" si="11"/>
        <v>#N/A</v>
      </c>
      <c r="X31" s="712"/>
      <c r="Y31" s="3324"/>
      <c r="Z31" s="55" t="str">
        <f t="shared" si="12"/>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24" t="s">
        <v>2385</v>
      </c>
      <c r="Q32" s="1537" t="str">
        <f t="shared" si="8"/>
        <v>车位类型</v>
      </c>
      <c r="R32" s="714" t="s">
        <v>17</v>
      </c>
      <c r="S32" s="715">
        <f t="shared" si="9"/>
        <v>100</v>
      </c>
      <c r="T32" s="714" t="s">
        <v>17</v>
      </c>
      <c r="U32" s="715">
        <f t="shared" si="10"/>
        <v>100</v>
      </c>
      <c r="V32" s="714" t="s">
        <v>17</v>
      </c>
      <c r="W32" s="715">
        <f t="shared" si="11"/>
        <v>100</v>
      </c>
      <c r="X32" s="1540"/>
      <c r="Y32" s="3324" t="s">
        <v>2385</v>
      </c>
      <c r="Z32" s="1541" t="str">
        <f t="shared" si="12"/>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24"/>
      <c r="Q33" s="1537" t="str">
        <f t="shared" si="8"/>
        <v>是否直接入户</v>
      </c>
      <c r="R33" s="714" t="s">
        <v>17</v>
      </c>
      <c r="S33" s="715">
        <f t="shared" si="9"/>
        <v>100</v>
      </c>
      <c r="T33" s="714" t="s">
        <v>17</v>
      </c>
      <c r="U33" s="715">
        <f t="shared" si="10"/>
        <v>100</v>
      </c>
      <c r="V33" s="714" t="s">
        <v>17</v>
      </c>
      <c r="W33" s="715">
        <f t="shared" si="11"/>
        <v>100</v>
      </c>
      <c r="X33" s="1540"/>
      <c r="Y33" s="3324"/>
      <c r="Z33" s="1541" t="str">
        <f t="shared" si="12"/>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24"/>
      <c r="Q34" s="1537">
        <f t="shared" si="8"/>
        <v>111</v>
      </c>
      <c r="R34" s="714" t="s">
        <v>17</v>
      </c>
      <c r="S34" s="715">
        <f t="shared" si="9"/>
        <v>100</v>
      </c>
      <c r="T34" s="714" t="s">
        <v>17</v>
      </c>
      <c r="U34" s="715">
        <f t="shared" si="10"/>
        <v>100</v>
      </c>
      <c r="V34" s="714" t="s">
        <v>17</v>
      </c>
      <c r="W34" s="715">
        <f t="shared" si="11"/>
        <v>100</v>
      </c>
      <c r="X34" s="1540"/>
      <c r="Y34" s="3324"/>
      <c r="Z34" s="1541">
        <f t="shared" si="12"/>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24"/>
      <c r="Q35" s="716">
        <f t="shared" si="8"/>
        <v>111</v>
      </c>
      <c r="R35" s="717" t="s">
        <v>17</v>
      </c>
      <c r="S35" s="718">
        <f t="shared" si="9"/>
        <v>100</v>
      </c>
      <c r="T35" s="717" t="s">
        <v>17</v>
      </c>
      <c r="U35" s="718">
        <f t="shared" si="10"/>
        <v>100</v>
      </c>
      <c r="V35" s="717" t="s">
        <v>17</v>
      </c>
      <c r="W35" s="718">
        <f t="shared" si="11"/>
        <v>100</v>
      </c>
      <c r="X35" s="719"/>
      <c r="Y35" s="3324"/>
      <c r="Z35" s="720">
        <f t="shared" si="12"/>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24"/>
      <c r="Q36" s="1537">
        <f t="shared" si="8"/>
        <v>111</v>
      </c>
      <c r="R36" s="714" t="s">
        <v>17</v>
      </c>
      <c r="S36" s="715">
        <f t="shared" si="9"/>
        <v>100</v>
      </c>
      <c r="T36" s="714" t="s">
        <v>17</v>
      </c>
      <c r="U36" s="715">
        <f t="shared" si="10"/>
        <v>100</v>
      </c>
      <c r="V36" s="714" t="s">
        <v>17</v>
      </c>
      <c r="W36" s="715">
        <f t="shared" si="11"/>
        <v>100</v>
      </c>
      <c r="X36" s="1540"/>
      <c r="Y36" s="3324"/>
      <c r="Z36" s="1541">
        <f t="shared" si="12"/>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4"/>
      <c r="M37" s="2955"/>
      <c r="N37" s="2946"/>
      <c r="O37" s="2955"/>
      <c r="P37" s="3319" t="str">
        <f>A37</f>
        <v>成交单价</v>
      </c>
      <c r="Q37" s="3319"/>
      <c r="R37" s="3390">
        <f>E37</f>
        <v>0</v>
      </c>
      <c r="S37" s="3390"/>
      <c r="T37" s="3390">
        <f>G37</f>
        <v>0</v>
      </c>
      <c r="U37" s="3390"/>
      <c r="V37" s="3390">
        <f>I37</f>
        <v>0</v>
      </c>
      <c r="W37" s="3390"/>
      <c r="X37" s="699"/>
      <c r="Y37" s="721"/>
      <c r="Z37" s="699"/>
      <c r="AA37" s="699"/>
      <c r="AB37" s="699"/>
      <c r="AC37" s="699"/>
    </row>
    <row r="38" spans="1:29" ht="15.75" thickBot="1">
      <c r="A38" s="445" t="s">
        <v>2542</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19" t="str">
        <f>A38</f>
        <v>比较价值（元/平方米）</v>
      </c>
      <c r="Q38" s="331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4"/>
      <c r="M39" s="2955"/>
      <c r="N39" s="2955"/>
      <c r="O39" s="2955"/>
      <c r="P39" s="3313" t="str">
        <f>A39</f>
        <v>估价对象XX用房的比较价值（楼面单价，元/平方米）</v>
      </c>
      <c r="Q39" s="3314"/>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2548</v>
      </c>
      <c r="B48" s="463"/>
      <c r="C48" s="1345" t="str">
        <f>YEAR(C7)&amp;"-"&amp;MONTH(C7)</f>
        <v>2020-12</v>
      </c>
      <c r="D48" s="1346">
        <f>EDATE(C48,-1)</f>
        <v>44136</v>
      </c>
      <c r="E48" s="1346">
        <f t="shared" ref="E48:O48" si="13">EDATE(D48,-1)</f>
        <v>44105</v>
      </c>
      <c r="F48" s="1346">
        <f t="shared" si="13"/>
        <v>44075</v>
      </c>
      <c r="G48" s="1346">
        <f t="shared" si="13"/>
        <v>44044</v>
      </c>
      <c r="H48" s="1346">
        <f t="shared" si="13"/>
        <v>44013</v>
      </c>
      <c r="I48" s="1346">
        <f t="shared" si="13"/>
        <v>43983</v>
      </c>
      <c r="J48" s="1346">
        <f t="shared" si="13"/>
        <v>43952</v>
      </c>
      <c r="K48" s="1346">
        <f t="shared" si="13"/>
        <v>43922</v>
      </c>
      <c r="L48" s="1346">
        <f t="shared" si="13"/>
        <v>43891</v>
      </c>
      <c r="M48" s="1346">
        <f t="shared" si="13"/>
        <v>43862</v>
      </c>
      <c r="N48" s="1346">
        <f t="shared" si="13"/>
        <v>43831</v>
      </c>
      <c r="O48" s="1346">
        <f t="shared" si="13"/>
        <v>43800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IF(C2="——",ROUND(C37*D3/10000,0),ROUND(C37*D3/10000,0)-D2)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48" t="s">
        <v>2369</v>
      </c>
      <c r="Q7" s="3350"/>
      <c r="R7" s="710" t="s">
        <v>17</v>
      </c>
      <c r="S7" s="711">
        <f t="shared" ref="S7:S14" si="0">F7</f>
        <v>0</v>
      </c>
      <c r="T7" s="710" t="s">
        <v>17</v>
      </c>
      <c r="U7" s="711">
        <f t="shared" ref="U7:U14" si="1">H7</f>
        <v>0</v>
      </c>
      <c r="V7" s="710" t="s">
        <v>17</v>
      </c>
      <c r="W7" s="711">
        <f t="shared" ref="W7:W14" si="2">J7</f>
        <v>0</v>
      </c>
      <c r="X7" s="712"/>
      <c r="Y7" s="3348" t="s">
        <v>2369</v>
      </c>
      <c r="Z7" s="334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9" t="s">
        <v>2375</v>
      </c>
      <c r="Q9" s="1528" t="str">
        <f t="shared" ref="Q9:Q14" si="6">B9</f>
        <v>用途</v>
      </c>
      <c r="R9" s="710" t="s">
        <v>17</v>
      </c>
      <c r="S9" s="711">
        <f t="shared" si="0"/>
        <v>100</v>
      </c>
      <c r="T9" s="710" t="s">
        <v>17</v>
      </c>
      <c r="U9" s="711">
        <f t="shared" si="1"/>
        <v>100</v>
      </c>
      <c r="V9" s="710" t="s">
        <v>17</v>
      </c>
      <c r="W9" s="711">
        <f t="shared" si="2"/>
        <v>100</v>
      </c>
      <c r="X9" s="712"/>
      <c r="Y9" s="321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9"/>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9"/>
      <c r="Q11" s="1528">
        <f t="shared" si="6"/>
        <v>111</v>
      </c>
      <c r="R11" s="710" t="s">
        <v>17</v>
      </c>
      <c r="S11" s="711">
        <f t="shared" si="0"/>
        <v>100</v>
      </c>
      <c r="T11" s="710" t="s">
        <v>17</v>
      </c>
      <c r="U11" s="711">
        <f t="shared" si="1"/>
        <v>100</v>
      </c>
      <c r="V11" s="710" t="s">
        <v>17</v>
      </c>
      <c r="W11" s="711">
        <f t="shared" si="2"/>
        <v>100</v>
      </c>
      <c r="X11" s="712"/>
      <c r="Y11" s="3213"/>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85.5">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21" t="s">
        <v>2380</v>
      </c>
      <c r="Q14" s="1537" t="str">
        <f t="shared" si="6"/>
        <v>交通便捷度</v>
      </c>
      <c r="R14" s="714" t="s">
        <v>17</v>
      </c>
      <c r="S14" s="715">
        <f t="shared" si="0"/>
        <v>100</v>
      </c>
      <c r="T14" s="714" t="s">
        <v>17</v>
      </c>
      <c r="U14" s="715">
        <f t="shared" si="1"/>
        <v>100</v>
      </c>
      <c r="V14" s="714" t="s">
        <v>17</v>
      </c>
      <c r="W14" s="715">
        <f t="shared" si="2"/>
        <v>100</v>
      </c>
      <c r="X14" s="1540"/>
      <c r="Y14" s="3321"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22"/>
      <c r="Q15" s="1537"/>
      <c r="R15" s="714"/>
      <c r="S15" s="715"/>
      <c r="T15" s="714"/>
      <c r="U15" s="715"/>
      <c r="V15" s="714"/>
      <c r="W15" s="715"/>
      <c r="X15" s="1540"/>
      <c r="Y15" s="3322"/>
      <c r="Z15" s="1541"/>
      <c r="AA15" s="1538">
        <v>1</v>
      </c>
      <c r="AB15" s="1538">
        <v>1</v>
      </c>
      <c r="AC15" s="1538">
        <v>1</v>
      </c>
    </row>
    <row r="16" spans="1:29" ht="42.75">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22"/>
      <c r="Q16" s="1537" t="str">
        <f>B16</f>
        <v>公共配套设施</v>
      </c>
      <c r="R16" s="714" t="s">
        <v>17</v>
      </c>
      <c r="S16" s="715">
        <f>F16</f>
        <v>100</v>
      </c>
      <c r="T16" s="714" t="s">
        <v>17</v>
      </c>
      <c r="U16" s="715">
        <f>H16</f>
        <v>100</v>
      </c>
      <c r="V16" s="714" t="s">
        <v>17</v>
      </c>
      <c r="W16" s="715">
        <f>J16</f>
        <v>100</v>
      </c>
      <c r="X16" s="1540"/>
      <c r="Y16" s="3322"/>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22"/>
      <c r="Q17" s="1537"/>
      <c r="R17" s="714"/>
      <c r="S17" s="715"/>
      <c r="T17" s="714"/>
      <c r="U17" s="715"/>
      <c r="V17" s="714"/>
      <c r="W17" s="715"/>
      <c r="X17" s="1540"/>
      <c r="Y17" s="3322"/>
      <c r="Z17" s="1541"/>
      <c r="AA17" s="1538">
        <v>1</v>
      </c>
      <c r="AB17" s="1538">
        <v>1</v>
      </c>
      <c r="AC17" s="1538">
        <v>1</v>
      </c>
    </row>
    <row r="18" spans="1:29" ht="28.5">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22"/>
      <c r="Q18" s="1537" t="str">
        <f>B18</f>
        <v>基础设施水平</v>
      </c>
      <c r="R18" s="714" t="s">
        <v>17</v>
      </c>
      <c r="S18" s="715">
        <f>F18</f>
        <v>100</v>
      </c>
      <c r="T18" s="714" t="s">
        <v>17</v>
      </c>
      <c r="U18" s="715">
        <f>H18</f>
        <v>100</v>
      </c>
      <c r="V18" s="714" t="s">
        <v>17</v>
      </c>
      <c r="W18" s="715">
        <f>J18</f>
        <v>100</v>
      </c>
      <c r="X18" s="1540"/>
      <c r="Y18" s="3322"/>
      <c r="Z18" s="1541" t="str">
        <f>Q18</f>
        <v>基础设施水平</v>
      </c>
      <c r="AA18" s="1538">
        <f>D18/F18</f>
        <v>1</v>
      </c>
      <c r="AB18" s="1538">
        <f>D18/H18</f>
        <v>1</v>
      </c>
      <c r="AC18" s="1538">
        <f>D18/J18</f>
        <v>1</v>
      </c>
    </row>
    <row r="19" spans="1:29" ht="15">
      <c r="A19" s="387"/>
      <c r="B19" s="1293"/>
      <c r="C19" s="2088"/>
      <c r="D19" s="409"/>
      <c r="E19" s="2088"/>
      <c r="F19" s="412"/>
      <c r="G19" s="2088"/>
      <c r="H19" s="407"/>
      <c r="I19" s="406"/>
      <c r="J19" s="407"/>
      <c r="K19" s="1292"/>
      <c r="L19" s="2952"/>
      <c r="M19" s="2946"/>
      <c r="N19" s="2946"/>
      <c r="O19" s="3004"/>
      <c r="P19" s="3322"/>
      <c r="Q19" s="1537"/>
      <c r="R19" s="714"/>
      <c r="S19" s="715"/>
      <c r="T19" s="714"/>
      <c r="U19" s="715"/>
      <c r="V19" s="714"/>
      <c r="W19" s="715"/>
      <c r="X19" s="1540"/>
      <c r="Y19" s="3322"/>
      <c r="Z19" s="1541"/>
      <c r="AA19" s="1538">
        <v>1</v>
      </c>
      <c r="AB19" s="1538">
        <v>1</v>
      </c>
      <c r="AC19" s="1538">
        <v>1</v>
      </c>
    </row>
    <row r="20" spans="1:29" ht="57">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22"/>
      <c r="Q20" s="1537" t="str">
        <f>B20</f>
        <v>自然及人文环境</v>
      </c>
      <c r="R20" s="714" t="s">
        <v>17</v>
      </c>
      <c r="S20" s="715">
        <f>F20</f>
        <v>100</v>
      </c>
      <c r="T20" s="714" t="s">
        <v>17</v>
      </c>
      <c r="U20" s="715">
        <f>H20</f>
        <v>100</v>
      </c>
      <c r="V20" s="714" t="s">
        <v>17</v>
      </c>
      <c r="W20" s="715">
        <f>J20</f>
        <v>100</v>
      </c>
      <c r="X20" s="1540"/>
      <c r="Y20" s="3322"/>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22"/>
      <c r="Q21" s="1537"/>
      <c r="R21" s="714"/>
      <c r="S21" s="715"/>
      <c r="T21" s="714"/>
      <c r="U21" s="715"/>
      <c r="V21" s="714"/>
      <c r="W21" s="715"/>
      <c r="X21" s="1540"/>
      <c r="Y21" s="3322"/>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22"/>
      <c r="Q22" s="1537" t="str">
        <f>B22</f>
        <v>楼层</v>
      </c>
      <c r="R22" s="714" t="s">
        <v>17</v>
      </c>
      <c r="S22" s="715">
        <f>F22</f>
        <v>100</v>
      </c>
      <c r="T22" s="714" t="s">
        <v>17</v>
      </c>
      <c r="U22" s="715">
        <f>H22</f>
        <v>100</v>
      </c>
      <c r="V22" s="714" t="s">
        <v>17</v>
      </c>
      <c r="W22" s="715">
        <f>J22</f>
        <v>100</v>
      </c>
      <c r="X22" s="1540"/>
      <c r="Y22" s="3322"/>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22"/>
      <c r="Q23" s="1537">
        <f>B23</f>
        <v>111</v>
      </c>
      <c r="R23" s="714" t="s">
        <v>17</v>
      </c>
      <c r="S23" s="715">
        <f>F23</f>
        <v>100</v>
      </c>
      <c r="T23" s="714" t="s">
        <v>17</v>
      </c>
      <c r="U23" s="715">
        <f>H23</f>
        <v>100</v>
      </c>
      <c r="V23" s="714" t="s">
        <v>17</v>
      </c>
      <c r="W23" s="715">
        <f>J23</f>
        <v>100</v>
      </c>
      <c r="X23" s="1540"/>
      <c r="Y23" s="3322"/>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22"/>
      <c r="Q24" s="1537">
        <f t="shared" ref="Q24:Q34" si="8">B24</f>
        <v>111</v>
      </c>
      <c r="R24" s="714" t="s">
        <v>17</v>
      </c>
      <c r="S24" s="715">
        <f>F24</f>
        <v>100</v>
      </c>
      <c r="T24" s="714" t="s">
        <v>17</v>
      </c>
      <c r="U24" s="715">
        <f>H24</f>
        <v>100</v>
      </c>
      <c r="V24" s="714" t="s">
        <v>17</v>
      </c>
      <c r="W24" s="715">
        <f>J24</f>
        <v>100</v>
      </c>
      <c r="X24" s="1540"/>
      <c r="Y24" s="3322"/>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22"/>
      <c r="Q25" s="1528">
        <f t="shared" si="8"/>
        <v>111</v>
      </c>
      <c r="R25" s="710" t="s">
        <v>17</v>
      </c>
      <c r="S25" s="711">
        <f>F25</f>
        <v>100</v>
      </c>
      <c r="T25" s="710" t="s">
        <v>17</v>
      </c>
      <c r="U25" s="711">
        <f>H25</f>
        <v>100</v>
      </c>
      <c r="V25" s="710" t="s">
        <v>17</v>
      </c>
      <c r="W25" s="711">
        <f>J25</f>
        <v>100</v>
      </c>
      <c r="X25" s="712"/>
      <c r="Y25" s="3322"/>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23" t="s">
        <v>2385</v>
      </c>
      <c r="Q26" s="1537" t="str">
        <f t="shared" si="8"/>
        <v>公共部分装修</v>
      </c>
      <c r="R26" s="714" t="s">
        <v>17</v>
      </c>
      <c r="S26" s="715">
        <f t="shared" ref="S26:S34" si="9">F26</f>
        <v>100</v>
      </c>
      <c r="T26" s="714" t="s">
        <v>17</v>
      </c>
      <c r="U26" s="715">
        <f t="shared" ref="U26:U34" si="10">H26</f>
        <v>100</v>
      </c>
      <c r="V26" s="714" t="s">
        <v>17</v>
      </c>
      <c r="W26" s="715">
        <f t="shared" ref="W26:W34" si="11">J26</f>
        <v>100</v>
      </c>
      <c r="X26" s="1540"/>
      <c r="Y26" s="3324" t="s">
        <v>2385</v>
      </c>
      <c r="Z26" s="1541" t="str">
        <f t="shared" ref="Z26:Z34" si="12">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24"/>
      <c r="Q27" s="716" t="str">
        <f t="shared" si="8"/>
        <v>成新率</v>
      </c>
      <c r="R27" s="717" t="s">
        <v>17</v>
      </c>
      <c r="S27" s="718" t="e">
        <f t="shared" si="9"/>
        <v>#N/A</v>
      </c>
      <c r="T27" s="717" t="s">
        <v>17</v>
      </c>
      <c r="U27" s="718" t="e">
        <f t="shared" si="10"/>
        <v>#N/A</v>
      </c>
      <c r="V27" s="717" t="s">
        <v>17</v>
      </c>
      <c r="W27" s="718" t="e">
        <f t="shared" si="11"/>
        <v>#N/A</v>
      </c>
      <c r="X27" s="719"/>
      <c r="Y27" s="3324"/>
      <c r="Z27" s="720" t="str">
        <f t="shared" si="12"/>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24"/>
      <c r="Q28" s="1537" t="str">
        <f t="shared" si="8"/>
        <v>物业等级</v>
      </c>
      <c r="R28" s="714" t="s">
        <v>17</v>
      </c>
      <c r="S28" s="715">
        <f t="shared" si="9"/>
        <v>100</v>
      </c>
      <c r="T28" s="714" t="s">
        <v>17</v>
      </c>
      <c r="U28" s="715">
        <f t="shared" si="10"/>
        <v>100</v>
      </c>
      <c r="V28" s="714" t="s">
        <v>17</v>
      </c>
      <c r="W28" s="715">
        <f t="shared" si="11"/>
        <v>100</v>
      </c>
      <c r="X28" s="1540"/>
      <c r="Y28" s="3324"/>
      <c r="Z28" s="1541" t="str">
        <f t="shared" si="12"/>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24"/>
      <c r="Q29" s="1537" t="str">
        <f t="shared" si="8"/>
        <v>有无电梯</v>
      </c>
      <c r="R29" s="714" t="s">
        <v>17</v>
      </c>
      <c r="S29" s="715">
        <f t="shared" si="9"/>
        <v>100</v>
      </c>
      <c r="T29" s="714" t="s">
        <v>17</v>
      </c>
      <c r="U29" s="715">
        <f t="shared" si="10"/>
        <v>100</v>
      </c>
      <c r="V29" s="714" t="s">
        <v>17</v>
      </c>
      <c r="W29" s="715">
        <f t="shared" si="11"/>
        <v>100</v>
      </c>
      <c r="X29" s="1540"/>
      <c r="Y29" s="3324"/>
      <c r="Z29" s="1541" t="str">
        <f t="shared" si="12"/>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24"/>
      <c r="Q30" s="1537" t="str">
        <f t="shared" si="8"/>
        <v>建筑面积</v>
      </c>
      <c r="R30" s="714" t="s">
        <v>17</v>
      </c>
      <c r="S30" s="715" t="e">
        <f t="shared" si="9"/>
        <v>#N/A</v>
      </c>
      <c r="T30" s="714" t="s">
        <v>17</v>
      </c>
      <c r="U30" s="715" t="e">
        <f t="shared" si="10"/>
        <v>#N/A</v>
      </c>
      <c r="V30" s="714" t="s">
        <v>17</v>
      </c>
      <c r="W30" s="715" t="e">
        <f t="shared" si="11"/>
        <v>#N/A</v>
      </c>
      <c r="X30" s="1540"/>
      <c r="Y30" s="3324"/>
      <c r="Z30" s="1541" t="str">
        <f t="shared" si="12"/>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24"/>
      <c r="Q31" s="1528" t="str">
        <f t="shared" si="8"/>
        <v>是否封闭</v>
      </c>
      <c r="R31" s="710" t="s">
        <v>17</v>
      </c>
      <c r="S31" s="711">
        <f t="shared" si="9"/>
        <v>100</v>
      </c>
      <c r="T31" s="710" t="s">
        <v>17</v>
      </c>
      <c r="U31" s="711">
        <f t="shared" si="10"/>
        <v>100</v>
      </c>
      <c r="V31" s="710" t="s">
        <v>17</v>
      </c>
      <c r="W31" s="711">
        <f t="shared" si="11"/>
        <v>100</v>
      </c>
      <c r="X31" s="712"/>
      <c r="Y31" s="3324"/>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24" t="s">
        <v>2385</v>
      </c>
      <c r="Q32" s="1537">
        <f t="shared" si="8"/>
        <v>111</v>
      </c>
      <c r="R32" s="714" t="s">
        <v>17</v>
      </c>
      <c r="S32" s="715">
        <f t="shared" si="9"/>
        <v>100</v>
      </c>
      <c r="T32" s="714" t="s">
        <v>17</v>
      </c>
      <c r="U32" s="715">
        <f t="shared" si="10"/>
        <v>100</v>
      </c>
      <c r="V32" s="714" t="s">
        <v>17</v>
      </c>
      <c r="W32" s="715">
        <f t="shared" si="11"/>
        <v>100</v>
      </c>
      <c r="X32" s="1540"/>
      <c r="Y32" s="3324" t="s">
        <v>2385</v>
      </c>
      <c r="Z32" s="1541">
        <f t="shared" si="12"/>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24"/>
      <c r="Q33" s="1537">
        <f t="shared" si="8"/>
        <v>111</v>
      </c>
      <c r="R33" s="714" t="s">
        <v>17</v>
      </c>
      <c r="S33" s="715">
        <f t="shared" si="9"/>
        <v>100</v>
      </c>
      <c r="T33" s="714" t="s">
        <v>17</v>
      </c>
      <c r="U33" s="715">
        <f t="shared" si="10"/>
        <v>100</v>
      </c>
      <c r="V33" s="714" t="s">
        <v>17</v>
      </c>
      <c r="W33" s="715">
        <f t="shared" si="11"/>
        <v>100</v>
      </c>
      <c r="X33" s="1540"/>
      <c r="Y33" s="3324"/>
      <c r="Z33" s="1541">
        <f t="shared" si="12"/>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24"/>
      <c r="Q34" s="1537">
        <f t="shared" si="8"/>
        <v>111</v>
      </c>
      <c r="R34" s="714" t="s">
        <v>17</v>
      </c>
      <c r="S34" s="715">
        <f t="shared" si="9"/>
        <v>100</v>
      </c>
      <c r="T34" s="714" t="s">
        <v>17</v>
      </c>
      <c r="U34" s="715">
        <f t="shared" si="10"/>
        <v>100</v>
      </c>
      <c r="V34" s="714" t="s">
        <v>17</v>
      </c>
      <c r="W34" s="715">
        <f t="shared" si="11"/>
        <v>100</v>
      </c>
      <c r="X34" s="1540"/>
      <c r="Y34" s="3324"/>
      <c r="Z34" s="1541">
        <f t="shared" si="12"/>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4"/>
      <c r="M35" s="2955"/>
      <c r="N35" s="2946"/>
      <c r="O35" s="2955"/>
      <c r="P35" s="3319" t="str">
        <f>A35</f>
        <v>成交单价（元/平方米）</v>
      </c>
      <c r="Q35" s="3319"/>
      <c r="R35" s="3390">
        <f>E35</f>
        <v>0</v>
      </c>
      <c r="S35" s="3390"/>
      <c r="T35" s="3390">
        <f>G35</f>
        <v>0</v>
      </c>
      <c r="U35" s="3390"/>
      <c r="V35" s="3390">
        <f>I35</f>
        <v>0</v>
      </c>
      <c r="W35" s="3390"/>
      <c r="X35" s="699"/>
      <c r="Y35" s="721"/>
      <c r="Z35" s="699"/>
      <c r="AA35" s="699"/>
      <c r="AB35" s="699"/>
      <c r="AC35" s="699"/>
    </row>
    <row r="36" spans="1:30" ht="15.75" thickBot="1">
      <c r="A36" s="445" t="s">
        <v>2489</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19" t="str">
        <f>A36</f>
        <v>比较价值（元/平方米）</v>
      </c>
      <c r="Q36" s="331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4"/>
      <c r="M37" s="2955"/>
      <c r="N37" s="2955"/>
      <c r="O37" s="2955"/>
      <c r="P37" s="3313" t="str">
        <f>A37</f>
        <v>估价对象XX用房的比较价值（楼面单价，元/平方米）</v>
      </c>
      <c r="Q37" s="3314"/>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2368</v>
      </c>
      <c r="B46" s="463"/>
      <c r="C46" s="1345" t="str">
        <f>YEAR(C7)&amp;"-"&amp;MONTH(C7)</f>
        <v>2020-12</v>
      </c>
      <c r="D46" s="1346">
        <f>EDATE(C46,-1)</f>
        <v>44136</v>
      </c>
      <c r="E46" s="1346">
        <f t="shared" ref="E46:O46" si="13">EDATE(D46,-1)</f>
        <v>44105</v>
      </c>
      <c r="F46" s="1346">
        <f t="shared" si="13"/>
        <v>44075</v>
      </c>
      <c r="G46" s="1346">
        <f t="shared" si="13"/>
        <v>44044</v>
      </c>
      <c r="H46" s="1346">
        <f t="shared" si="13"/>
        <v>44013</v>
      </c>
      <c r="I46" s="1346">
        <f t="shared" si="13"/>
        <v>43983</v>
      </c>
      <c r="J46" s="1346">
        <f t="shared" si="13"/>
        <v>43952</v>
      </c>
      <c r="K46" s="1346">
        <f t="shared" si="13"/>
        <v>43922</v>
      </c>
      <c r="L46" s="1346">
        <f t="shared" si="13"/>
        <v>43891</v>
      </c>
      <c r="M46" s="1346">
        <f t="shared" si="13"/>
        <v>43862</v>
      </c>
      <c r="N46" s="1346">
        <f t="shared" si="13"/>
        <v>43831</v>
      </c>
      <c r="O46" s="1346">
        <f t="shared" si="13"/>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413" t="s">
        <v>2617</v>
      </c>
      <c r="D6" s="3414"/>
      <c r="E6" s="3415" t="s">
        <v>2617</v>
      </c>
      <c r="F6" s="3416"/>
      <c r="G6" s="3413" t="s">
        <v>2617</v>
      </c>
      <c r="H6" s="3414"/>
      <c r="I6" s="3413" t="s">
        <v>2617</v>
      </c>
      <c r="J6" s="3414"/>
      <c r="K6" s="56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48"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9"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9"/>
      <c r="M10" s="2950"/>
      <c r="N10" s="2950"/>
      <c r="O10" s="3003"/>
      <c r="P10" s="3319"/>
      <c r="Q10" s="1528" t="str">
        <f t="shared" si="6"/>
        <v>土地使用年限（年）</v>
      </c>
      <c r="R10" s="710" t="s">
        <v>17</v>
      </c>
      <c r="S10" s="711">
        <f t="shared" si="0"/>
        <v>103</v>
      </c>
      <c r="T10" s="710" t="s">
        <v>17</v>
      </c>
      <c r="U10" s="711">
        <f t="shared" si="1"/>
        <v>103</v>
      </c>
      <c r="V10" s="710" t="s">
        <v>17</v>
      </c>
      <c r="W10" s="711">
        <f t="shared" si="2"/>
        <v>103</v>
      </c>
      <c r="X10" s="712"/>
      <c r="Y10" s="3213"/>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9"/>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9"/>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21" t="s">
        <v>2380</v>
      </c>
      <c r="Q15" s="1537" t="str">
        <f t="shared" si="6"/>
        <v>产业集聚程度</v>
      </c>
      <c r="R15" s="714" t="s">
        <v>17</v>
      </c>
      <c r="S15" s="715">
        <f t="shared" si="0"/>
        <v>100</v>
      </c>
      <c r="T15" s="714" t="s">
        <v>17</v>
      </c>
      <c r="U15" s="715">
        <f t="shared" si="1"/>
        <v>100</v>
      </c>
      <c r="V15" s="714" t="s">
        <v>17</v>
      </c>
      <c r="W15" s="715">
        <f t="shared" si="2"/>
        <v>100</v>
      </c>
      <c r="X15" s="1540"/>
      <c r="Y15" s="3321"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22"/>
      <c r="Q16" s="1537"/>
      <c r="R16" s="714"/>
      <c r="S16" s="715"/>
      <c r="T16" s="714"/>
      <c r="U16" s="715"/>
      <c r="V16" s="714"/>
      <c r="W16" s="715"/>
      <c r="X16" s="1540"/>
      <c r="Y16" s="3322"/>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22"/>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22"/>
      <c r="Q18" s="1537"/>
      <c r="R18" s="714"/>
      <c r="S18" s="715"/>
      <c r="T18" s="714"/>
      <c r="U18" s="715"/>
      <c r="V18" s="714"/>
      <c r="W18" s="715"/>
      <c r="X18" s="1540"/>
      <c r="Y18" s="3322"/>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22"/>
      <c r="Q19" s="1537" t="str">
        <f t="shared" ref="Q19:Q33" si="8">B19</f>
        <v>区域土地利用方向</v>
      </c>
      <c r="R19" s="714" t="s">
        <v>17</v>
      </c>
      <c r="S19" s="715">
        <f>F19</f>
        <v>100</v>
      </c>
      <c r="T19" s="714" t="s">
        <v>17</v>
      </c>
      <c r="U19" s="715">
        <f>H19</f>
        <v>100</v>
      </c>
      <c r="V19" s="714" t="s">
        <v>17</v>
      </c>
      <c r="W19" s="715">
        <f>J19</f>
        <v>100</v>
      </c>
      <c r="X19" s="1540"/>
      <c r="Y19" s="3322"/>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22"/>
      <c r="Q20" s="1537"/>
      <c r="R20" s="714"/>
      <c r="S20" s="715"/>
      <c r="T20" s="714"/>
      <c r="U20" s="715"/>
      <c r="V20" s="714"/>
      <c r="W20" s="715"/>
      <c r="X20" s="1540"/>
      <c r="Y20" s="3322"/>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22"/>
      <c r="Q21" s="1537" t="str">
        <f t="shared" si="8"/>
        <v>环境状况</v>
      </c>
      <c r="R21" s="714" t="s">
        <v>17</v>
      </c>
      <c r="S21" s="715">
        <f>F21</f>
        <v>100</v>
      </c>
      <c r="T21" s="714" t="s">
        <v>17</v>
      </c>
      <c r="U21" s="715">
        <f>H21</f>
        <v>100</v>
      </c>
      <c r="V21" s="714" t="s">
        <v>17</v>
      </c>
      <c r="W21" s="715">
        <f>J21</f>
        <v>100</v>
      </c>
      <c r="X21" s="1540"/>
      <c r="Y21" s="3322"/>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22"/>
      <c r="Q22" s="1537"/>
      <c r="R22" s="714"/>
      <c r="S22" s="715"/>
      <c r="T22" s="714"/>
      <c r="U22" s="715"/>
      <c r="V22" s="714"/>
      <c r="W22" s="715"/>
      <c r="X22" s="1540"/>
      <c r="Y22" s="3322"/>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22"/>
      <c r="Q23" s="1528" t="str">
        <f t="shared" si="8"/>
        <v>公共配套设施</v>
      </c>
      <c r="R23" s="710" t="s">
        <v>17</v>
      </c>
      <c r="S23" s="711">
        <f>F23</f>
        <v>100</v>
      </c>
      <c r="T23" s="710" t="s">
        <v>17</v>
      </c>
      <c r="U23" s="711">
        <f>H23</f>
        <v>100</v>
      </c>
      <c r="V23" s="710" t="s">
        <v>17</v>
      </c>
      <c r="W23" s="711">
        <f>J23</f>
        <v>100</v>
      </c>
      <c r="X23" s="712"/>
      <c r="Y23" s="3322"/>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22"/>
      <c r="Q24" s="1528"/>
      <c r="R24" s="710"/>
      <c r="S24" s="711"/>
      <c r="T24" s="710"/>
      <c r="U24" s="711"/>
      <c r="V24" s="710"/>
      <c r="W24" s="711"/>
      <c r="X24" s="712"/>
      <c r="Y24" s="3322"/>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22"/>
      <c r="Q25" s="1528" t="str">
        <f>B25</f>
        <v>基础设施水平</v>
      </c>
      <c r="R25" s="710" t="s">
        <v>17</v>
      </c>
      <c r="S25" s="711">
        <f>F25</f>
        <v>100</v>
      </c>
      <c r="T25" s="710" t="s">
        <v>17</v>
      </c>
      <c r="U25" s="711">
        <f>H25</f>
        <v>100</v>
      </c>
      <c r="V25" s="710" t="s">
        <v>17</v>
      </c>
      <c r="W25" s="711">
        <f>J25</f>
        <v>100</v>
      </c>
      <c r="X25" s="712"/>
      <c r="Y25" s="3322"/>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22"/>
      <c r="Q26" s="1528"/>
      <c r="R26" s="710"/>
      <c r="S26" s="711"/>
      <c r="T26" s="710"/>
      <c r="U26" s="711"/>
      <c r="V26" s="710"/>
      <c r="W26" s="711"/>
      <c r="X26" s="712"/>
      <c r="Y26" s="3322"/>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22"/>
      <c r="Q27" s="1537" t="str">
        <f t="shared" si="8"/>
        <v>临街状况</v>
      </c>
      <c r="R27" s="714" t="s">
        <v>17</v>
      </c>
      <c r="S27" s="715">
        <f t="shared" ref="S27:S40" si="9">F27</f>
        <v>100</v>
      </c>
      <c r="T27" s="714" t="s">
        <v>17</v>
      </c>
      <c r="U27" s="715">
        <f t="shared" ref="U27:U40" si="10">H27</f>
        <v>100</v>
      </c>
      <c r="V27" s="714" t="s">
        <v>17</v>
      </c>
      <c r="W27" s="715">
        <f t="shared" ref="W27:W40" si="11">J27</f>
        <v>100</v>
      </c>
      <c r="X27" s="1540"/>
      <c r="Y27" s="3322"/>
      <c r="Z27" s="1541" t="str">
        <f t="shared" ref="Z27:Z40" si="12">Q27</f>
        <v>临街状况</v>
      </c>
      <c r="AA27" s="1538">
        <f t="shared" si="3"/>
        <v>1</v>
      </c>
      <c r="AB27" s="1538">
        <f t="shared" si="4"/>
        <v>1</v>
      </c>
      <c r="AC27" s="1538">
        <f t="shared" si="5"/>
        <v>1</v>
      </c>
    </row>
    <row r="28" spans="1:29" ht="27">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22"/>
      <c r="Q28" s="1537" t="str">
        <f t="shared" si="8"/>
        <v>毗邻道路的类型与等级</v>
      </c>
      <c r="R28" s="714" t="s">
        <v>17</v>
      </c>
      <c r="S28" s="715">
        <f t="shared" si="9"/>
        <v>100</v>
      </c>
      <c r="T28" s="714" t="s">
        <v>17</v>
      </c>
      <c r="U28" s="715">
        <f t="shared" si="10"/>
        <v>100</v>
      </c>
      <c r="V28" s="714" t="s">
        <v>17</v>
      </c>
      <c r="W28" s="715">
        <f t="shared" si="11"/>
        <v>100</v>
      </c>
      <c r="X28" s="1540"/>
      <c r="Y28" s="3322"/>
      <c r="Z28" s="1541" t="str">
        <f t="shared" si="12"/>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22"/>
      <c r="Q29" s="1537"/>
      <c r="R29" s="714"/>
      <c r="S29" s="715"/>
      <c r="T29" s="714"/>
      <c r="U29" s="715"/>
      <c r="V29" s="714"/>
      <c r="W29" s="715"/>
      <c r="X29" s="1540"/>
      <c r="Y29" s="3322"/>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22"/>
      <c r="Q30" s="1537" t="str">
        <f t="shared" si="8"/>
        <v>土地级别</v>
      </c>
      <c r="R30" s="714" t="s">
        <v>17</v>
      </c>
      <c r="S30" s="715">
        <f t="shared" si="9"/>
        <v>100</v>
      </c>
      <c r="T30" s="714" t="s">
        <v>17</v>
      </c>
      <c r="U30" s="715">
        <f t="shared" si="10"/>
        <v>100</v>
      </c>
      <c r="V30" s="714" t="s">
        <v>17</v>
      </c>
      <c r="W30" s="715">
        <f t="shared" si="11"/>
        <v>100</v>
      </c>
      <c r="X30" s="1540"/>
      <c r="Y30" s="3322"/>
      <c r="Z30" s="1541" t="str">
        <f t="shared" si="12"/>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22"/>
      <c r="Q31" s="1537">
        <f t="shared" si="8"/>
        <v>111</v>
      </c>
      <c r="R31" s="714" t="s">
        <v>17</v>
      </c>
      <c r="S31" s="715">
        <f t="shared" si="9"/>
        <v>100</v>
      </c>
      <c r="T31" s="714" t="s">
        <v>17</v>
      </c>
      <c r="U31" s="715">
        <f t="shared" si="10"/>
        <v>100</v>
      </c>
      <c r="V31" s="714" t="s">
        <v>17</v>
      </c>
      <c r="W31" s="715">
        <f t="shared" si="11"/>
        <v>100</v>
      </c>
      <c r="X31" s="1540"/>
      <c r="Y31" s="3322"/>
      <c r="Z31" s="1541">
        <f t="shared" si="12"/>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23" t="s">
        <v>2385</v>
      </c>
      <c r="Q32" s="1537">
        <f t="shared" si="8"/>
        <v>111</v>
      </c>
      <c r="R32" s="714" t="s">
        <v>17</v>
      </c>
      <c r="S32" s="715">
        <f t="shared" si="9"/>
        <v>100</v>
      </c>
      <c r="T32" s="714" t="s">
        <v>17</v>
      </c>
      <c r="U32" s="715">
        <f t="shared" si="10"/>
        <v>100</v>
      </c>
      <c r="V32" s="714" t="s">
        <v>17</v>
      </c>
      <c r="W32" s="715">
        <f t="shared" si="11"/>
        <v>100</v>
      </c>
      <c r="X32" s="1540"/>
      <c r="Y32" s="3324" t="s">
        <v>2385</v>
      </c>
      <c r="Z32" s="1541">
        <f t="shared" si="12"/>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24"/>
      <c r="Q33" s="1537">
        <f t="shared" si="8"/>
        <v>111</v>
      </c>
      <c r="R33" s="717" t="s">
        <v>17</v>
      </c>
      <c r="S33" s="718">
        <f t="shared" si="9"/>
        <v>100</v>
      </c>
      <c r="T33" s="717" t="s">
        <v>17</v>
      </c>
      <c r="U33" s="718">
        <f t="shared" si="10"/>
        <v>100</v>
      </c>
      <c r="V33" s="717" t="s">
        <v>17</v>
      </c>
      <c r="W33" s="718">
        <f t="shared" si="11"/>
        <v>100</v>
      </c>
      <c r="X33" s="719"/>
      <c r="Y33" s="3324"/>
      <c r="Z33" s="720">
        <f t="shared" si="12"/>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24"/>
      <c r="Q34" s="1537" t="str">
        <f>B34</f>
        <v>宗地面积</v>
      </c>
      <c r="R34" s="714" t="s">
        <v>17</v>
      </c>
      <c r="S34" s="715" t="e">
        <f t="shared" si="9"/>
        <v>#N/A</v>
      </c>
      <c r="T34" s="714" t="s">
        <v>17</v>
      </c>
      <c r="U34" s="715" t="e">
        <f t="shared" si="10"/>
        <v>#N/A</v>
      </c>
      <c r="V34" s="714" t="s">
        <v>17</v>
      </c>
      <c r="W34" s="715" t="e">
        <f t="shared" si="11"/>
        <v>#N/A</v>
      </c>
      <c r="X34" s="1540"/>
      <c r="Y34" s="3324"/>
      <c r="Z34" s="1541" t="str">
        <f t="shared" si="12"/>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24"/>
      <c r="Q35" s="1537" t="str">
        <f t="shared" ref="Q35:Q40" si="13">B35</f>
        <v>宗地形状</v>
      </c>
      <c r="R35" s="714" t="s">
        <v>17</v>
      </c>
      <c r="S35" s="715">
        <f t="shared" si="9"/>
        <v>100</v>
      </c>
      <c r="T35" s="714" t="s">
        <v>17</v>
      </c>
      <c r="U35" s="715">
        <f t="shared" si="10"/>
        <v>100</v>
      </c>
      <c r="V35" s="714" t="s">
        <v>17</v>
      </c>
      <c r="W35" s="715">
        <f t="shared" si="11"/>
        <v>100</v>
      </c>
      <c r="X35" s="1540"/>
      <c r="Y35" s="3324"/>
      <c r="Z35" s="1541" t="str">
        <f t="shared" si="12"/>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24"/>
      <c r="Q36" s="1537" t="str">
        <f t="shared" si="13"/>
        <v>宗地开发程度</v>
      </c>
      <c r="R36" s="710" t="s">
        <v>17</v>
      </c>
      <c r="S36" s="711">
        <f t="shared" si="9"/>
        <v>100</v>
      </c>
      <c r="T36" s="710" t="s">
        <v>17</v>
      </c>
      <c r="U36" s="711">
        <f t="shared" si="10"/>
        <v>100</v>
      </c>
      <c r="V36" s="710" t="s">
        <v>17</v>
      </c>
      <c r="W36" s="711">
        <f t="shared" si="11"/>
        <v>100</v>
      </c>
      <c r="X36" s="712"/>
      <c r="Y36" s="3324"/>
      <c r="Z36" s="55" t="str">
        <f t="shared" si="12"/>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24" t="s">
        <v>2385</v>
      </c>
      <c r="Q37" s="1537" t="str">
        <f t="shared" si="13"/>
        <v>工程地质条件</v>
      </c>
      <c r="R37" s="714" t="s">
        <v>17</v>
      </c>
      <c r="S37" s="715">
        <f t="shared" si="9"/>
        <v>100</v>
      </c>
      <c r="T37" s="714" t="s">
        <v>17</v>
      </c>
      <c r="U37" s="715">
        <f t="shared" si="10"/>
        <v>100</v>
      </c>
      <c r="V37" s="714" t="s">
        <v>17</v>
      </c>
      <c r="W37" s="715">
        <f t="shared" si="11"/>
        <v>100</v>
      </c>
      <c r="X37" s="1540"/>
      <c r="Y37" s="3324" t="s">
        <v>2385</v>
      </c>
      <c r="Z37" s="1541" t="str">
        <f t="shared" si="12"/>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24"/>
      <c r="Q38" s="1537">
        <f t="shared" si="13"/>
        <v>111</v>
      </c>
      <c r="R38" s="714" t="s">
        <v>17</v>
      </c>
      <c r="S38" s="715">
        <f t="shared" si="9"/>
        <v>100</v>
      </c>
      <c r="T38" s="714" t="s">
        <v>17</v>
      </c>
      <c r="U38" s="715">
        <f t="shared" si="10"/>
        <v>100</v>
      </c>
      <c r="V38" s="714" t="s">
        <v>17</v>
      </c>
      <c r="W38" s="715">
        <f t="shared" si="11"/>
        <v>100</v>
      </c>
      <c r="X38" s="1540"/>
      <c r="Y38" s="3324"/>
      <c r="Z38" s="1541">
        <f t="shared" si="12"/>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24"/>
      <c r="Q39" s="1537">
        <f t="shared" si="13"/>
        <v>111</v>
      </c>
      <c r="R39" s="714" t="s">
        <v>17</v>
      </c>
      <c r="S39" s="715">
        <f t="shared" si="9"/>
        <v>100</v>
      </c>
      <c r="T39" s="714" t="s">
        <v>17</v>
      </c>
      <c r="U39" s="715">
        <f t="shared" si="10"/>
        <v>100</v>
      </c>
      <c r="V39" s="714" t="s">
        <v>17</v>
      </c>
      <c r="W39" s="715">
        <f t="shared" si="11"/>
        <v>100</v>
      </c>
      <c r="X39" s="1540"/>
      <c r="Y39" s="3324"/>
      <c r="Z39" s="1541">
        <f t="shared" si="12"/>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24"/>
      <c r="Q40" s="1537">
        <f t="shared" si="13"/>
        <v>111</v>
      </c>
      <c r="R40" s="717" t="s">
        <v>17</v>
      </c>
      <c r="S40" s="718">
        <f t="shared" si="9"/>
        <v>100</v>
      </c>
      <c r="T40" s="717" t="s">
        <v>17</v>
      </c>
      <c r="U40" s="718">
        <f t="shared" si="10"/>
        <v>100</v>
      </c>
      <c r="V40" s="717" t="s">
        <v>17</v>
      </c>
      <c r="W40" s="718">
        <f t="shared" si="11"/>
        <v>100</v>
      </c>
      <c r="X40" s="719"/>
      <c r="Y40" s="3324"/>
      <c r="Z40" s="720">
        <f t="shared" si="12"/>
        <v>111</v>
      </c>
      <c r="AA40" s="1538">
        <f t="shared" si="3"/>
        <v>1</v>
      </c>
      <c r="AB40" s="1538">
        <f t="shared" si="4"/>
        <v>1</v>
      </c>
      <c r="AC40" s="1538">
        <f t="shared" si="5"/>
        <v>1</v>
      </c>
    </row>
    <row r="41" spans="1:31" ht="15">
      <c r="A41" s="438" t="s">
        <v>2540</v>
      </c>
      <c r="B41" s="2169" t="s">
        <v>2620</v>
      </c>
      <c r="C41" s="638" t="s">
        <v>1</v>
      </c>
      <c r="D41" s="440"/>
      <c r="E41" s="441"/>
      <c r="F41" s="442"/>
      <c r="G41" s="443"/>
      <c r="H41" s="444"/>
      <c r="I41" s="441"/>
      <c r="J41" s="444"/>
      <c r="K41" s="723"/>
      <c r="L41" s="2954"/>
      <c r="M41" s="2946"/>
      <c r="N41" s="2946"/>
      <c r="O41" s="2955"/>
      <c r="P41" s="3319" t="str">
        <f>A41</f>
        <v>成交单价</v>
      </c>
      <c r="Q41" s="3319"/>
      <c r="R41" s="3325">
        <f>E41</f>
        <v>0</v>
      </c>
      <c r="S41" s="3325"/>
      <c r="T41" s="3325">
        <f>G41</f>
        <v>0</v>
      </c>
      <c r="U41" s="3325"/>
      <c r="V41" s="3325">
        <f>I41</f>
        <v>0</v>
      </c>
      <c r="W41" s="3325"/>
      <c r="X41" s="699"/>
      <c r="Y41" s="721"/>
      <c r="Z41" s="699"/>
      <c r="AA41" s="699"/>
      <c r="AB41" s="699"/>
      <c r="AC41" s="699"/>
    </row>
    <row r="42" spans="1:31" ht="15.75" thickBot="1">
      <c r="A42" s="445" t="s">
        <v>2489</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319" t="str">
        <f>A42</f>
        <v>比较价值（元/平方米）</v>
      </c>
      <c r="Q42" s="3319"/>
      <c r="R42" s="3312" t="e">
        <f>ROUND(PRODUCT(R41,AA7:AA40),0)</f>
        <v>#DIV/0!</v>
      </c>
      <c r="S42" s="3312"/>
      <c r="T42" s="3312" t="e">
        <f>ROUND(PRODUCT(T41,AB7:AB40),0)</f>
        <v>#DIV/0!</v>
      </c>
      <c r="U42" s="3312"/>
      <c r="V42" s="3312" t="e">
        <f>ROUND(PRODUCT(V41,AC7:AC40),0)</f>
        <v>#DIV/0!</v>
      </c>
      <c r="W42" s="3312"/>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4"/>
      <c r="M43" s="2946"/>
      <c r="N43" s="2946"/>
      <c r="O43" s="2955"/>
      <c r="P43" s="3313" t="str">
        <f>A43</f>
        <v>估价对象XX用房的比较价值（楼面单价，元/平方米）</v>
      </c>
      <c r="Q43" s="3314"/>
      <c r="R43" s="3315" t="e">
        <f>ROUND(IF(D42="简单平均",AVERAGE(R42:W42),R42*F42+T42*H42+V42*J42),0)</f>
        <v>#DIV/0!</v>
      </c>
      <c r="S43" s="3315"/>
      <c r="T43" s="3315"/>
      <c r="U43" s="3315"/>
      <c r="V43" s="3315"/>
      <c r="W43" s="3315"/>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2578</v>
      </c>
      <c r="B50" s="641" t="s">
        <v>2579</v>
      </c>
      <c r="C50" s="2170" t="s">
        <v>2580</v>
      </c>
      <c r="D50" s="2171" t="s">
        <v>2581</v>
      </c>
      <c r="E50" s="642" t="s">
        <v>2582</v>
      </c>
      <c r="F50" s="643" t="s">
        <v>2583</v>
      </c>
      <c r="G50" s="3316" t="s">
        <v>2584</v>
      </c>
      <c r="H50" s="3317"/>
      <c r="I50" s="1541" t="s">
        <v>2621</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t="e">
        <f>C43</f>
        <v>#DIV/0!</v>
      </c>
      <c r="C51" s="646">
        <v>1</v>
      </c>
      <c r="D51" s="1075">
        <v>1</v>
      </c>
      <c r="E51" s="646">
        <f>'数据-汇总表'!E8+'数据-汇总表'!E9</f>
        <v>122781.64</v>
      </c>
      <c r="F51" s="647" t="e">
        <f t="shared" ref="F51:F60" si="14">ROUND(B51*E51/10000,0)</f>
        <v>#DIV/0!</v>
      </c>
      <c r="G51" s="3318"/>
      <c r="H51" s="331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t="e">
        <f>ROUND($C$43*C52*D52,0)</f>
        <v>#DIV/0!</v>
      </c>
      <c r="C52" s="176">
        <f t="shared" ref="C52:C60" si="15">IF($C$50="北京市系数",I52,J52)</f>
        <v>0.6</v>
      </c>
      <c r="D52" s="1076">
        <v>0.25</v>
      </c>
      <c r="E52" s="650"/>
      <c r="F52" s="647" t="e">
        <f t="shared" si="14"/>
        <v>#DIV/0!</v>
      </c>
      <c r="G52" s="3320" t="s">
        <v>2589</v>
      </c>
      <c r="H52" s="1018" t="str">
        <f>项目基本情况!B37</f>
        <v>八级</v>
      </c>
      <c r="I52" s="879">
        <f>SUMIF(修正!A45:A56,H52,修正!B45:B56)</f>
        <v>0.6</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t="e">
        <f t="shared" ref="B53:B60" si="16">ROUND($C$43*C53*D53,0)</f>
        <v>#DIV/0!</v>
      </c>
      <c r="C53" s="176">
        <f t="shared" si="15"/>
        <v>0.3</v>
      </c>
      <c r="D53" s="1076">
        <v>0.25</v>
      </c>
      <c r="E53" s="650"/>
      <c r="F53" s="647" t="e">
        <f t="shared" si="14"/>
        <v>#DIV/0!</v>
      </c>
      <c r="G53" s="3320"/>
      <c r="H53" s="1018" t="str">
        <f>项目基本情况!B37</f>
        <v>八级</v>
      </c>
      <c r="I53" s="879">
        <f>SUMIF(修正!A45:A56,H53,修正!C45:C56)</f>
        <v>0.3</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t="e">
        <f t="shared" si="16"/>
        <v>#DIV/0!</v>
      </c>
      <c r="C54" s="176">
        <f t="shared" si="15"/>
        <v>0.2</v>
      </c>
      <c r="D54" s="1076">
        <v>0.25</v>
      </c>
      <c r="E54" s="650"/>
      <c r="F54" s="647" t="e">
        <f t="shared" si="14"/>
        <v>#DIV/0!</v>
      </c>
      <c r="G54" s="3320"/>
      <c r="H54" s="1018" t="str">
        <f>项目基本情况!B37</f>
        <v>八级</v>
      </c>
      <c r="I54" s="879">
        <f>SUMIF(修正!A45:A56,H54,修正!D45:D56)</f>
        <v>0.2</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t="e">
        <f t="shared" si="16"/>
        <v>#DIV/0!</v>
      </c>
      <c r="C55" s="176">
        <f t="shared" si="15"/>
        <v>0.2</v>
      </c>
      <c r="D55" s="1076">
        <v>0.25</v>
      </c>
      <c r="E55" s="650"/>
      <c r="F55" s="647" t="e">
        <f t="shared" si="14"/>
        <v>#DIV/0!</v>
      </c>
      <c r="G55" s="3320"/>
      <c r="H55" s="1018" t="str">
        <f>项目基本情况!B37</f>
        <v>八级</v>
      </c>
      <c r="I55" s="879">
        <f>SUMIF(修正!A45:A56,H55,修正!E45:E56)</f>
        <v>0.2</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t="e">
        <f t="shared" si="16"/>
        <v>#DIV/0!</v>
      </c>
      <c r="C56" s="176">
        <f t="shared" si="15"/>
        <v>0.2</v>
      </c>
      <c r="D56" s="1076">
        <v>0.25</v>
      </c>
      <c r="E56" s="223">
        <f>'数据-汇总表'!E11</f>
        <v>0</v>
      </c>
      <c r="F56" s="647" t="e">
        <f t="shared" si="14"/>
        <v>#DIV/0!</v>
      </c>
      <c r="G56" s="2174" t="s">
        <v>2594</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t="e">
        <f t="shared" si="16"/>
        <v>#DIV/0!</v>
      </c>
      <c r="C57" s="176">
        <f t="shared" si="15"/>
        <v>0.2</v>
      </c>
      <c r="D57" s="1076">
        <v>0.25</v>
      </c>
      <c r="E57" s="223">
        <f>'数据-汇总表'!E12</f>
        <v>0</v>
      </c>
      <c r="F57" s="647" t="e">
        <f t="shared" si="14"/>
        <v>#DIV/0!</v>
      </c>
      <c r="G57" s="1023" t="s">
        <v>2596</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t="e">
        <f t="shared" si="16"/>
        <v>#DIV/0!</v>
      </c>
      <c r="C58" s="176">
        <f t="shared" si="15"/>
        <v>0</v>
      </c>
      <c r="D58" s="1076">
        <v>0.25</v>
      </c>
      <c r="E58" s="223">
        <f>'数据-汇总表'!E13</f>
        <v>0</v>
      </c>
      <c r="F58" s="647" t="e">
        <f t="shared" si="14"/>
        <v>#DIV/0!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t="e">
        <f t="shared" si="16"/>
        <v>#DIV/0!</v>
      </c>
      <c r="C59" s="176">
        <f t="shared" si="15"/>
        <v>0.15</v>
      </c>
      <c r="D59" s="1076">
        <v>0.25</v>
      </c>
      <c r="E59" s="223">
        <f>'数据-汇总表'!E14</f>
        <v>0</v>
      </c>
      <c r="F59" s="647" t="e">
        <f t="shared" si="14"/>
        <v>#DIV/0!</v>
      </c>
      <c r="G59" s="2174" t="s">
        <v>2589</v>
      </c>
      <c r="H59" s="1018" t="str">
        <f>项目基本情况!B37</f>
        <v>八级</v>
      </c>
      <c r="I59" s="879">
        <f>SUMIF(修正!A45:A56,H59,修正!H45:H56)</f>
        <v>0.15</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2600</v>
      </c>
      <c r="B60" s="224" t="e">
        <f t="shared" si="16"/>
        <v>#DIV/0!</v>
      </c>
      <c r="C60" s="176">
        <f t="shared" si="15"/>
        <v>0.15</v>
      </c>
      <c r="D60" s="1076">
        <v>0.25</v>
      </c>
      <c r="E60" s="223">
        <f>'数据-汇总表'!E15</f>
        <v>16838.349999999999</v>
      </c>
      <c r="F60" s="647" t="e">
        <f t="shared" si="14"/>
        <v>#DIV/0!</v>
      </c>
      <c r="G60" s="2175" t="s">
        <v>2594</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2601</v>
      </c>
      <c r="B61" s="652" t="s">
        <v>28</v>
      </c>
      <c r="C61" s="652" t="s">
        <v>29</v>
      </c>
      <c r="D61" s="652" t="s">
        <v>997</v>
      </c>
      <c r="E61" s="652">
        <f>IF(B41="楼面地价",SUM(E51:E60),'数据-汇总表'!D3)</f>
        <v>49477.2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7">EDATE(E63,-3)</f>
        <v>43891</v>
      </c>
      <c r="G63" s="701">
        <f t="shared" si="17"/>
        <v>43800</v>
      </c>
      <c r="H63" s="701">
        <f t="shared" si="17"/>
        <v>43709</v>
      </c>
      <c r="I63" s="701">
        <f t="shared" si="17"/>
        <v>43617</v>
      </c>
      <c r="J63" s="701">
        <f t="shared" si="17"/>
        <v>43525</v>
      </c>
      <c r="K63" s="701">
        <f t="shared" si="17"/>
        <v>43435</v>
      </c>
      <c r="L63" s="701">
        <f t="shared" si="17"/>
        <v>43344</v>
      </c>
      <c r="M63" s="701">
        <f t="shared" si="17"/>
        <v>43252</v>
      </c>
      <c r="N63" s="701">
        <f t="shared" si="17"/>
        <v>43160</v>
      </c>
      <c r="O63" s="701">
        <f t="shared" si="17"/>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2602</v>
      </c>
      <c r="B65" s="1269"/>
      <c r="C65" s="1343" t="str">
        <f>YEAR(C63)&amp;"-"&amp;ROUNDUP(MONTH(C63)/3,0)</f>
        <v>2020-4</v>
      </c>
      <c r="D65" s="1343" t="str">
        <f t="shared" ref="D65:O65" si="18">YEAR(D63)&amp;"-"&amp;ROUNDUP(MONTH(D63)/3,0)</f>
        <v>2020-3</v>
      </c>
      <c r="E65" s="1343" t="str">
        <f t="shared" si="18"/>
        <v>2020-2</v>
      </c>
      <c r="F65" s="1343" t="str">
        <f t="shared" si="18"/>
        <v>2020-1</v>
      </c>
      <c r="G65" s="1343" t="str">
        <f t="shared" si="18"/>
        <v>2019-4</v>
      </c>
      <c r="H65" s="1343" t="str">
        <f t="shared" si="18"/>
        <v>2019-3</v>
      </c>
      <c r="I65" s="1343" t="str">
        <f t="shared" si="18"/>
        <v>2019-2</v>
      </c>
      <c r="J65" s="1343" t="str">
        <f t="shared" si="18"/>
        <v>2019-1</v>
      </c>
      <c r="K65" s="1343" t="str">
        <f t="shared" si="18"/>
        <v>2018-4</v>
      </c>
      <c r="L65" s="1343" t="str">
        <f t="shared" si="18"/>
        <v>2018-3</v>
      </c>
      <c r="M65" s="1343" t="str">
        <f t="shared" si="18"/>
        <v>2018-2</v>
      </c>
      <c r="N65" s="1343" t="str">
        <f t="shared" si="18"/>
        <v>2018-1</v>
      </c>
      <c r="O65" s="1343" t="str">
        <f t="shared" si="18"/>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2622</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2408</v>
      </c>
      <c r="B70" s="485" t="s">
        <v>2374</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2378</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2383</v>
      </c>
      <c r="B107" s="485" t="s">
        <v>2611</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4" t="str">
        <f t="shared" si="24"/>
        <v>(含)-</v>
      </c>
      <c r="L107" s="1504" t="str">
        <f t="shared" si="24"/>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K10" sqref="K1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141515.38</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f ca="1">C26</f>
        <v>76457</v>
      </c>
      <c r="C2" s="2186" t="s">
        <v>2633</v>
      </c>
      <c r="D2" s="2187" t="s">
        <v>2634</v>
      </c>
      <c r="E2" s="2188" t="s">
        <v>27</v>
      </c>
      <c r="F2" s="2187" t="s">
        <v>2635</v>
      </c>
      <c r="G2" s="2189" t="str">
        <f>IF(E2="商业",项目基本情况!B37,IF(E2="办公",项目基本情况!C37,IF(E2="住宅",项目基本情况!D37,项目基本情况!E37)))</f>
        <v>八级</v>
      </c>
      <c r="H2" s="2187" t="s">
        <v>2636</v>
      </c>
      <c r="I2" s="2189" t="str">
        <f>IF(E2="商业",项目基本情况!B38,IF(E2="办公",项目基本情况!C38,IF(E2="住宅",项目基本情况!D38,项目基本情况!E38)))</f>
        <v>Ⅷ-顺1</v>
      </c>
      <c r="J2" s="2190"/>
      <c r="K2" s="1280"/>
      <c r="L2" s="2191"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1.9419999999999999</v>
      </c>
      <c r="T2" s="1373">
        <f ca="1">ROUND($C$5*$C$18*$C$19*$C$20*S2*$C$24,0)</f>
        <v>12547</v>
      </c>
      <c r="U2" s="1374"/>
      <c r="V2" s="1373">
        <f ca="1">ROUND(T2*U2/10000,0)</f>
        <v>0</v>
      </c>
      <c r="W2" s="1377"/>
      <c r="X2" s="1377"/>
      <c r="Y2" s="1377"/>
      <c r="Z2" s="1377"/>
      <c r="AA2" s="1377"/>
      <c r="AB2" s="1377"/>
      <c r="AC2" s="1378"/>
      <c r="AD2" s="1379"/>
      <c r="AE2" s="1379"/>
      <c r="AF2" s="1379"/>
      <c r="AG2" s="1379"/>
      <c r="AH2" s="1379"/>
      <c r="AI2" s="1379"/>
      <c r="AJ2" s="1380"/>
    </row>
    <row r="3" spans="1:36" ht="15.75">
      <c r="A3" s="209" t="s">
        <v>2638</v>
      </c>
      <c r="B3" s="210">
        <f ca="1">ROUND(B2*10000/D1,0)</f>
        <v>5403</v>
      </c>
      <c r="C3" s="2186" t="s">
        <v>2639</v>
      </c>
      <c r="D3" s="2187" t="s">
        <v>2640</v>
      </c>
      <c r="E3" s="2192" t="s">
        <v>3324</v>
      </c>
      <c r="F3" s="2193" t="s">
        <v>2641</v>
      </c>
      <c r="G3" s="855">
        <f>IF(F3="宗地容积率",'数据-汇总表'!I4,IF(F3="估价对象容积率",'数据-汇总表'!I6,'数据-汇总表'!I7))</f>
        <v>2.48</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1.2799</v>
      </c>
      <c r="T3" s="1373">
        <f t="shared" ref="T3:T16" ca="1" si="0">ROUND($C$5*$C$18*$C$19*$C$20*S3*$C$24,0)</f>
        <v>8269</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420"/>
      <c r="B4" s="3421"/>
      <c r="C4" s="3421"/>
      <c r="D4" s="3422"/>
      <c r="E4" s="3422"/>
      <c r="F4" s="3422"/>
      <c r="G4" s="3422"/>
      <c r="H4" s="3422"/>
      <c r="I4" s="3422"/>
      <c r="J4" s="3423"/>
      <c r="K4" s="1280"/>
      <c r="L4" s="2191"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1.0072000000000001</v>
      </c>
      <c r="T4" s="1373">
        <f t="shared" ca="1" si="0"/>
        <v>6507</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5480</v>
      </c>
      <c r="D5" s="1524">
        <f>ROUND(C6+C16,0)</f>
        <v>5480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0.75249999999999995</v>
      </c>
      <c r="T5" s="1373">
        <f t="shared" ca="1" si="0"/>
        <v>4862</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5480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0.56589999999999996</v>
      </c>
      <c r="T6" s="1373">
        <f t="shared" ca="1" si="0"/>
        <v>3656</v>
      </c>
      <c r="U6" s="1374"/>
      <c r="V6" s="1373">
        <f t="shared" ca="1" si="1"/>
        <v>0</v>
      </c>
      <c r="W6" s="1377"/>
      <c r="X6" s="1377"/>
      <c r="Y6" s="1377"/>
      <c r="Z6" s="1377"/>
      <c r="AA6" s="1377"/>
      <c r="AB6" s="1377"/>
      <c r="AC6" s="2200"/>
      <c r="AD6" s="2201"/>
      <c r="AE6" s="2201"/>
      <c r="AF6" s="2201"/>
      <c r="AG6" s="2201"/>
      <c r="AH6" s="2201"/>
      <c r="AI6" s="2201"/>
      <c r="AJ6" s="2202"/>
    </row>
    <row r="7" spans="1:36" ht="24">
      <c r="A7" s="3424"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0.45250000000000001</v>
      </c>
      <c r="T7" s="1373">
        <f t="shared" ca="1" si="0"/>
        <v>2924</v>
      </c>
      <c r="U7" s="1374"/>
      <c r="V7" s="1373">
        <f t="shared" ca="1" si="1"/>
        <v>0</v>
      </c>
      <c r="W7" s="1543" t="s">
        <v>2655</v>
      </c>
      <c r="X7" s="1375" t="str">
        <f>G2</f>
        <v>八级</v>
      </c>
      <c r="Y7" s="1375" t="s">
        <v>2656</v>
      </c>
      <c r="Z7" s="1376">
        <f>G3</f>
        <v>2.48</v>
      </c>
      <c r="AA7" s="1377"/>
      <c r="AB7" s="1377"/>
      <c r="AC7" s="1378"/>
      <c r="AD7" s="1379"/>
      <c r="AE7" s="1379"/>
      <c r="AF7" s="1379"/>
      <c r="AG7" s="1379"/>
      <c r="AH7" s="1379"/>
      <c r="AI7" s="1379"/>
      <c r="AJ7" s="1380"/>
    </row>
    <row r="8" spans="1:36" ht="15">
      <c r="A8" s="3425"/>
      <c r="B8" s="175" t="s">
        <v>2657</v>
      </c>
      <c r="C8" s="2215"/>
      <c r="D8" s="859" t="s">
        <v>139</v>
      </c>
      <c r="E8" s="860" t="e">
        <f>ROUND(C11/E7,4)</f>
        <v>#DIV/0!</v>
      </c>
      <c r="F8" s="2216" t="s">
        <v>2658</v>
      </c>
      <c r="G8" s="2217"/>
      <c r="H8" s="2217"/>
      <c r="I8" s="2217"/>
      <c r="J8" s="2218"/>
      <c r="K8" s="1280"/>
      <c r="L8" s="2191" t="s">
        <v>2659</v>
      </c>
      <c r="M8" s="995">
        <f>SUMPRODUCT((区片价!B206:B244=I2)*(区片价!C3:F3=E2)*(区片价!C206:F244))</f>
        <v>5480</v>
      </c>
      <c r="N8" s="997">
        <f>SUMPRODUCT((因素修正幅度!B206:B244=I2)*(因素修正幅度!C3:F3=E2)*(因素修正幅度!C206:F244))</f>
        <v>0.15</v>
      </c>
      <c r="O8" s="1280"/>
      <c r="P8" s="1280"/>
      <c r="Q8" s="1280"/>
      <c r="R8" s="1373">
        <v>7</v>
      </c>
      <c r="S8" s="1374"/>
      <c r="T8" s="1373">
        <f t="shared" ca="1" si="0"/>
        <v>0</v>
      </c>
      <c r="U8" s="1374"/>
      <c r="V8" s="1373">
        <f t="shared" ca="1" si="1"/>
        <v>0</v>
      </c>
      <c r="W8" s="3417" t="s">
        <v>2660</v>
      </c>
      <c r="X8" s="3418"/>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25"/>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ca="1" si="0"/>
        <v>0</v>
      </c>
      <c r="U9" s="1374"/>
      <c r="V9" s="1373">
        <f t="shared" ca="1" si="1"/>
        <v>0</v>
      </c>
      <c r="W9" s="3419"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5"/>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ca="1" si="0"/>
        <v>0</v>
      </c>
      <c r="U10" s="1374"/>
      <c r="V10" s="1373">
        <f t="shared" ca="1" si="1"/>
        <v>0</v>
      </c>
      <c r="W10" s="341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5"/>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ca="1" si="0"/>
        <v>0</v>
      </c>
      <c r="U11" s="1374"/>
      <c r="V11" s="1373">
        <f t="shared" ca="1" si="1"/>
        <v>0</v>
      </c>
      <c r="W11" s="3419" t="s">
        <v>2684</v>
      </c>
      <c r="X11" s="1385" t="s">
        <v>2685</v>
      </c>
      <c r="Y11" s="1386">
        <f>$G$3</f>
        <v>2.48</v>
      </c>
      <c r="Z11" s="1386">
        <f t="shared" ref="Z11:AJ11" si="3">$G$3</f>
        <v>2.48</v>
      </c>
      <c r="AA11" s="1386">
        <f t="shared" si="3"/>
        <v>2.48</v>
      </c>
      <c r="AB11" s="1386">
        <f t="shared" si="3"/>
        <v>2.48</v>
      </c>
      <c r="AC11" s="1386">
        <f t="shared" si="3"/>
        <v>2.48</v>
      </c>
      <c r="AD11" s="1386">
        <f t="shared" si="3"/>
        <v>2.48</v>
      </c>
      <c r="AE11" s="1386">
        <f t="shared" si="3"/>
        <v>2.48</v>
      </c>
      <c r="AF11" s="1386">
        <f t="shared" si="3"/>
        <v>2.48</v>
      </c>
      <c r="AG11" s="1386">
        <f t="shared" si="3"/>
        <v>2.48</v>
      </c>
      <c r="AH11" s="1386">
        <f t="shared" si="3"/>
        <v>2.48</v>
      </c>
      <c r="AI11" s="1386">
        <f t="shared" si="3"/>
        <v>2.48</v>
      </c>
      <c r="AJ11" s="1386">
        <f t="shared" si="3"/>
        <v>2.48</v>
      </c>
    </row>
    <row r="12" spans="1:36" ht="25.5" thickBot="1">
      <c r="A12" s="3424"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ca="1" si="0"/>
        <v>0</v>
      </c>
      <c r="U12" s="1374"/>
      <c r="V12" s="1373">
        <f t="shared" ca="1" si="1"/>
        <v>0</v>
      </c>
      <c r="W12" s="3419"/>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6"/>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3">
        <v>12</v>
      </c>
      <c r="S13" s="1374"/>
      <c r="T13" s="1373">
        <f t="shared" ca="1" si="0"/>
        <v>0</v>
      </c>
      <c r="U13" s="1374"/>
      <c r="V13" s="1373">
        <f t="shared" ca="1" si="1"/>
        <v>0</v>
      </c>
      <c r="W13" s="3419"/>
      <c r="X13" s="1387"/>
      <c r="Y13" s="1384">
        <f>(-0.163*(Y12^2)-0.59*Y12+7617)*(10^(-4))/Y11</f>
        <v>0.30713709677419354</v>
      </c>
      <c r="Z13" s="1384">
        <f t="shared" ref="Z13:AJ13" si="5">(-0.163*(Z12^2)-0.59*Z12+7617)*(10^(-4))/Z11</f>
        <v>0.30713709677419354</v>
      </c>
      <c r="AA13" s="1384">
        <f t="shared" si="5"/>
        <v>0.30713709677419354</v>
      </c>
      <c r="AB13" s="1384">
        <f t="shared" si="5"/>
        <v>0.30713709677419354</v>
      </c>
      <c r="AC13" s="1384">
        <f t="shared" si="5"/>
        <v>0.30713709677419354</v>
      </c>
      <c r="AD13" s="1384">
        <f t="shared" si="5"/>
        <v>0.30713709677419354</v>
      </c>
      <c r="AE13" s="1384">
        <f t="shared" si="5"/>
        <v>0.30713709677419354</v>
      </c>
      <c r="AF13" s="1384">
        <f t="shared" si="5"/>
        <v>0.30713709677419354</v>
      </c>
      <c r="AG13" s="1384">
        <f t="shared" si="5"/>
        <v>0.30713709677419354</v>
      </c>
      <c r="AH13" s="1384">
        <f t="shared" si="5"/>
        <v>0.30713709677419354</v>
      </c>
      <c r="AI13" s="1384">
        <f t="shared" si="5"/>
        <v>0.30713709677419354</v>
      </c>
      <c r="AJ13" s="1384">
        <f t="shared" si="5"/>
        <v>0.30713709677419354</v>
      </c>
    </row>
    <row r="14" spans="1:36" ht="15">
      <c r="A14" s="3426"/>
      <c r="B14" s="2233"/>
      <c r="C14" s="2234"/>
      <c r="D14" s="2235"/>
      <c r="E14" s="2235"/>
      <c r="F14" s="2236"/>
      <c r="G14" s="2237" t="s">
        <v>2697</v>
      </c>
      <c r="H14" s="2238"/>
      <c r="I14" s="2239"/>
      <c r="J14" s="2240"/>
      <c r="K14" s="1280"/>
      <c r="L14" s="1280"/>
      <c r="M14" s="1280"/>
      <c r="N14" s="1280"/>
      <c r="O14" s="1280"/>
      <c r="P14" s="1280"/>
      <c r="Q14" s="1280"/>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thickBot="1">
      <c r="A15" s="3427"/>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424" t="s">
        <v>2703</v>
      </c>
      <c r="B16" s="2210" t="s">
        <v>2704</v>
      </c>
      <c r="C16" s="2372">
        <f>ROUND(IF(F17="与级别开发程度一致",0,(G17-E17)/C17),0)</f>
        <v>0</v>
      </c>
      <c r="D16" s="3440" t="s">
        <v>2708</v>
      </c>
      <c r="E16" s="3441"/>
      <c r="F16" s="3440" t="s">
        <v>2705</v>
      </c>
      <c r="G16" s="3441"/>
      <c r="H16" s="2242"/>
      <c r="I16" s="2242"/>
      <c r="J16" s="2376"/>
      <c r="K16" s="2242"/>
      <c r="L16" s="2242"/>
      <c r="M16" s="2242"/>
      <c r="N16" s="2242"/>
      <c r="O16" s="2243"/>
      <c r="P16" s="2184"/>
      <c r="Q16" s="1280"/>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428"/>
      <c r="B17" s="2383" t="s">
        <v>2707</v>
      </c>
      <c r="C17" s="2384">
        <f>SUMPRODUCT((修正!A2:A5=E2)*(修正!B1:M1=G2)*(修正!B2:M5))</f>
        <v>2</v>
      </c>
      <c r="D17" s="193" t="str">
        <f>IF(OR(G2="八级",G2="九级",G2="十级",G2="十一级",G2="十二级"),"五通一平","七通一平")</f>
        <v>五通一平</v>
      </c>
      <c r="E17" s="2373">
        <f>SUMPRODUCT((修正!B1:M1=G2)*(修正!B15:M15))</f>
        <v>155</v>
      </c>
      <c r="F17" s="2374" t="s">
        <v>3325</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2711</v>
      </c>
      <c r="C19" s="863">
        <f>ROUND(IF(H19="按公示增长率计算",SUMPRODUCT((地价!A3:A32=YEAR(G19)&amp;"-"&amp;ROUNDUP(MONTH(G19)/3,0))*(地价!X2:AB2=E2)*(地价!X3:AB32)),IF(H19="地价指数",M20/M19,(1+I19)^O19)),4)</f>
        <v>1.3411</v>
      </c>
      <c r="D19" s="2252" t="s">
        <v>2712</v>
      </c>
      <c r="E19" s="864">
        <v>41640</v>
      </c>
      <c r="F19" s="2252" t="s">
        <v>2713</v>
      </c>
      <c r="G19" s="865">
        <f>'数据-取费表'!B2</f>
        <v>44176</v>
      </c>
      <c r="H19" s="2253" t="s">
        <v>3326</v>
      </c>
      <c r="I19" s="866" t="str">
        <f>IF(H19="季度增幅（自定义）",SUMIF(N21:N24,E2,O21:O24),"")</f>
        <v/>
      </c>
      <c r="J19" s="2250"/>
      <c r="K19" s="1287"/>
      <c r="L19" s="2254" t="s">
        <v>2714</v>
      </c>
      <c r="M19" s="1497">
        <f>ROUND(SUMIF(地价!B2:F2,E2,地价!B32:F32),0)</f>
        <v>258</v>
      </c>
      <c r="N19" s="2255"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2716</v>
      </c>
      <c r="C20" s="868">
        <f ca="1">ROUND(POWER(1+G20,J20-I20)*(POWER(1+G20,I20)-1)/(POWER(1+G20,J20)-1),4)</f>
        <v>0.9768</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45.29</v>
      </c>
      <c r="J20" s="875">
        <f>IF(E2="住宅",70,IF(E2="商业",40,50))</f>
        <v>50</v>
      </c>
      <c r="K20" s="1287"/>
      <c r="L20" s="2260" t="s">
        <v>2719</v>
      </c>
      <c r="M20" s="1498">
        <f>ROUND(SUMPRODUCT((地价!A4:A32=YEAR(G19)&amp;"-"&amp;ROUNDUP(MONTH(G19)/3,0))*(地价!B2:F2=E2)*(地价!B4:F32)),0)</f>
        <v>346</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3327</v>
      </c>
      <c r="C21" s="876">
        <f>IF(B21="容积率修正",IF(G3&lt;=10,D22,J22),C23)</f>
        <v>0.92989999999999995</v>
      </c>
      <c r="D21" s="2266"/>
      <c r="E21" s="2266"/>
      <c r="F21" s="2266"/>
      <c r="G21" s="2266"/>
      <c r="H21" s="2266"/>
      <c r="I21" s="2266"/>
      <c r="J21" s="2267"/>
      <c r="K21" s="1287"/>
      <c r="L21" s="3020"/>
      <c r="M21" s="3020"/>
      <c r="N21" s="2268" t="s">
        <v>2723</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0.92989999999999995</v>
      </c>
      <c r="E22" s="855">
        <f>ROUNDDOWN(G3,1)</f>
        <v>2.4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855">
        <f>ROUNDUP(G3,1)</f>
        <v>2.5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537" t="s">
        <v>155</v>
      </c>
      <c r="J22" s="877" t="str">
        <f>IF(G3&gt;10,D113,"——")</f>
        <v>——</v>
      </c>
      <c r="K22" s="1287"/>
      <c r="L22" s="3020"/>
      <c r="M22" s="3020"/>
      <c r="N22" s="2268" t="s">
        <v>2727</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v>
      </c>
      <c r="D24" s="2249"/>
      <c r="E24" s="2276"/>
      <c r="F24" s="2276"/>
      <c r="G24" s="2276"/>
      <c r="H24" s="2276"/>
      <c r="I24" s="2276"/>
      <c r="J24" s="2277"/>
      <c r="K24" s="1287"/>
      <c r="L24" s="3020"/>
      <c r="M24" s="3020"/>
      <c r="N24" s="2278" t="s">
        <v>2732</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76457</v>
      </c>
      <c r="D26" s="2282"/>
      <c r="E26" s="2238"/>
      <c r="F26" s="2283"/>
      <c r="G26" s="2238"/>
      <c r="H26" s="2238"/>
      <c r="I26" s="2238"/>
      <c r="J26" s="2284"/>
      <c r="K26" s="1280"/>
      <c r="L26" s="3018" t="s">
        <v>2634</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673</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6008</v>
      </c>
      <c r="D29" s="2297">
        <f>'数据-汇总表'!F19</f>
        <v>122781.64</v>
      </c>
      <c r="E29" s="879">
        <f ca="1">ROUND(C29*D29/10000,0)</f>
        <v>73767</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1502</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37"/>
      <c r="B33" s="2313" t="s">
        <v>2749</v>
      </c>
      <c r="C33" s="180">
        <f ca="1">ROUND(D5*C19*C20*C24*F33,0)</f>
        <v>4307</v>
      </c>
      <c r="D33" s="2297"/>
      <c r="E33" s="176">
        <f ca="1">ROUND(C33*D33/10000,0)</f>
        <v>0</v>
      </c>
      <c r="F33" s="176">
        <f>SUMIF(修正!A45:A56,G2,修正!B45:B56)</f>
        <v>0.6</v>
      </c>
      <c r="G33" s="176">
        <f ca="1">ROUND(IF(E2="工业",C33*$M$39,C33*$M$38),0)</f>
        <v>1077</v>
      </c>
      <c r="H33" s="176">
        <f>D33</f>
        <v>0</v>
      </c>
      <c r="I33" s="176">
        <f ca="1">ROUND(G33*H33/10000,0)</f>
        <v>0</v>
      </c>
      <c r="J33" s="344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38"/>
      <c r="B34" s="2230" t="s">
        <v>2750</v>
      </c>
      <c r="C34" s="180">
        <f ca="1">ROUND(D5*C19*C20*C24*F34,0)</f>
        <v>2154</v>
      </c>
      <c r="D34" s="2297"/>
      <c r="E34" s="176">
        <f t="shared" ref="E34:E39" ca="1" si="6">ROUND(C34*D34/10000,0)</f>
        <v>0</v>
      </c>
      <c r="F34" s="176">
        <f>SUMIF(修正!A45:A56,G2,修正!C45:C56)</f>
        <v>0.3</v>
      </c>
      <c r="G34" s="176">
        <f ca="1">ROUND(IF(E2="工业",C34*$M$39,C34*$M$38),0)</f>
        <v>539</v>
      </c>
      <c r="H34" s="176">
        <f t="shared" ref="H34:H39" si="7">D34</f>
        <v>0</v>
      </c>
      <c r="I34" s="176">
        <f t="shared" ref="I34:I39" ca="1" si="8">ROUND(G34*H34/10000,0)</f>
        <v>0</v>
      </c>
      <c r="J34" s="343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38"/>
      <c r="B35" s="2230" t="s">
        <v>2751</v>
      </c>
      <c r="C35" s="180">
        <f ca="1">ROUND(D5*C19*C20*C24*F35,0)</f>
        <v>1436</v>
      </c>
      <c r="D35" s="2297"/>
      <c r="E35" s="176">
        <f t="shared" ca="1" si="6"/>
        <v>0</v>
      </c>
      <c r="F35" s="176">
        <f>SUMIF(修正!A45:A56,G2,修正!D45:D56)</f>
        <v>0.2</v>
      </c>
      <c r="G35" s="176">
        <f ca="1">ROUND(IF(E2="工业",C35*$M$39,C35*$M$38),0)</f>
        <v>359</v>
      </c>
      <c r="H35" s="176">
        <f t="shared" si="7"/>
        <v>0</v>
      </c>
      <c r="I35" s="176">
        <f t="shared" ca="1" si="8"/>
        <v>0</v>
      </c>
      <c r="J35" s="343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39"/>
      <c r="B36" s="2230" t="s">
        <v>2752</v>
      </c>
      <c r="C36" s="180">
        <f ca="1">ROUND(D5*C19*C20*C24*F36,0)</f>
        <v>1436</v>
      </c>
      <c r="D36" s="2297"/>
      <c r="E36" s="176">
        <f t="shared" ca="1" si="6"/>
        <v>0</v>
      </c>
      <c r="F36" s="176">
        <f>SUMIF(修正!A45:A56,G2,修正!E45:E56)</f>
        <v>0.2</v>
      </c>
      <c r="G36" s="176">
        <f ca="1">ROUND(IF(E2="工业",C36*$M$39,C36*$M$38),0)</f>
        <v>359</v>
      </c>
      <c r="H36" s="176">
        <f t="shared" si="7"/>
        <v>0</v>
      </c>
      <c r="I36" s="176">
        <f t="shared" ca="1" si="8"/>
        <v>0</v>
      </c>
      <c r="J36" s="343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1436</v>
      </c>
      <c r="D37" s="2297">
        <f>'数据-汇总表'!G19</f>
        <v>18733.739999999998</v>
      </c>
      <c r="E37" s="176">
        <f t="shared" ca="1" si="6"/>
        <v>2690</v>
      </c>
      <c r="F37" s="180">
        <f>SUMIF(修正!A45:A56,G2,修正!F45:F56)</f>
        <v>0.2</v>
      </c>
      <c r="G37" s="176">
        <f ca="1">ROUND(IF(E2="工业",C37*$M$39,C37*$M$38),0)</f>
        <v>359</v>
      </c>
      <c r="H37" s="176">
        <f t="shared" si="7"/>
        <v>18733.739999999998</v>
      </c>
      <c r="I37" s="176">
        <f t="shared" ca="1" si="8"/>
        <v>673</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6"/>
        <v>0</v>
      </c>
      <c r="F38" s="180">
        <f>SUMIF(修正!A45:A56,G2,修正!G45:G56)</f>
        <v>0.2</v>
      </c>
      <c r="G38" s="176">
        <f ca="1">ROUND(IF(E2="工业",C38*$M$39,C38*$M$38),0)</f>
        <v>0</v>
      </c>
      <c r="H38" s="176">
        <f t="shared" si="7"/>
        <v>0</v>
      </c>
      <c r="I38" s="176">
        <f t="shared" ca="1" si="8"/>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0</v>
      </c>
      <c r="D39" s="2303"/>
      <c r="E39" s="193">
        <f t="shared" ca="1" si="6"/>
        <v>0</v>
      </c>
      <c r="F39" s="871">
        <f>SUMIF(修正!A45:A56,G2,修正!H45:H56)</f>
        <v>0.15</v>
      </c>
      <c r="G39" s="193">
        <f ca="1">ROUND(IF(E2="工业",C39*$M$39,C39*$M$38),0)</f>
        <v>0</v>
      </c>
      <c r="H39" s="193">
        <f t="shared" si="7"/>
        <v>0</v>
      </c>
      <c r="I39" s="193">
        <f t="shared" ca="1" si="8"/>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v>
      </c>
      <c r="D41" s="176" t="s">
        <v>2709</v>
      </c>
      <c r="E41" s="2370">
        <f ca="1">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4">SUMIF($J$58:$N$58,C59,J59:N59)</f>
        <v>0</v>
      </c>
      <c r="E59" s="760">
        <f>ROUND(SUM(D59:D67),4)</f>
        <v>0</v>
      </c>
      <c r="F59" s="2001">
        <f>IF(E2="办公",SUMIF(L1:L12,G2,N1:N12),"——")</f>
        <v>0.15</v>
      </c>
      <c r="G59" s="1194"/>
      <c r="H59" s="1198">
        <f t="shared" ref="H59:H67" si="15">IFERROR(ROUNDDOWN($F$59*I59/2,4),"——")</f>
        <v>1.7999999999999999E-2</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4"/>
        <v>0</v>
      </c>
      <c r="E60" s="761"/>
      <c r="F60" s="2001"/>
      <c r="G60" s="1194"/>
      <c r="H60" s="1198">
        <f t="shared" si="15"/>
        <v>2.2499999999999999E-2</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4"/>
        <v>0</v>
      </c>
      <c r="E61" s="761"/>
      <c r="F61" s="2001"/>
      <c r="G61" s="1194"/>
      <c r="H61" s="1198">
        <f t="shared" si="15"/>
        <v>6.0000000000000001E-3</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4"/>
        <v>0</v>
      </c>
      <c r="E62" s="761"/>
      <c r="F62" s="2001"/>
      <c r="G62" s="1194"/>
      <c r="H62" s="1198">
        <f t="shared" si="15"/>
        <v>3.0000000000000001E-3</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4"/>
        <v>0</v>
      </c>
      <c r="E63" s="761"/>
      <c r="F63" s="2001"/>
      <c r="G63" s="1194"/>
      <c r="H63" s="1198">
        <f t="shared" si="15"/>
        <v>3.7000000000000002E-3</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4"/>
        <v>0</v>
      </c>
      <c r="E64" s="761"/>
      <c r="F64" s="2001"/>
      <c r="G64" s="1194"/>
      <c r="H64" s="1198">
        <f t="shared" si="15"/>
        <v>3.7000000000000002E-3</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4"/>
        <v>0</v>
      </c>
      <c r="E65" s="761"/>
      <c r="F65" s="2001"/>
      <c r="G65" s="1194"/>
      <c r="H65" s="1198">
        <f t="shared" si="15"/>
        <v>4.4999999999999997E-3</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4"/>
        <v>0</v>
      </c>
      <c r="E66" s="761"/>
      <c r="F66" s="2001"/>
      <c r="G66" s="1194"/>
      <c r="H66" s="1198">
        <f t="shared" si="15"/>
        <v>8.9999999999999993E-3</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4"/>
        <v>0</v>
      </c>
      <c r="E67" s="764"/>
      <c r="F67" s="2001"/>
      <c r="G67" s="1194"/>
      <c r="H67" s="1198">
        <f t="shared" si="15"/>
        <v>4.4999999999999997E-3</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5"/>
      <c r="AA77" s="2251"/>
      <c r="AG77" s="1282"/>
      <c r="AK77" s="2251"/>
    </row>
    <row r="78" spans="1:37" ht="24.75" thickBot="1">
      <c r="A78" s="2338" t="s">
        <v>2785</v>
      </c>
      <c r="B78" s="2342"/>
      <c r="C78" s="2235"/>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5"/>
      <c r="AA78" s="2251"/>
      <c r="AG78" s="1282"/>
      <c r="AK78" s="2251"/>
    </row>
    <row r="79" spans="1:37" ht="15">
      <c r="A79" s="2326" t="s">
        <v>2786</v>
      </c>
      <c r="B79" s="2327">
        <f>1+E81</f>
        <v>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2417</v>
      </c>
      <c r="K80" s="560" t="s">
        <v>2418</v>
      </c>
      <c r="L80" s="560" t="s">
        <v>2419</v>
      </c>
      <c r="M80" s="560" t="s">
        <v>2420</v>
      </c>
      <c r="N80" s="560" t="s">
        <v>2421</v>
      </c>
      <c r="Z80" s="2185"/>
      <c r="AA80" s="2251"/>
      <c r="AG80" s="1282"/>
      <c r="AK80" s="2251"/>
    </row>
    <row r="81" spans="1:37" ht="38.25">
      <c r="A81" s="2330" t="s">
        <v>2787</v>
      </c>
      <c r="B81" s="2334" t="str">
        <f>估价对象房地状况!G15</f>
        <v>估价对象位于XX开发区，园区建设成熟度XX，产业集聚程度XX</v>
      </c>
      <c r="C81" s="2235"/>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5"/>
      <c r="AA82" s="2251"/>
      <c r="AG82" s="1282"/>
      <c r="AK82" s="2251"/>
    </row>
    <row r="83" spans="1:37" ht="24">
      <c r="A83" s="2330" t="s">
        <v>2770</v>
      </c>
      <c r="B83" s="2334">
        <f>估价对象房地状况!G17</f>
        <v>0</v>
      </c>
      <c r="C83" s="2235"/>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5"/>
      <c r="AA83" s="2251"/>
      <c r="AG83" s="1282"/>
      <c r="AK83" s="2251"/>
    </row>
    <row r="84" spans="1:37" ht="14.25">
      <c r="A84" s="2330" t="s">
        <v>2784</v>
      </c>
      <c r="B84" s="2334">
        <f>估价对象房地状况!G22</f>
        <v>0</v>
      </c>
      <c r="C84" s="2235"/>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5"/>
      <c r="AA84" s="2251"/>
      <c r="AG84" s="1282"/>
      <c r="AK84" s="2251"/>
    </row>
    <row r="85" spans="1:37" ht="25.5">
      <c r="A85" s="2330" t="s">
        <v>2776</v>
      </c>
      <c r="B85" s="1495" t="str">
        <f>估价对象房地状况!G19</f>
        <v>估价对象所在区域公共配套设施齐备情况</v>
      </c>
      <c r="C85" s="2235"/>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5"/>
      <c r="AA85" s="2251"/>
      <c r="AG85" s="1282"/>
      <c r="AK85" s="2251"/>
    </row>
    <row r="86" spans="1:37" ht="25.5">
      <c r="A86" s="2330" t="s">
        <v>2777</v>
      </c>
      <c r="B86" s="1495" t="str">
        <f>估价对象房地状况!G20</f>
        <v>估价对象所在区域基础设施水平</v>
      </c>
      <c r="C86" s="2235"/>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5"/>
      <c r="AA86" s="2251"/>
      <c r="AG86" s="1282"/>
      <c r="AK86" s="2251"/>
    </row>
    <row r="87" spans="1:37" ht="24">
      <c r="A87" s="2330" t="s">
        <v>2774</v>
      </c>
      <c r="B87" s="2336" t="s">
        <v>2788</v>
      </c>
      <c r="C87" s="2235"/>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5"/>
      <c r="AA87" s="2251"/>
      <c r="AG87" s="1282"/>
      <c r="AK87" s="2251"/>
    </row>
    <row r="88" spans="1:37" ht="39" thickBot="1">
      <c r="A88" s="2338" t="s">
        <v>2789</v>
      </c>
      <c r="B88" s="2343" t="str">
        <f>估价对象房地状况!G18</f>
        <v>该园区内是否有污染型企业，绿化情况，卫生条件，整体环境状况判断</v>
      </c>
      <c r="C88" s="2235"/>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5"/>
      <c r="AA88" s="2251"/>
      <c r="AG88" s="1282"/>
      <c r="AK88" s="2251"/>
    </row>
    <row r="90" spans="1:37">
      <c r="A90" s="3429" t="s">
        <v>2790</v>
      </c>
      <c r="B90" s="3429"/>
      <c r="C90" s="3429"/>
      <c r="D90" s="3429"/>
      <c r="E90" s="3429"/>
      <c r="F90" s="3429"/>
      <c r="G90" s="3429"/>
      <c r="H90" s="3429"/>
      <c r="I90" s="3429"/>
      <c r="J90" s="3429"/>
      <c r="K90" s="2344"/>
      <c r="L90" s="2344"/>
      <c r="M90" s="2344"/>
      <c r="N90" s="2344"/>
    </row>
    <row r="91" spans="1:37">
      <c r="A91" s="3431" t="s">
        <v>2791</v>
      </c>
      <c r="B91" s="3431" t="s">
        <v>2792</v>
      </c>
      <c r="C91" s="2298" t="s">
        <v>2793</v>
      </c>
      <c r="D91" s="2299"/>
      <c r="E91" s="2299"/>
      <c r="F91" s="2299"/>
      <c r="G91" s="2299"/>
      <c r="H91" s="2299"/>
      <c r="I91" s="2299"/>
      <c r="J91" s="2345"/>
      <c r="K91" s="2346"/>
      <c r="L91" s="2346"/>
      <c r="M91" s="2346"/>
      <c r="N91" s="2346"/>
    </row>
    <row r="92" spans="1:37">
      <c r="A92" s="3431"/>
      <c r="B92" s="343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32"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3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3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3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3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3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33"/>
      <c r="B99" s="2347" t="s">
        <v>2677</v>
      </c>
      <c r="C99" s="2349">
        <f>$I$3</f>
        <v>0</v>
      </c>
      <c r="D99" s="2349">
        <f t="shared" ref="D99:M99" si="29">$I$3</f>
        <v>0</v>
      </c>
      <c r="E99" s="2349">
        <f t="shared" si="29"/>
        <v>0</v>
      </c>
      <c r="F99" s="2349">
        <f t="shared" si="29"/>
        <v>0</v>
      </c>
      <c r="G99" s="2349">
        <f t="shared" si="29"/>
        <v>0</v>
      </c>
      <c r="H99" s="2349">
        <f t="shared" si="29"/>
        <v>0</v>
      </c>
      <c r="I99" s="2349">
        <f t="shared" si="29"/>
        <v>0</v>
      </c>
      <c r="J99" s="2349">
        <f t="shared" si="29"/>
        <v>0</v>
      </c>
      <c r="K99" s="2349">
        <f t="shared" si="29"/>
        <v>0</v>
      </c>
      <c r="L99" s="2349">
        <f t="shared" si="29"/>
        <v>0</v>
      </c>
      <c r="M99" s="2349">
        <f t="shared" si="29"/>
        <v>0</v>
      </c>
      <c r="N99" s="2349">
        <f>$I$3</f>
        <v>0</v>
      </c>
    </row>
    <row r="100" spans="1:14">
      <c r="A100" s="343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32" t="s">
        <v>2795</v>
      </c>
      <c r="B101" s="2351" t="s">
        <v>2796</v>
      </c>
      <c r="C101" s="2352">
        <f>$G$3</f>
        <v>2.48</v>
      </c>
      <c r="D101" s="2352">
        <f t="shared" ref="D101:N101" si="30">$G$3</f>
        <v>2.48</v>
      </c>
      <c r="E101" s="2352">
        <f t="shared" si="30"/>
        <v>2.48</v>
      </c>
      <c r="F101" s="2352">
        <f t="shared" si="30"/>
        <v>2.48</v>
      </c>
      <c r="G101" s="2352">
        <f t="shared" si="30"/>
        <v>2.48</v>
      </c>
      <c r="H101" s="2352">
        <f t="shared" si="30"/>
        <v>2.48</v>
      </c>
      <c r="I101" s="2352">
        <f t="shared" si="30"/>
        <v>2.48</v>
      </c>
      <c r="J101" s="2352">
        <f t="shared" si="30"/>
        <v>2.48</v>
      </c>
      <c r="K101" s="2352">
        <f t="shared" si="30"/>
        <v>2.48</v>
      </c>
      <c r="L101" s="2352">
        <f t="shared" si="30"/>
        <v>2.48</v>
      </c>
      <c r="M101" s="2352">
        <f t="shared" si="30"/>
        <v>2.48</v>
      </c>
      <c r="N101" s="2352">
        <f t="shared" si="30"/>
        <v>2.48</v>
      </c>
    </row>
    <row r="102" spans="1:14">
      <c r="A102" s="3433"/>
      <c r="B102" s="2347">
        <v>1</v>
      </c>
      <c r="C102" s="2348">
        <f>1.9362/C101</f>
        <v>0.78072580645161282</v>
      </c>
      <c r="D102" s="2348">
        <f>1.9362/D101</f>
        <v>0.78072580645161282</v>
      </c>
      <c r="E102" s="2348">
        <f>1.8629/E101</f>
        <v>0.75116935483870972</v>
      </c>
      <c r="F102" s="2348">
        <f>1.8629/F101</f>
        <v>0.75116935483870972</v>
      </c>
      <c r="G102" s="2348">
        <f>1.8629/G101</f>
        <v>0.75116935483870972</v>
      </c>
      <c r="H102" s="2348">
        <f>1.8629/H101</f>
        <v>0.75116935483870972</v>
      </c>
      <c r="I102" s="2348">
        <f>1.8629/I101</f>
        <v>0.75116935483870972</v>
      </c>
      <c r="J102" s="2348">
        <f>1.942/J101</f>
        <v>0.78306451612903227</v>
      </c>
      <c r="K102" s="2348">
        <f>1.942/K101</f>
        <v>0.78306451612903227</v>
      </c>
      <c r="L102" s="2348">
        <f>1.942/L101</f>
        <v>0.78306451612903227</v>
      </c>
      <c r="M102" s="2348">
        <f>1.942/M101</f>
        <v>0.78306451612903227</v>
      </c>
      <c r="N102" s="2348">
        <f>1.942/N101</f>
        <v>0.78306451612903227</v>
      </c>
    </row>
    <row r="103" spans="1:14">
      <c r="A103" s="3433"/>
      <c r="B103" s="2347">
        <v>2</v>
      </c>
      <c r="C103" s="2348">
        <f>1.4198/C101</f>
        <v>0.57250000000000001</v>
      </c>
      <c r="D103" s="2348">
        <f>1.4198/D101</f>
        <v>0.57250000000000001</v>
      </c>
      <c r="E103" s="2348">
        <f>1.3372/E101</f>
        <v>0.53919354838709677</v>
      </c>
      <c r="F103" s="2348">
        <f>1.3372/F101</f>
        <v>0.53919354838709677</v>
      </c>
      <c r="G103" s="2348">
        <f>1.3372/G101</f>
        <v>0.53919354838709677</v>
      </c>
      <c r="H103" s="2348">
        <f>1.3372/H101</f>
        <v>0.53919354838709677</v>
      </c>
      <c r="I103" s="2348">
        <f>1.3372/I101</f>
        <v>0.53919354838709677</v>
      </c>
      <c r="J103" s="2348">
        <f>1.2799/J101</f>
        <v>0.51608870967741938</v>
      </c>
      <c r="K103" s="2348">
        <f>1.2799/K101</f>
        <v>0.51608870967741938</v>
      </c>
      <c r="L103" s="2348">
        <f>1.2799/L101</f>
        <v>0.51608870967741938</v>
      </c>
      <c r="M103" s="2348">
        <f>1.2799/M101</f>
        <v>0.51608870967741938</v>
      </c>
      <c r="N103" s="2348">
        <f>1.2799/N101</f>
        <v>0.51608870967741938</v>
      </c>
    </row>
    <row r="104" spans="1:14">
      <c r="A104" s="3433"/>
      <c r="B104" s="2347">
        <v>3</v>
      </c>
      <c r="C104" s="2348">
        <f>1.1594/C101</f>
        <v>0.46749999999999997</v>
      </c>
      <c r="D104" s="2348">
        <f>1.1594/D101</f>
        <v>0.46749999999999997</v>
      </c>
      <c r="E104" s="2348">
        <f>1.0788/E101</f>
        <v>0.435</v>
      </c>
      <c r="F104" s="2348">
        <f>1.0788/F101</f>
        <v>0.435</v>
      </c>
      <c r="G104" s="2348">
        <f>1.0788/G101</f>
        <v>0.435</v>
      </c>
      <c r="H104" s="2348">
        <f>1.0788/H101</f>
        <v>0.435</v>
      </c>
      <c r="I104" s="2348">
        <f>1.0788/I101</f>
        <v>0.435</v>
      </c>
      <c r="J104" s="2348">
        <f>1.0072/J101</f>
        <v>0.40612903225806457</v>
      </c>
      <c r="K104" s="2348">
        <f>1.0072/K101</f>
        <v>0.40612903225806457</v>
      </c>
      <c r="L104" s="2348">
        <f>1.0072/L101</f>
        <v>0.40612903225806457</v>
      </c>
      <c r="M104" s="2348">
        <f>1.0072/M101</f>
        <v>0.40612903225806457</v>
      </c>
      <c r="N104" s="2348">
        <f>1.0072/N101</f>
        <v>0.40612903225806457</v>
      </c>
    </row>
    <row r="105" spans="1:14">
      <c r="A105" s="3433"/>
      <c r="B105" s="2347">
        <v>4</v>
      </c>
      <c r="C105" s="2348">
        <f>0.9622/C101</f>
        <v>0.38798387096774195</v>
      </c>
      <c r="D105" s="2348">
        <f>0.9622/D101</f>
        <v>0.38798387096774195</v>
      </c>
      <c r="E105" s="2348">
        <f>0.8656/E101</f>
        <v>0.34903225806451615</v>
      </c>
      <c r="F105" s="2348">
        <f>0.8656/F101</f>
        <v>0.34903225806451615</v>
      </c>
      <c r="G105" s="2348">
        <f>0.8656/G101</f>
        <v>0.34903225806451615</v>
      </c>
      <c r="H105" s="2348">
        <f>0.8656/H101</f>
        <v>0.34903225806451615</v>
      </c>
      <c r="I105" s="2348">
        <f>0.8656/I101</f>
        <v>0.34903225806451615</v>
      </c>
      <c r="J105" s="2348">
        <f>0.7525/J101</f>
        <v>0.30342741935483869</v>
      </c>
      <c r="K105" s="2348">
        <f>0.7525/K101</f>
        <v>0.30342741935483869</v>
      </c>
      <c r="L105" s="2348">
        <f>0.7525/L101</f>
        <v>0.30342741935483869</v>
      </c>
      <c r="M105" s="2348">
        <f>0.7525/M101</f>
        <v>0.30342741935483869</v>
      </c>
      <c r="N105" s="2348">
        <f>0.7525/N101</f>
        <v>0.30342741935483869</v>
      </c>
    </row>
    <row r="106" spans="1:14">
      <c r="A106" s="3433"/>
      <c r="B106" s="2347">
        <v>5</v>
      </c>
      <c r="C106" s="2348">
        <f>0.8417/C101</f>
        <v>0.3393951612903226</v>
      </c>
      <c r="D106" s="2348">
        <f>0.8417/D101</f>
        <v>0.3393951612903226</v>
      </c>
      <c r="E106" s="2348">
        <f>0.7371/E101</f>
        <v>0.29721774193548384</v>
      </c>
      <c r="F106" s="2348">
        <f>0.7371/F101</f>
        <v>0.29721774193548384</v>
      </c>
      <c r="G106" s="2348">
        <f>0.7371/G101</f>
        <v>0.29721774193548384</v>
      </c>
      <c r="H106" s="2348">
        <f>0.7371/H101</f>
        <v>0.29721774193548384</v>
      </c>
      <c r="I106" s="2348">
        <f>0.7371/I101</f>
        <v>0.29721774193548384</v>
      </c>
      <c r="J106" s="2348">
        <f>0.5659/J101</f>
        <v>0.22818548387096774</v>
      </c>
      <c r="K106" s="2348">
        <f>0.5659/K101</f>
        <v>0.22818548387096774</v>
      </c>
      <c r="L106" s="2348">
        <f>0.5659/L101</f>
        <v>0.22818548387096774</v>
      </c>
      <c r="M106" s="2348">
        <f>0.5659/M101</f>
        <v>0.22818548387096774</v>
      </c>
      <c r="N106" s="2348">
        <f>0.5659/N101</f>
        <v>0.22818548387096774</v>
      </c>
    </row>
    <row r="107" spans="1:14">
      <c r="A107" s="3433"/>
      <c r="B107" s="2347">
        <v>6</v>
      </c>
      <c r="C107" s="2348">
        <f>0.7608/C101</f>
        <v>0.30677419354838709</v>
      </c>
      <c r="D107" s="2348">
        <f>0.7608/D101</f>
        <v>0.30677419354838709</v>
      </c>
      <c r="E107" s="2348">
        <f>0.6482/E101</f>
        <v>0.26137096774193547</v>
      </c>
      <c r="F107" s="2348">
        <f>0.6482/F101</f>
        <v>0.26137096774193547</v>
      </c>
      <c r="G107" s="2348">
        <f>0.6482/G101</f>
        <v>0.26137096774193547</v>
      </c>
      <c r="H107" s="2348">
        <f>0.6482/H101</f>
        <v>0.26137096774193547</v>
      </c>
      <c r="I107" s="2348">
        <f>0.6482/I101</f>
        <v>0.26137096774193547</v>
      </c>
      <c r="J107" s="2348">
        <f>0.4525/J101</f>
        <v>0.18245967741935484</v>
      </c>
      <c r="K107" s="2348">
        <f>0.4525/K101</f>
        <v>0.18245967741935484</v>
      </c>
      <c r="L107" s="2348">
        <f>0.4525/L101</f>
        <v>0.18245967741935484</v>
      </c>
      <c r="M107" s="2348">
        <f>0.4525/M101</f>
        <v>0.18245967741935484</v>
      </c>
      <c r="N107" s="2348">
        <f>0.4525/N101</f>
        <v>0.18245967741935484</v>
      </c>
    </row>
    <row r="108" spans="1:14">
      <c r="A108" s="3433"/>
      <c r="B108" s="3435" t="s">
        <v>2797</v>
      </c>
      <c r="C108" s="2349">
        <f>C99</f>
        <v>0</v>
      </c>
      <c r="D108" s="2349">
        <f t="shared" ref="D108:N108" si="31">D99</f>
        <v>0</v>
      </c>
      <c r="E108" s="2349">
        <f t="shared" si="31"/>
        <v>0</v>
      </c>
      <c r="F108" s="2349">
        <f t="shared" si="31"/>
        <v>0</v>
      </c>
      <c r="G108" s="2349">
        <f t="shared" si="31"/>
        <v>0</v>
      </c>
      <c r="H108" s="2349">
        <f t="shared" si="31"/>
        <v>0</v>
      </c>
      <c r="I108" s="2349">
        <f t="shared" si="31"/>
        <v>0</v>
      </c>
      <c r="J108" s="2349">
        <f t="shared" si="31"/>
        <v>0</v>
      </c>
      <c r="K108" s="2349">
        <f t="shared" si="31"/>
        <v>0</v>
      </c>
      <c r="L108" s="2349">
        <f t="shared" si="31"/>
        <v>0</v>
      </c>
      <c r="M108" s="2349">
        <f t="shared" si="31"/>
        <v>0</v>
      </c>
      <c r="N108" s="2349">
        <f t="shared" si="31"/>
        <v>0</v>
      </c>
    </row>
    <row r="109" spans="1:14">
      <c r="A109" s="3434"/>
      <c r="B109" s="3436"/>
      <c r="C109" s="2350">
        <f>(-0.163*(C108^2)-0.59*C108+7617)*(10^(-4))/C101</f>
        <v>0.30713709677419354</v>
      </c>
      <c r="D109" s="2350">
        <f>(-0.163*(D108^2)-0.59*D108+7617)*(10^(-4))/D101</f>
        <v>0.30713709677419354</v>
      </c>
      <c r="E109" s="2350">
        <f>(-0.161*(E108^2)-7.509*E108+6533)*(10^(-4))/E101</f>
        <v>0.26342741935483871</v>
      </c>
      <c r="F109" s="2350">
        <f>(-0.161*(F108^2)-7.509*F108+6533)*(10^(-4))/F101</f>
        <v>0.26342741935483871</v>
      </c>
      <c r="G109" s="2350">
        <f>(-0.161*(G108^2)-7.509*G108+6533)*(10^(-4))/G101</f>
        <v>0.26342741935483871</v>
      </c>
      <c r="H109" s="2350">
        <f>(-0.161*(H108^2)-7.509*H108+6533)*(10^(-4))/H101</f>
        <v>0.26342741935483871</v>
      </c>
      <c r="I109" s="2350">
        <f>(-0.161*(I108^2)-7.509*I108+6533)*(10^(-4))/I101</f>
        <v>0.26342741935483871</v>
      </c>
      <c r="J109" s="2350">
        <f>(-0.214*(J108^2)-21.991*J108+4665)*(10^(-4))/J101</f>
        <v>0.18810483870967742</v>
      </c>
      <c r="K109" s="2350">
        <f>(-0.214*(K108^2)-21.991*K108+4665)*(10^(-4))/K101</f>
        <v>0.18810483870967742</v>
      </c>
      <c r="L109" s="2350">
        <f>(-0.214*(L108^2)-21.991*L108+4665)*(10^(-4))/L101</f>
        <v>0.18810483870967742</v>
      </c>
      <c r="M109" s="2350">
        <f>(-0.214*(M108^2)-21.991*M108+4665)*(10^(-4))/M101</f>
        <v>0.18810483870967742</v>
      </c>
      <c r="N109" s="2350">
        <f>(-0.214*(N108^2)-21.991*N108+4665)*(10^(-4))/N101</f>
        <v>0.18810483870967742</v>
      </c>
    </row>
    <row r="110" spans="1:14">
      <c r="A110" s="3430" t="s">
        <v>2798</v>
      </c>
      <c r="B110" s="3430"/>
      <c r="C110" s="3430"/>
      <c r="D110" s="3430"/>
      <c r="E110" s="3430"/>
      <c r="F110" s="3430"/>
      <c r="G110" s="3430"/>
      <c r="H110" s="3430"/>
      <c r="I110" s="3430"/>
      <c r="J110" s="3430"/>
      <c r="K110" s="2353"/>
      <c r="L110" s="2353"/>
      <c r="M110" s="2353"/>
      <c r="N110" s="2353"/>
    </row>
    <row r="112" spans="1:14" ht="13.5" thickBot="1"/>
    <row r="113" spans="1:13" ht="25.5" thickBot="1">
      <c r="A113" s="842" t="s">
        <v>2799</v>
      </c>
      <c r="B113" s="1197">
        <f>G3</f>
        <v>2.48</v>
      </c>
      <c r="C113" s="843" t="s">
        <v>2800</v>
      </c>
      <c r="D113" s="844">
        <f>SUMPRODUCT((A115:A118=F113)*(B114:M114=H113)*B115:M118)</f>
        <v>0.73470000000000002</v>
      </c>
      <c r="E113" s="2189" t="s">
        <v>2634</v>
      </c>
      <c r="F113" s="2355" t="str">
        <f>E2</f>
        <v>办公</v>
      </c>
      <c r="G113" s="2189" t="s">
        <v>2635</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0.91020000000000001</v>
      </c>
      <c r="C115" s="849">
        <f>B115</f>
        <v>0.91020000000000001</v>
      </c>
      <c r="D115" s="849">
        <f>ROUND(0.8331-0.0109*B113,4)</f>
        <v>0.80610000000000004</v>
      </c>
      <c r="E115" s="849">
        <f>D115</f>
        <v>0.80610000000000004</v>
      </c>
      <c r="F115" s="849">
        <f>E115</f>
        <v>0.80610000000000004</v>
      </c>
      <c r="G115" s="849">
        <f>F115</f>
        <v>0.80610000000000004</v>
      </c>
      <c r="H115" s="849">
        <f>G115</f>
        <v>0.80610000000000004</v>
      </c>
      <c r="I115" s="849">
        <f>ROUND(0.689-0.0155*B113,4)</f>
        <v>0.65059999999999996</v>
      </c>
      <c r="J115" s="849">
        <f t="shared" ref="J115:M118" si="32">I115</f>
        <v>0.65059999999999996</v>
      </c>
      <c r="K115" s="849">
        <f t="shared" si="32"/>
        <v>0.65059999999999996</v>
      </c>
      <c r="L115" s="849">
        <f t="shared" si="32"/>
        <v>0.65059999999999996</v>
      </c>
      <c r="M115" s="850">
        <f t="shared" si="32"/>
        <v>0.65059999999999996</v>
      </c>
    </row>
    <row r="116" spans="1:13">
      <c r="A116" s="848" t="s">
        <v>2700</v>
      </c>
      <c r="B116" s="849">
        <f>ROUND(0.949-0.012*B113,4)</f>
        <v>0.91920000000000002</v>
      </c>
      <c r="C116" s="849">
        <f>B116</f>
        <v>0.91920000000000002</v>
      </c>
      <c r="D116" s="849">
        <f>ROUND(0.8567-0.013*B113,4)</f>
        <v>0.82450000000000001</v>
      </c>
      <c r="E116" s="849">
        <f t="shared" ref="E116:H117" si="33">D116</f>
        <v>0.82450000000000001</v>
      </c>
      <c r="F116" s="849">
        <f t="shared" si="33"/>
        <v>0.82450000000000001</v>
      </c>
      <c r="G116" s="849">
        <f t="shared" si="33"/>
        <v>0.82450000000000001</v>
      </c>
      <c r="H116" s="849">
        <f t="shared" si="33"/>
        <v>0.82450000000000001</v>
      </c>
      <c r="I116" s="849">
        <f>ROUND(0.7694-0.014*B113,4)</f>
        <v>0.73470000000000002</v>
      </c>
      <c r="J116" s="849">
        <f t="shared" si="32"/>
        <v>0.73470000000000002</v>
      </c>
      <c r="K116" s="849">
        <f t="shared" si="32"/>
        <v>0.73470000000000002</v>
      </c>
      <c r="L116" s="849">
        <f t="shared" si="32"/>
        <v>0.73470000000000002</v>
      </c>
      <c r="M116" s="850">
        <f t="shared" si="32"/>
        <v>0.73470000000000002</v>
      </c>
    </row>
    <row r="117" spans="1:13">
      <c r="A117" s="848" t="s">
        <v>2701</v>
      </c>
      <c r="B117" s="849">
        <f>ROUND(0.8808-0.006*B113,4)</f>
        <v>0.8659</v>
      </c>
      <c r="C117" s="849">
        <f>B117</f>
        <v>0.8659</v>
      </c>
      <c r="D117" s="849">
        <f>ROUND(0.8748-0.008*B113,4)</f>
        <v>0.85499999999999998</v>
      </c>
      <c r="E117" s="849">
        <f t="shared" si="33"/>
        <v>0.85499999999999998</v>
      </c>
      <c r="F117" s="849">
        <f t="shared" si="33"/>
        <v>0.85499999999999998</v>
      </c>
      <c r="G117" s="849">
        <f t="shared" si="33"/>
        <v>0.85499999999999998</v>
      </c>
      <c r="H117" s="849">
        <f t="shared" si="33"/>
        <v>0.85499999999999998</v>
      </c>
      <c r="I117" s="849">
        <f>ROUND(0.7412-0.0095*B113,4)</f>
        <v>0.71760000000000002</v>
      </c>
      <c r="J117" s="849">
        <f t="shared" si="32"/>
        <v>0.71760000000000002</v>
      </c>
      <c r="K117" s="849">
        <f t="shared" si="32"/>
        <v>0.71760000000000002</v>
      </c>
      <c r="L117" s="849">
        <f t="shared" si="32"/>
        <v>0.71760000000000002</v>
      </c>
      <c r="M117" s="850">
        <f t="shared" si="32"/>
        <v>0.71760000000000002</v>
      </c>
    </row>
    <row r="118" spans="1:13" ht="13.5" thickBot="1">
      <c r="A118" s="670" t="s">
        <v>2702</v>
      </c>
      <c r="B118" s="851">
        <f>ROUND(0.7275-0.01*B113,4)</f>
        <v>0.70269999999999999</v>
      </c>
      <c r="C118" s="851">
        <f>B118</f>
        <v>0.70269999999999999</v>
      </c>
      <c r="D118" s="851">
        <f>ROUND(0.7043-0.012*B113,4)</f>
        <v>0.67449999999999999</v>
      </c>
      <c r="E118" s="851">
        <f>D118</f>
        <v>0.67449999999999999</v>
      </c>
      <c r="F118" s="851">
        <f>E118</f>
        <v>0.67449999999999999</v>
      </c>
      <c r="G118" s="851">
        <f>ROUND(0.6299-0.0122*B113,4)</f>
        <v>0.59960000000000002</v>
      </c>
      <c r="H118" s="851">
        <f>G118</f>
        <v>0.59960000000000002</v>
      </c>
      <c r="I118" s="851">
        <f>ROUND(0.5667-0.0136*B113,4)</f>
        <v>0.53300000000000003</v>
      </c>
      <c r="J118" s="851">
        <f t="shared" si="32"/>
        <v>0.53300000000000003</v>
      </c>
      <c r="K118" s="851">
        <f t="shared" si="32"/>
        <v>0.53300000000000003</v>
      </c>
      <c r="L118" s="851">
        <f t="shared" si="32"/>
        <v>0.53300000000000003</v>
      </c>
      <c r="M118" s="852">
        <f t="shared" si="32"/>
        <v>0.53300000000000003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43" t="s">
        <v>183</v>
      </c>
      <c r="B18" s="821" t="s">
        <v>560</v>
      </c>
      <c r="C18" s="822" t="s">
        <v>561</v>
      </c>
      <c r="D18" s="823"/>
      <c r="E18" s="821">
        <v>1</v>
      </c>
      <c r="F18" s="824" t="s">
        <v>562</v>
      </c>
      <c r="G18" s="825"/>
      <c r="H18" s="817"/>
      <c r="I18" s="817"/>
    </row>
    <row r="19" spans="1:9" s="826" customFormat="1" ht="19.5" customHeight="1">
      <c r="A19" s="3443"/>
      <c r="B19" s="3443" t="s">
        <v>563</v>
      </c>
      <c r="C19" s="822" t="s">
        <v>564</v>
      </c>
      <c r="D19" s="823"/>
      <c r="E19" s="821">
        <v>0.9</v>
      </c>
      <c r="F19" s="824" t="s">
        <v>565</v>
      </c>
      <c r="G19" s="825"/>
      <c r="H19" s="817"/>
      <c r="I19" s="817"/>
    </row>
    <row r="20" spans="1:9" s="826" customFormat="1" ht="19.5" customHeight="1">
      <c r="A20" s="3443"/>
      <c r="B20" s="3443"/>
      <c r="C20" s="822" t="s">
        <v>566</v>
      </c>
      <c r="D20" s="823"/>
      <c r="E20" s="821">
        <v>1.1000000000000001</v>
      </c>
      <c r="F20" s="824" t="s">
        <v>567</v>
      </c>
      <c r="G20" s="825"/>
      <c r="H20" s="817"/>
      <c r="I20" s="817"/>
    </row>
    <row r="21" spans="1:9" s="826" customFormat="1" ht="19.5" customHeight="1">
      <c r="A21" s="3443"/>
      <c r="B21" s="3443"/>
      <c r="C21" s="822" t="s">
        <v>568</v>
      </c>
      <c r="D21" s="823"/>
      <c r="E21" s="821">
        <v>0.8</v>
      </c>
      <c r="F21" s="824" t="s">
        <v>569</v>
      </c>
      <c r="G21" s="825"/>
      <c r="H21" s="817"/>
      <c r="I21" s="817"/>
    </row>
    <row r="22" spans="1:9" s="826" customFormat="1" ht="19.5" customHeight="1">
      <c r="A22" s="3443"/>
      <c r="B22" s="3443"/>
      <c r="C22" s="822" t="s">
        <v>570</v>
      </c>
      <c r="D22" s="823"/>
      <c r="E22" s="821">
        <v>0.5</v>
      </c>
      <c r="F22" s="824"/>
      <c r="G22" s="825"/>
      <c r="H22" s="817"/>
      <c r="I22" s="817"/>
    </row>
    <row r="23" spans="1:9" s="826" customFormat="1" ht="19.5" customHeight="1">
      <c r="A23" s="3443" t="s">
        <v>184</v>
      </c>
      <c r="B23" s="821" t="s">
        <v>560</v>
      </c>
      <c r="C23" s="822" t="s">
        <v>571</v>
      </c>
      <c r="D23" s="823"/>
      <c r="E23" s="821">
        <v>1</v>
      </c>
      <c r="F23" s="824" t="s">
        <v>572</v>
      </c>
      <c r="G23" s="825"/>
      <c r="H23" s="817"/>
      <c r="I23" s="817"/>
    </row>
    <row r="24" spans="1:9" s="826" customFormat="1" ht="19.5" customHeight="1">
      <c r="A24" s="3443"/>
      <c r="B24" s="3443" t="s">
        <v>563</v>
      </c>
      <c r="C24" s="822" t="s">
        <v>573</v>
      </c>
      <c r="D24" s="823"/>
      <c r="E24" s="821">
        <v>0.5</v>
      </c>
      <c r="F24" s="824"/>
      <c r="G24" s="825"/>
      <c r="H24" s="817"/>
      <c r="I24" s="817"/>
    </row>
    <row r="25" spans="1:9" s="826" customFormat="1" ht="19.5" customHeight="1">
      <c r="A25" s="3443"/>
      <c r="B25" s="3443"/>
      <c r="C25" s="822" t="s">
        <v>574</v>
      </c>
      <c r="D25" s="823"/>
      <c r="E25" s="821">
        <v>1.1000000000000001</v>
      </c>
      <c r="F25" s="824"/>
      <c r="G25" s="825"/>
      <c r="H25" s="817"/>
      <c r="I25" s="817"/>
    </row>
    <row r="26" spans="1:9" s="826" customFormat="1" ht="19.5" customHeight="1">
      <c r="A26" s="3443"/>
      <c r="B26" s="3443"/>
      <c r="C26" s="822" t="s">
        <v>575</v>
      </c>
      <c r="D26" s="823"/>
      <c r="E26" s="821">
        <v>1.1000000000000001</v>
      </c>
      <c r="F26" s="824"/>
      <c r="G26" s="825"/>
      <c r="H26" s="817"/>
      <c r="I26" s="817"/>
    </row>
    <row r="27" spans="1:9" s="826" customFormat="1" ht="19.5" customHeight="1">
      <c r="A27" s="3443"/>
      <c r="B27" s="3443"/>
      <c r="C27" s="822" t="s">
        <v>576</v>
      </c>
      <c r="D27" s="823"/>
      <c r="E27" s="821">
        <v>0.9</v>
      </c>
      <c r="F27" s="824" t="s">
        <v>577</v>
      </c>
      <c r="G27" s="825"/>
      <c r="H27" s="817"/>
      <c r="I27" s="817"/>
    </row>
    <row r="28" spans="1:9" s="826" customFormat="1" ht="19.5" customHeight="1">
      <c r="A28" s="3443"/>
      <c r="B28" s="3443"/>
      <c r="C28" s="822" t="s">
        <v>578</v>
      </c>
      <c r="D28" s="823"/>
      <c r="E28" s="821">
        <v>0.9</v>
      </c>
      <c r="F28" s="824" t="s">
        <v>579</v>
      </c>
      <c r="G28" s="825"/>
      <c r="H28" s="817"/>
      <c r="I28" s="817"/>
    </row>
    <row r="29" spans="1:9" s="826" customFormat="1" ht="19.5" customHeight="1">
      <c r="A29" s="3443"/>
      <c r="B29" s="3443"/>
      <c r="C29" s="822" t="s">
        <v>580</v>
      </c>
      <c r="D29" s="823"/>
      <c r="E29" s="821">
        <v>0.9</v>
      </c>
      <c r="F29" s="824" t="s">
        <v>581</v>
      </c>
      <c r="G29" s="825"/>
      <c r="H29" s="817"/>
      <c r="I29" s="817"/>
    </row>
    <row r="30" spans="1:9" s="826" customFormat="1" ht="19.5" customHeight="1">
      <c r="A30" s="3443"/>
      <c r="B30" s="3443"/>
      <c r="C30" s="822" t="s">
        <v>582</v>
      </c>
      <c r="D30" s="823"/>
      <c r="E30" s="821">
        <v>0.9</v>
      </c>
      <c r="F30" s="824" t="s">
        <v>583</v>
      </c>
      <c r="G30" s="825"/>
      <c r="H30" s="817"/>
      <c r="I30" s="817"/>
    </row>
    <row r="31" spans="1:9" s="826" customFormat="1" ht="19.5" customHeight="1">
      <c r="A31" s="3443"/>
      <c r="B31" s="3443"/>
      <c r="C31" s="822" t="s">
        <v>584</v>
      </c>
      <c r="D31" s="823"/>
      <c r="E31" s="821">
        <v>0.8</v>
      </c>
      <c r="F31" s="824" t="s">
        <v>585</v>
      </c>
      <c r="G31" s="825"/>
      <c r="H31" s="817"/>
      <c r="I31" s="817"/>
    </row>
    <row r="32" spans="1:9" s="826" customFormat="1" ht="19.5" customHeight="1">
      <c r="A32" s="3443"/>
      <c r="B32" s="3443"/>
      <c r="C32" s="822" t="s">
        <v>586</v>
      </c>
      <c r="D32" s="823"/>
      <c r="E32" s="821">
        <v>0.8</v>
      </c>
      <c r="F32" s="824" t="s">
        <v>587</v>
      </c>
      <c r="G32" s="825"/>
      <c r="H32" s="817"/>
      <c r="I32" s="817"/>
    </row>
    <row r="33" spans="1:9" s="826" customFormat="1" ht="19.5" customHeight="1">
      <c r="A33" s="3443" t="s">
        <v>185</v>
      </c>
      <c r="B33" s="821" t="s">
        <v>560</v>
      </c>
      <c r="C33" s="822" t="s">
        <v>588</v>
      </c>
      <c r="D33" s="823"/>
      <c r="E33" s="821">
        <v>1</v>
      </c>
      <c r="F33" s="824" t="s">
        <v>589</v>
      </c>
      <c r="G33" s="825"/>
      <c r="H33" s="817"/>
      <c r="I33" s="817"/>
    </row>
    <row r="34" spans="1:9" s="826" customFormat="1" ht="19.5" customHeight="1">
      <c r="A34" s="3443"/>
      <c r="B34" s="821" t="s">
        <v>563</v>
      </c>
      <c r="C34" s="822" t="s">
        <v>590</v>
      </c>
      <c r="D34" s="823"/>
      <c r="E34" s="821">
        <v>1.5</v>
      </c>
      <c r="F34" s="824" t="s">
        <v>591</v>
      </c>
      <c r="G34" s="825"/>
      <c r="H34" s="817"/>
      <c r="I34" s="817"/>
    </row>
    <row r="35" spans="1:9" s="826" customFormat="1" ht="19.5" customHeight="1">
      <c r="A35" s="3443" t="s">
        <v>186</v>
      </c>
      <c r="B35" s="821" t="s">
        <v>560</v>
      </c>
      <c r="C35" s="822" t="s">
        <v>592</v>
      </c>
      <c r="D35" s="823"/>
      <c r="E35" s="821">
        <v>1</v>
      </c>
      <c r="F35" s="824" t="s">
        <v>593</v>
      </c>
      <c r="G35" s="825"/>
      <c r="H35" s="817"/>
      <c r="I35" s="817"/>
    </row>
    <row r="36" spans="1:9" s="826" customFormat="1" ht="19.5" customHeight="1">
      <c r="A36" s="3443"/>
      <c r="B36" s="3443" t="s">
        <v>563</v>
      </c>
      <c r="C36" s="822" t="s">
        <v>594</v>
      </c>
      <c r="D36" s="823"/>
      <c r="E36" s="821">
        <v>1</v>
      </c>
      <c r="F36" s="824" t="s">
        <v>595</v>
      </c>
      <c r="G36" s="825"/>
      <c r="H36" s="817"/>
      <c r="I36" s="817"/>
    </row>
    <row r="37" spans="1:9" s="826" customFormat="1" ht="19.5" customHeight="1">
      <c r="A37" s="3443"/>
      <c r="B37" s="3443"/>
      <c r="C37" s="822" t="s">
        <v>596</v>
      </c>
      <c r="D37" s="823"/>
      <c r="E37" s="821">
        <v>1.5</v>
      </c>
      <c r="F37" s="824" t="s">
        <v>597</v>
      </c>
      <c r="G37" s="825"/>
      <c r="H37" s="817"/>
      <c r="I37" s="817"/>
    </row>
    <row r="38" spans="1:9" s="826" customFormat="1" ht="19.5" customHeight="1">
      <c r="A38" s="3443"/>
      <c r="B38" s="3443"/>
      <c r="C38" s="822" t="s">
        <v>598</v>
      </c>
      <c r="D38" s="823"/>
      <c r="E38" s="821">
        <v>1</v>
      </c>
      <c r="F38" s="824" t="s">
        <v>599</v>
      </c>
      <c r="G38" s="825"/>
      <c r="H38" s="817"/>
      <c r="I38" s="817"/>
    </row>
    <row r="39" spans="1:9" s="826" customFormat="1" ht="19.5" customHeight="1">
      <c r="A39" s="3443"/>
      <c r="B39" s="34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43" t="s">
        <v>614</v>
      </c>
      <c r="C61" s="757" t="s">
        <v>615</v>
      </c>
      <c r="D61" s="757" t="s">
        <v>616</v>
      </c>
      <c r="E61" s="834">
        <v>0.5</v>
      </c>
      <c r="F61" s="821">
        <v>80</v>
      </c>
    </row>
    <row r="62" spans="1:8" s="817" customFormat="1" ht="24">
      <c r="A62" s="821">
        <v>2</v>
      </c>
      <c r="B62" s="3443"/>
      <c r="C62" s="757" t="s">
        <v>617</v>
      </c>
      <c r="D62" s="757" t="s">
        <v>618</v>
      </c>
      <c r="E62" s="834">
        <v>0.5</v>
      </c>
      <c r="F62" s="821">
        <v>80</v>
      </c>
    </row>
    <row r="63" spans="1:8" s="817" customFormat="1" ht="36">
      <c r="A63" s="821">
        <v>3</v>
      </c>
      <c r="B63" s="3443"/>
      <c r="C63" s="757" t="s">
        <v>619</v>
      </c>
      <c r="D63" s="757" t="s">
        <v>620</v>
      </c>
      <c r="E63" s="834">
        <v>0.5</v>
      </c>
      <c r="F63" s="821">
        <v>80</v>
      </c>
    </row>
    <row r="64" spans="1:8" s="817" customFormat="1" ht="36">
      <c r="A64" s="821">
        <v>4</v>
      </c>
      <c r="B64" s="3443"/>
      <c r="C64" s="757" t="s">
        <v>621</v>
      </c>
      <c r="D64" s="757" t="s">
        <v>622</v>
      </c>
      <c r="E64" s="834">
        <v>0.4</v>
      </c>
      <c r="F64" s="821">
        <v>60</v>
      </c>
    </row>
    <row r="65" spans="1:6" s="817" customFormat="1" ht="36">
      <c r="A65" s="821">
        <v>5</v>
      </c>
      <c r="B65" s="3443"/>
      <c r="C65" s="757" t="s">
        <v>623</v>
      </c>
      <c r="D65" s="757" t="s">
        <v>624</v>
      </c>
      <c r="E65" s="834">
        <v>0.2</v>
      </c>
      <c r="F65" s="821">
        <v>30</v>
      </c>
    </row>
    <row r="66" spans="1:6" s="817" customFormat="1" ht="36">
      <c r="A66" s="821">
        <v>6</v>
      </c>
      <c r="B66" s="3443"/>
      <c r="C66" s="757" t="s">
        <v>625</v>
      </c>
      <c r="D66" s="757" t="s">
        <v>626</v>
      </c>
      <c r="E66" s="834">
        <v>0.3</v>
      </c>
      <c r="F66" s="821">
        <v>50</v>
      </c>
    </row>
    <row r="67" spans="1:6" s="817" customFormat="1" ht="36">
      <c r="A67" s="821">
        <v>7</v>
      </c>
      <c r="B67" s="3443"/>
      <c r="C67" s="757" t="s">
        <v>627</v>
      </c>
      <c r="D67" s="757" t="s">
        <v>628</v>
      </c>
      <c r="E67" s="834">
        <v>0.2</v>
      </c>
      <c r="F67" s="821">
        <v>30</v>
      </c>
    </row>
    <row r="68" spans="1:6" s="817" customFormat="1" ht="36">
      <c r="A68" s="821">
        <v>8</v>
      </c>
      <c r="B68" s="3443"/>
      <c r="C68" s="757" t="s">
        <v>629</v>
      </c>
      <c r="D68" s="757" t="s">
        <v>630</v>
      </c>
      <c r="E68" s="834">
        <v>0.2</v>
      </c>
      <c r="F68" s="821">
        <v>30</v>
      </c>
    </row>
    <row r="69" spans="1:6" s="817" customFormat="1" ht="36">
      <c r="A69" s="821">
        <v>9</v>
      </c>
      <c r="B69" s="3443"/>
      <c r="C69" s="757" t="s">
        <v>631</v>
      </c>
      <c r="D69" s="757" t="s">
        <v>632</v>
      </c>
      <c r="E69" s="834">
        <v>0.2</v>
      </c>
      <c r="F69" s="821">
        <v>30</v>
      </c>
    </row>
    <row r="70" spans="1:6" s="817" customFormat="1" ht="48">
      <c r="A70" s="821">
        <v>10</v>
      </c>
      <c r="B70" s="3443"/>
      <c r="C70" s="757" t="s">
        <v>633</v>
      </c>
      <c r="D70" s="757" t="s">
        <v>634</v>
      </c>
      <c r="E70" s="834">
        <v>0.2</v>
      </c>
      <c r="F70" s="821">
        <v>30</v>
      </c>
    </row>
    <row r="71" spans="1:6" s="817" customFormat="1" ht="48">
      <c r="A71" s="821">
        <v>11</v>
      </c>
      <c r="B71" s="3443"/>
      <c r="C71" s="757" t="s">
        <v>635</v>
      </c>
      <c r="D71" s="757" t="s">
        <v>636</v>
      </c>
      <c r="E71" s="834">
        <v>0.2</v>
      </c>
      <c r="F71" s="821">
        <v>30</v>
      </c>
    </row>
    <row r="72" spans="1:6" s="817" customFormat="1" ht="36">
      <c r="A72" s="821">
        <v>12</v>
      </c>
      <c r="B72" s="3443"/>
      <c r="C72" s="757" t="s">
        <v>637</v>
      </c>
      <c r="D72" s="757" t="s">
        <v>638</v>
      </c>
      <c r="E72" s="834">
        <v>0.5</v>
      </c>
      <c r="F72" s="821">
        <v>80</v>
      </c>
    </row>
    <row r="73" spans="1:6" s="817" customFormat="1" ht="24">
      <c r="A73" s="821">
        <v>13</v>
      </c>
      <c r="B73" s="3443"/>
      <c r="C73" s="757" t="s">
        <v>639</v>
      </c>
      <c r="D73" s="757" t="s">
        <v>640</v>
      </c>
      <c r="E73" s="834">
        <v>0.4</v>
      </c>
      <c r="F73" s="821">
        <v>60</v>
      </c>
    </row>
    <row r="74" spans="1:6" s="817" customFormat="1" ht="24">
      <c r="A74" s="821">
        <v>14</v>
      </c>
      <c r="B74" s="3443"/>
      <c r="C74" s="757" t="s">
        <v>641</v>
      </c>
      <c r="D74" s="757" t="s">
        <v>642</v>
      </c>
      <c r="E74" s="834">
        <v>0.2</v>
      </c>
      <c r="F74" s="821">
        <v>30</v>
      </c>
    </row>
    <row r="75" spans="1:6" s="817" customFormat="1" ht="24">
      <c r="A75" s="821">
        <v>15</v>
      </c>
      <c r="B75" s="3443"/>
      <c r="C75" s="757" t="s">
        <v>643</v>
      </c>
      <c r="D75" s="757" t="s">
        <v>644</v>
      </c>
      <c r="E75" s="834">
        <v>0.2</v>
      </c>
      <c r="F75" s="821">
        <v>30</v>
      </c>
    </row>
    <row r="76" spans="1:6" s="817" customFormat="1" ht="24">
      <c r="A76" s="821">
        <v>16</v>
      </c>
      <c r="B76" s="3443" t="s">
        <v>645</v>
      </c>
      <c r="C76" s="757" t="s">
        <v>646</v>
      </c>
      <c r="D76" s="757" t="s">
        <v>647</v>
      </c>
      <c r="E76" s="834">
        <v>0.5</v>
      </c>
      <c r="F76" s="821">
        <v>80</v>
      </c>
    </row>
    <row r="77" spans="1:6" s="817" customFormat="1" ht="24">
      <c r="A77" s="821">
        <v>17</v>
      </c>
      <c r="B77" s="3443"/>
      <c r="C77" s="757" t="s">
        <v>648</v>
      </c>
      <c r="D77" s="757" t="s">
        <v>649</v>
      </c>
      <c r="E77" s="834">
        <v>0.5</v>
      </c>
      <c r="F77" s="821">
        <v>80</v>
      </c>
    </row>
    <row r="78" spans="1:6" s="817" customFormat="1" ht="24">
      <c r="A78" s="821">
        <v>18</v>
      </c>
      <c r="B78" s="3443"/>
      <c r="C78" s="757" t="s">
        <v>650</v>
      </c>
      <c r="D78" s="757" t="s">
        <v>651</v>
      </c>
      <c r="E78" s="834">
        <v>0.2</v>
      </c>
      <c r="F78" s="821">
        <v>30</v>
      </c>
    </row>
    <row r="79" spans="1:6" s="817" customFormat="1" ht="24">
      <c r="A79" s="821">
        <v>19</v>
      </c>
      <c r="B79" s="3443"/>
      <c r="C79" s="757" t="s">
        <v>652</v>
      </c>
      <c r="D79" s="757" t="s">
        <v>653</v>
      </c>
      <c r="E79" s="834">
        <v>0.5</v>
      </c>
      <c r="F79" s="821">
        <v>80</v>
      </c>
    </row>
    <row r="80" spans="1:6" s="817" customFormat="1" ht="36">
      <c r="A80" s="821">
        <v>20</v>
      </c>
      <c r="B80" s="3443"/>
      <c r="C80" s="757" t="s">
        <v>654</v>
      </c>
      <c r="D80" s="757" t="s">
        <v>655</v>
      </c>
      <c r="E80" s="834">
        <v>0.2</v>
      </c>
      <c r="F80" s="821">
        <v>30</v>
      </c>
    </row>
    <row r="81" spans="1:6" s="817" customFormat="1" ht="36">
      <c r="A81" s="821">
        <v>21</v>
      </c>
      <c r="B81" s="3443"/>
      <c r="C81" s="757" t="s">
        <v>656</v>
      </c>
      <c r="D81" s="757" t="s">
        <v>657</v>
      </c>
      <c r="E81" s="834">
        <v>0.2</v>
      </c>
      <c r="F81" s="821">
        <v>30</v>
      </c>
    </row>
    <row r="82" spans="1:6" s="817" customFormat="1" ht="48">
      <c r="A82" s="821">
        <v>22</v>
      </c>
      <c r="B82" s="3443"/>
      <c r="C82" s="757" t="s">
        <v>658</v>
      </c>
      <c r="D82" s="757" t="s">
        <v>659</v>
      </c>
      <c r="E82" s="834">
        <v>0.2</v>
      </c>
      <c r="F82" s="821">
        <v>30</v>
      </c>
    </row>
    <row r="83" spans="1:6" s="817" customFormat="1" ht="48">
      <c r="A83" s="821">
        <v>23</v>
      </c>
      <c r="B83" s="3443"/>
      <c r="C83" s="757" t="s">
        <v>660</v>
      </c>
      <c r="D83" s="757" t="s">
        <v>661</v>
      </c>
      <c r="E83" s="834">
        <v>0.2</v>
      </c>
      <c r="F83" s="821">
        <v>30</v>
      </c>
    </row>
    <row r="84" spans="1:6" s="817" customFormat="1" ht="36">
      <c r="A84" s="821">
        <v>24</v>
      </c>
      <c r="B84" s="3443"/>
      <c r="C84" s="757" t="s">
        <v>662</v>
      </c>
      <c r="D84" s="757" t="s">
        <v>663</v>
      </c>
      <c r="E84" s="834">
        <v>0.2</v>
      </c>
      <c r="F84" s="821">
        <v>30</v>
      </c>
    </row>
    <row r="85" spans="1:6" s="817" customFormat="1" ht="36">
      <c r="A85" s="821">
        <v>25</v>
      </c>
      <c r="B85" s="3443"/>
      <c r="C85" s="757" t="s">
        <v>664</v>
      </c>
      <c r="D85" s="757" t="s">
        <v>665</v>
      </c>
      <c r="E85" s="834">
        <v>0.5</v>
      </c>
      <c r="F85" s="821">
        <v>80</v>
      </c>
    </row>
    <row r="86" spans="1:6" s="817" customFormat="1" ht="36">
      <c r="A86" s="821">
        <v>26</v>
      </c>
      <c r="B86" s="3443"/>
      <c r="C86" s="757" t="s">
        <v>666</v>
      </c>
      <c r="D86" s="757" t="s">
        <v>667</v>
      </c>
      <c r="E86" s="834">
        <v>0.2</v>
      </c>
      <c r="F86" s="821">
        <v>30</v>
      </c>
    </row>
    <row r="87" spans="1:6" s="817" customFormat="1" ht="36">
      <c r="A87" s="821">
        <v>27</v>
      </c>
      <c r="B87" s="3443"/>
      <c r="C87" s="757" t="s">
        <v>668</v>
      </c>
      <c r="D87" s="757" t="s">
        <v>669</v>
      </c>
      <c r="E87" s="834">
        <v>0.2</v>
      </c>
      <c r="F87" s="821">
        <v>30</v>
      </c>
    </row>
    <row r="88" spans="1:6" s="817" customFormat="1" ht="36">
      <c r="A88" s="821">
        <v>28</v>
      </c>
      <c r="B88" s="3443"/>
      <c r="C88" s="757" t="s">
        <v>670</v>
      </c>
      <c r="D88" s="757" t="s">
        <v>671</v>
      </c>
      <c r="E88" s="834">
        <v>0.2</v>
      </c>
      <c r="F88" s="821">
        <v>30</v>
      </c>
    </row>
    <row r="89" spans="1:6" s="817" customFormat="1" ht="24">
      <c r="A89" s="821">
        <v>29</v>
      </c>
      <c r="B89" s="3443"/>
      <c r="C89" s="757" t="s">
        <v>672</v>
      </c>
      <c r="D89" s="757" t="s">
        <v>673</v>
      </c>
      <c r="E89" s="834">
        <v>0.2</v>
      </c>
      <c r="F89" s="821">
        <v>30</v>
      </c>
    </row>
    <row r="90" spans="1:6" s="817" customFormat="1" ht="24">
      <c r="A90" s="821">
        <v>30</v>
      </c>
      <c r="B90" s="3443"/>
      <c r="C90" s="757" t="s">
        <v>674</v>
      </c>
      <c r="D90" s="757" t="s">
        <v>675</v>
      </c>
      <c r="E90" s="834">
        <v>0.2</v>
      </c>
      <c r="F90" s="821">
        <v>30</v>
      </c>
    </row>
    <row r="91" spans="1:6" s="817" customFormat="1" ht="36">
      <c r="A91" s="821">
        <v>31</v>
      </c>
      <c r="B91" s="3443"/>
      <c r="C91" s="757" t="s">
        <v>676</v>
      </c>
      <c r="D91" s="757" t="s">
        <v>677</v>
      </c>
      <c r="E91" s="834">
        <v>0.2</v>
      </c>
      <c r="F91" s="821">
        <v>30</v>
      </c>
    </row>
    <row r="92" spans="1:6" s="817" customFormat="1" ht="24">
      <c r="A92" s="821">
        <v>32</v>
      </c>
      <c r="B92" s="3443" t="s">
        <v>678</v>
      </c>
      <c r="C92" s="821" t="s">
        <v>679</v>
      </c>
      <c r="D92" s="757" t="s">
        <v>680</v>
      </c>
      <c r="E92" s="834">
        <v>0.2</v>
      </c>
      <c r="F92" s="821">
        <v>30</v>
      </c>
    </row>
    <row r="93" spans="1:6" s="817" customFormat="1" ht="36">
      <c r="A93" s="821">
        <v>33</v>
      </c>
      <c r="B93" s="3443"/>
      <c r="C93" s="821" t="s">
        <v>681</v>
      </c>
      <c r="D93" s="757" t="s">
        <v>682</v>
      </c>
      <c r="E93" s="834">
        <v>0.2</v>
      </c>
      <c r="F93" s="821">
        <v>30</v>
      </c>
    </row>
    <row r="94" spans="1:6" s="817" customFormat="1" ht="48">
      <c r="A94" s="821">
        <v>34</v>
      </c>
      <c r="B94" s="3443"/>
      <c r="C94" s="821" t="s">
        <v>683</v>
      </c>
      <c r="D94" s="757" t="s">
        <v>684</v>
      </c>
      <c r="E94" s="834">
        <v>0.2</v>
      </c>
      <c r="F94" s="821">
        <v>30</v>
      </c>
    </row>
    <row r="95" spans="1:6" s="817" customFormat="1" ht="36">
      <c r="A95" s="821">
        <v>35</v>
      </c>
      <c r="B95" s="3443"/>
      <c r="C95" s="821" t="s">
        <v>685</v>
      </c>
      <c r="D95" s="757" t="s">
        <v>686</v>
      </c>
      <c r="E95" s="834">
        <v>0.2</v>
      </c>
      <c r="F95" s="821">
        <v>30</v>
      </c>
    </row>
    <row r="96" spans="1:6" s="817" customFormat="1" ht="48">
      <c r="A96" s="821">
        <v>36</v>
      </c>
      <c r="B96" s="3443"/>
      <c r="C96" s="757" t="s">
        <v>687</v>
      </c>
      <c r="D96" s="757" t="s">
        <v>688</v>
      </c>
      <c r="E96" s="834">
        <v>0.2</v>
      </c>
      <c r="F96" s="821">
        <v>30</v>
      </c>
    </row>
    <row r="97" spans="1:6" s="817" customFormat="1" ht="36">
      <c r="A97" s="821">
        <v>37</v>
      </c>
      <c r="B97" s="3443"/>
      <c r="C97" s="821" t="s">
        <v>689</v>
      </c>
      <c r="D97" s="757" t="s">
        <v>690</v>
      </c>
      <c r="E97" s="834">
        <v>0.2</v>
      </c>
      <c r="F97" s="821">
        <v>30</v>
      </c>
    </row>
    <row r="98" spans="1:6" s="817" customFormat="1" ht="36">
      <c r="A98" s="821">
        <v>38</v>
      </c>
      <c r="B98" s="3443"/>
      <c r="C98" s="821" t="s">
        <v>691</v>
      </c>
      <c r="D98" s="757" t="s">
        <v>692</v>
      </c>
      <c r="E98" s="834">
        <v>0.2</v>
      </c>
      <c r="F98" s="821">
        <v>30</v>
      </c>
    </row>
    <row r="99" spans="1:6" s="817" customFormat="1" ht="36">
      <c r="A99" s="821">
        <v>39</v>
      </c>
      <c r="B99" s="3443" t="s">
        <v>693</v>
      </c>
      <c r="C99" s="821" t="s">
        <v>694</v>
      </c>
      <c r="D99" s="757" t="s">
        <v>695</v>
      </c>
      <c r="E99" s="834">
        <v>0.3</v>
      </c>
      <c r="F99" s="821">
        <v>50</v>
      </c>
    </row>
    <row r="100" spans="1:6" s="817" customFormat="1" ht="24">
      <c r="A100" s="821">
        <v>40</v>
      </c>
      <c r="B100" s="3443"/>
      <c r="C100" s="821" t="s">
        <v>696</v>
      </c>
      <c r="D100" s="757" t="s">
        <v>697</v>
      </c>
      <c r="E100" s="834">
        <v>0.2</v>
      </c>
      <c r="F100" s="821">
        <v>30</v>
      </c>
    </row>
    <row r="101" spans="1:6" s="817" customFormat="1" ht="36">
      <c r="A101" s="821">
        <v>41</v>
      </c>
      <c r="B101" s="34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43" t="s">
        <v>708</v>
      </c>
      <c r="C105" s="821" t="s">
        <v>709</v>
      </c>
      <c r="D105" s="757" t="s">
        <v>710</v>
      </c>
      <c r="E105" s="834">
        <v>0.2</v>
      </c>
      <c r="F105" s="821">
        <v>30</v>
      </c>
    </row>
    <row r="106" spans="1:6" s="817" customFormat="1" ht="36">
      <c r="A106" s="821">
        <v>46</v>
      </c>
      <c r="B106" s="3443"/>
      <c r="C106" s="821" t="s">
        <v>711</v>
      </c>
      <c r="D106" s="757" t="s">
        <v>712</v>
      </c>
      <c r="E106" s="834">
        <v>0.2</v>
      </c>
      <c r="F106" s="821">
        <v>30</v>
      </c>
    </row>
    <row r="107" spans="1:6" s="817" customFormat="1" ht="36">
      <c r="A107" s="821">
        <v>47</v>
      </c>
      <c r="B107" s="3443" t="s">
        <v>713</v>
      </c>
      <c r="C107" s="821" t="s">
        <v>714</v>
      </c>
      <c r="D107" s="757" t="s">
        <v>715</v>
      </c>
      <c r="E107" s="834">
        <v>0.3</v>
      </c>
      <c r="F107" s="821">
        <v>50</v>
      </c>
    </row>
    <row r="108" spans="1:6" s="817" customFormat="1" ht="36">
      <c r="A108" s="821">
        <v>48</v>
      </c>
      <c r="B108" s="34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43" t="s">
        <v>724</v>
      </c>
      <c r="C111" s="821" t="s">
        <v>725</v>
      </c>
      <c r="D111" s="757" t="s">
        <v>726</v>
      </c>
      <c r="E111" s="834">
        <v>0.2</v>
      </c>
      <c r="F111" s="821">
        <v>30</v>
      </c>
    </row>
    <row r="112" spans="1:6" s="817" customFormat="1" ht="24">
      <c r="A112" s="821">
        <v>52</v>
      </c>
      <c r="B112" s="3443"/>
      <c r="C112" s="821" t="s">
        <v>727</v>
      </c>
      <c r="D112" s="757" t="s">
        <v>728</v>
      </c>
      <c r="E112" s="834">
        <v>0.2</v>
      </c>
      <c r="F112" s="821">
        <v>30</v>
      </c>
    </row>
    <row r="113" spans="1:6" s="817" customFormat="1" ht="24">
      <c r="A113" s="821">
        <v>53</v>
      </c>
      <c r="B113" s="34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43" t="s">
        <v>737</v>
      </c>
      <c r="C116" s="821" t="s">
        <v>738</v>
      </c>
      <c r="D116" s="757" t="s">
        <v>739</v>
      </c>
      <c r="E116" s="834">
        <v>0.2</v>
      </c>
      <c r="F116" s="821">
        <v>30</v>
      </c>
    </row>
    <row r="117" spans="1:6" ht="36">
      <c r="A117" s="821">
        <v>57</v>
      </c>
      <c r="B117" s="34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9.5" thickBot="1">
      <c r="A4" s="1679"/>
      <c r="B4" s="3119" t="s">
        <v>1595</v>
      </c>
      <c r="C4" s="3119"/>
      <c r="D4" s="3119"/>
      <c r="E4" s="1679"/>
    </row>
    <row r="5" spans="1:5" ht="16.5" thickTop="1">
      <c r="A5" s="1677"/>
      <c r="B5" s="3117" t="s">
        <v>1587</v>
      </c>
      <c r="C5" s="1680" t="s">
        <v>1588</v>
      </c>
      <c r="D5" s="959">
        <f ca="1">结果表!H101</f>
        <v>266858</v>
      </c>
      <c r="E5" s="1677"/>
    </row>
    <row r="6" spans="1:5" ht="15.75">
      <c r="A6" s="1677"/>
      <c r="B6" s="3117"/>
      <c r="C6" s="1680" t="s">
        <v>1589</v>
      </c>
      <c r="D6" s="959" t="str">
        <f ca="1">NUMBERSTRING(INT(D5*10000),2)&amp;"元整"</f>
        <v>贰拾陆亿陆仟捌佰伍拾捌万元整</v>
      </c>
      <c r="E6" s="1677"/>
    </row>
    <row r="7" spans="1:5" ht="15.75">
      <c r="A7" s="1677"/>
      <c r="B7" s="3122"/>
      <c r="C7" s="1681" t="s">
        <v>1590</v>
      </c>
      <c r="D7" s="960">
        <f ca="1">结果表!H102</f>
        <v>17349</v>
      </c>
      <c r="E7" s="1677"/>
    </row>
    <row r="8" spans="1:5" ht="15.75">
      <c r="A8" s="1677"/>
      <c r="B8" s="3123" t="str">
        <f>结果表!E103</f>
        <v>2.估价师知悉的法定优先受偿款</v>
      </c>
      <c r="C8" s="1682" t="s">
        <v>1591</v>
      </c>
      <c r="D8" s="960">
        <f>结果表!H103</f>
        <v>0</v>
      </c>
      <c r="E8" s="1677"/>
    </row>
    <row r="9" spans="1:5" ht="15.75">
      <c r="A9" s="1677"/>
      <c r="B9" s="312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16" t="str">
        <f>结果表!E107</f>
        <v>3.房地产抵押价值</v>
      </c>
      <c r="C13" s="1685" t="s">
        <v>1588</v>
      </c>
      <c r="D13" s="962">
        <f ca="1">结果表!H107</f>
        <v>266858</v>
      </c>
      <c r="E13" s="1677"/>
    </row>
    <row r="14" spans="1:5" ht="15.75">
      <c r="A14" s="1677"/>
      <c r="B14" s="3117"/>
      <c r="C14" s="1680" t="s">
        <v>1589</v>
      </c>
      <c r="D14" s="959" t="str">
        <f ca="1">NUMBERSTRING(INT(D13*10000),2)&amp;"元整"</f>
        <v>贰拾陆亿陆仟捌佰伍拾捌万元整</v>
      </c>
      <c r="E14" s="1677"/>
    </row>
    <row r="15" spans="1:5" ht="15">
      <c r="A15" s="1677"/>
      <c r="B15" s="3122"/>
      <c r="C15" s="1681" t="s">
        <v>1599</v>
      </c>
      <c r="D15" s="968">
        <f ca="1">结果表!H108</f>
        <v>17349</v>
      </c>
      <c r="E15" s="1677"/>
    </row>
    <row r="16" spans="1:5" ht="15">
      <c r="A16" s="1677"/>
      <c r="B16" s="3123" t="str">
        <f>结果表!E109</f>
        <v>——</v>
      </c>
      <c r="C16" s="1685" t="s">
        <v>1600</v>
      </c>
      <c r="D16" s="1686" t="str">
        <f>结果表!H109</f>
        <v>——</v>
      </c>
      <c r="E16" s="1677"/>
    </row>
    <row r="17" spans="1:5" ht="15.75">
      <c r="A17" s="1677"/>
      <c r="B17" s="3124"/>
      <c r="C17" s="1680" t="s">
        <v>1601</v>
      </c>
      <c r="D17" s="959" t="e">
        <f>NUMBERSTRING(INT(D16*10000),2)&amp;"元整"</f>
        <v>#VALUE!</v>
      </c>
      <c r="E17" s="1677"/>
    </row>
    <row r="18" spans="1:5" ht="15">
      <c r="A18" s="1677"/>
      <c r="B18" s="3125"/>
      <c r="C18" s="1681" t="s">
        <v>1590</v>
      </c>
      <c r="D18" s="968" t="str">
        <f>结果表!H110</f>
        <v>——</v>
      </c>
      <c r="E18" s="1677"/>
    </row>
    <row r="19" spans="1:5" ht="15.75">
      <c r="A19" s="1677"/>
      <c r="B19" s="3116" t="str">
        <f>结果表!E111</f>
        <v>——</v>
      </c>
      <c r="C19" s="1685" t="s">
        <v>1588</v>
      </c>
      <c r="D19" s="960" t="str">
        <f>结果表!H111</f>
        <v>——</v>
      </c>
      <c r="E19" s="1677"/>
    </row>
    <row r="20" spans="1:5" ht="15.75">
      <c r="A20" s="1677"/>
      <c r="B20" s="3117"/>
      <c r="C20" s="1680" t="s">
        <v>1601</v>
      </c>
      <c r="D20" s="959" t="e">
        <f>NUMBERSTRING(INT(D19*10000),2)&amp;"元整"</f>
        <v>#VALUE!</v>
      </c>
      <c r="E20" s="1677"/>
    </row>
    <row r="21" spans="1:5" ht="15.75" thickBot="1">
      <c r="A21" s="1677"/>
      <c r="B21" s="311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76457</v>
      </c>
      <c r="C2" s="2362" t="s">
        <v>2814</v>
      </c>
      <c r="D2" s="2362" t="s">
        <v>2815</v>
      </c>
      <c r="E2" s="2839">
        <f ca="1">SUMIF(E6:E13,"&lt;&gt;#ref!",E6:E13)</f>
        <v>141515.38</v>
      </c>
      <c r="F2" s="3025"/>
      <c r="G2" s="3025"/>
      <c r="H2" s="3025"/>
      <c r="I2" s="3025"/>
      <c r="J2" s="3025"/>
      <c r="K2" s="3025"/>
      <c r="L2" s="3025"/>
      <c r="M2" s="3025"/>
      <c r="N2" s="3025"/>
      <c r="O2" s="3025"/>
      <c r="P2" s="3025"/>
    </row>
    <row r="3" spans="1:16" ht="15.75">
      <c r="A3" s="2362" t="s">
        <v>2816</v>
      </c>
      <c r="B3" s="2829">
        <f ca="1">ROUND(B2*10000/E2,0)</f>
        <v>5403</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76457</v>
      </c>
      <c r="C6" s="2362" t="s">
        <v>2814</v>
      </c>
      <c r="D6" s="3025"/>
      <c r="E6" s="2839">
        <f ca="1">SUMIF(INDIRECT("'"&amp;A6&amp;"'"&amp;"!C:C"),"建筑面积",INDIRECT("'"&amp;A6&amp;"'"&amp;"!D:D"))</f>
        <v>141515.38</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49" t="s">
        <v>1117</v>
      </c>
      <c r="C1" s="3449"/>
      <c r="D1" s="3449"/>
      <c r="E1" s="3449"/>
      <c r="F1" s="3449"/>
      <c r="G1" s="3448" t="s">
        <v>1118</v>
      </c>
      <c r="H1" s="3448"/>
      <c r="I1" s="3448"/>
      <c r="J1" s="3448"/>
      <c r="K1" s="3448"/>
      <c r="L1" s="3448"/>
      <c r="N1" s="3448" t="s">
        <v>1119</v>
      </c>
      <c r="O1" s="3448"/>
      <c r="P1" s="3448"/>
      <c r="Q1" s="3448"/>
      <c r="S1" s="3448" t="s">
        <v>1120</v>
      </c>
      <c r="T1" s="3448"/>
      <c r="U1" s="3448"/>
      <c r="V1" s="3448"/>
      <c r="X1" s="3447" t="s">
        <v>1121</v>
      </c>
      <c r="Y1" s="3448"/>
      <c r="Z1" s="3448"/>
      <c r="AA1" s="3448"/>
      <c r="AB1" s="3448"/>
      <c r="AD1" s="3447" t="s">
        <v>1122</v>
      </c>
      <c r="AE1" s="3448"/>
      <c r="AF1" s="3448"/>
      <c r="AG1" s="3448"/>
      <c r="AH1" s="344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B16" si="2">B6*(1+N5)</f>
        <v>483.1434279321756</v>
      </c>
      <c r="C5" s="2414">
        <f t="shared" ref="C5:C16" si="3">C6*(1+O5)</f>
        <v>345.93622669144776</v>
      </c>
      <c r="D5" s="2414">
        <f t="shared" ref="D5:D21" si="4">C5</f>
        <v>345.93622669144776</v>
      </c>
      <c r="E5" s="2414">
        <f t="shared" ref="E5:E16" si="5">E6*(1+P5)</f>
        <v>694.24498562544113</v>
      </c>
      <c r="F5" s="2414">
        <f t="shared" ref="F5:F16" si="6">F6*(1+Q5)</f>
        <v>319.35475932716082</v>
      </c>
      <c r="G5" s="3041">
        <v>2020</v>
      </c>
      <c r="H5" s="2416">
        <v>4</v>
      </c>
      <c r="I5" s="2417">
        <v>0</v>
      </c>
      <c r="J5" s="2417">
        <v>0</v>
      </c>
      <c r="K5" s="2417">
        <v>0</v>
      </c>
      <c r="L5" s="2417">
        <v>0</v>
      </c>
      <c r="N5" s="2419">
        <f t="shared" ref="N5:Q8" si="7">I5/100</f>
        <v>0</v>
      </c>
      <c r="O5" s="2419">
        <f t="shared" si="7"/>
        <v>0</v>
      </c>
      <c r="P5" s="2419">
        <f t="shared" si="7"/>
        <v>0</v>
      </c>
      <c r="Q5" s="2419">
        <f t="shared" si="7"/>
        <v>0</v>
      </c>
      <c r="S5" s="2420"/>
      <c r="W5" s="2421" t="s">
        <v>2855</v>
      </c>
      <c r="X5" s="2422">
        <f>ROUND(IF(项目基本情况!B6="出让",SUMPRODUCT(PRODUCT(1+N5:N$32)),SUMPRODUCT(PRODUCT(1+N5:N$31))),4)</f>
        <v>1.571</v>
      </c>
      <c r="Y5" s="2422">
        <f>ROUND(IF(项目基本情况!B6="出让",SUMPRODUCT(PRODUCT(1+O5:O$32)),SUMPRODUCT(PRODUCT(1+O5:O$31))),4)</f>
        <v>1.3420000000000001</v>
      </c>
      <c r="Z5" s="2422">
        <f t="shared" ref="Z5:Z16" si="8">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AF16" si="9">AE5</f>
        <v>1.14E-2</v>
      </c>
      <c r="AG5" s="2423">
        <f>ROUND(AVERAGE(K5:K$32)/100,4)</f>
        <v>1.9199999999999998E-2</v>
      </c>
      <c r="AH5" s="2423">
        <f>ROUND(AVERAGE(L5:L$32)/100,4)</f>
        <v>1.23E-2</v>
      </c>
    </row>
    <row r="6" spans="1:34" s="2431" customFormat="1">
      <c r="A6" s="2424" t="s">
        <v>3058</v>
      </c>
      <c r="B6" s="2425">
        <f t="shared" si="2"/>
        <v>483.1434279321756</v>
      </c>
      <c r="C6" s="2425">
        <f t="shared" si="3"/>
        <v>345.93622669144776</v>
      </c>
      <c r="D6" s="2425">
        <f t="shared" si="4"/>
        <v>345.93622669144776</v>
      </c>
      <c r="E6" s="2425">
        <f t="shared" si="5"/>
        <v>694.24498562544113</v>
      </c>
      <c r="F6" s="2425">
        <f t="shared" si="6"/>
        <v>319.35475932716082</v>
      </c>
      <c r="G6" s="3041">
        <v>2020</v>
      </c>
      <c r="H6" s="2426">
        <v>3</v>
      </c>
      <c r="I6" s="2388">
        <v>0.36</v>
      </c>
      <c r="J6" s="2388">
        <v>-0.39</v>
      </c>
      <c r="K6" s="2388">
        <v>0.49</v>
      </c>
      <c r="L6" s="2389">
        <v>7.0000000000000007E-2</v>
      </c>
      <c r="M6" s="2411"/>
      <c r="N6" s="2427">
        <f t="shared" si="7"/>
        <v>3.5999999999999999E-3</v>
      </c>
      <c r="O6" s="2412">
        <f t="shared" si="7"/>
        <v>-3.9000000000000003E-3</v>
      </c>
      <c r="P6" s="2412">
        <f t="shared" si="7"/>
        <v>4.8999999999999998E-3</v>
      </c>
      <c r="Q6" s="2412">
        <f t="shared" si="7"/>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si="8"/>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si="9"/>
        <v>1.1900000000000001E-2</v>
      </c>
      <c r="AG6" s="2430">
        <f>ROUND(AVERAGE(K6:K$32)/100,4)</f>
        <v>1.9900000000000001E-2</v>
      </c>
      <c r="AH6" s="2430">
        <f>ROUND(AVERAGE(L6:L$32)/100,4)</f>
        <v>1.2800000000000001E-2</v>
      </c>
    </row>
    <row r="7" spans="1:34" s="2431" customFormat="1">
      <c r="A7" s="2424" t="s">
        <v>2871</v>
      </c>
      <c r="B7" s="2425">
        <f t="shared" si="2"/>
        <v>481.4103506697644</v>
      </c>
      <c r="C7" s="2425">
        <f t="shared" si="3"/>
        <v>347.29066026648707</v>
      </c>
      <c r="D7" s="2425">
        <f t="shared" si="4"/>
        <v>347.29066026648707</v>
      </c>
      <c r="E7" s="2425">
        <f t="shared" si="5"/>
        <v>690.85977273901995</v>
      </c>
      <c r="F7" s="2425">
        <f t="shared" si="6"/>
        <v>319.13136737000184</v>
      </c>
      <c r="G7" s="2415">
        <v>2020</v>
      </c>
      <c r="H7" s="2426">
        <v>2</v>
      </c>
      <c r="I7" s="2388">
        <v>0.31</v>
      </c>
      <c r="J7" s="2388">
        <v>-0.78</v>
      </c>
      <c r="K7" s="2388">
        <v>0.5</v>
      </c>
      <c r="L7" s="2389">
        <v>0.47</v>
      </c>
      <c r="M7" s="2411"/>
      <c r="N7" s="2427">
        <f t="shared" si="7"/>
        <v>3.0999999999999999E-3</v>
      </c>
      <c r="O7" s="2412">
        <f t="shared" si="7"/>
        <v>-7.8000000000000005E-3</v>
      </c>
      <c r="P7" s="2412">
        <f t="shared" si="7"/>
        <v>5.0000000000000001E-3</v>
      </c>
      <c r="Q7" s="2412">
        <f t="shared" si="7"/>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si="8"/>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si="9"/>
        <v>1.2500000000000001E-2</v>
      </c>
      <c r="AG7" s="2430">
        <f>ROUND(AVERAGE(K7:K$32)/100,4)</f>
        <v>2.0400000000000001E-2</v>
      </c>
      <c r="AH7" s="2430">
        <f>ROUND(AVERAGE(L7:L$32)/100,4)</f>
        <v>1.32E-2</v>
      </c>
    </row>
    <row r="8" spans="1:34" s="2431" customFormat="1">
      <c r="A8" s="2424" t="s">
        <v>2869</v>
      </c>
      <c r="B8" s="2425">
        <f t="shared" si="2"/>
        <v>479.92259063878413</v>
      </c>
      <c r="C8" s="2425">
        <f t="shared" si="3"/>
        <v>350.02082268341775</v>
      </c>
      <c r="D8" s="2425">
        <f t="shared" si="4"/>
        <v>350.02082268341775</v>
      </c>
      <c r="E8" s="2425">
        <f t="shared" si="5"/>
        <v>687.42265944181099</v>
      </c>
      <c r="F8" s="2425">
        <f t="shared" si="6"/>
        <v>317.63846657708956</v>
      </c>
      <c r="G8" s="2415">
        <v>2020</v>
      </c>
      <c r="H8" s="2426">
        <v>1</v>
      </c>
      <c r="I8" s="2388">
        <v>0.12</v>
      </c>
      <c r="J8" s="2388">
        <v>-0.4</v>
      </c>
      <c r="K8" s="2388">
        <v>0.21</v>
      </c>
      <c r="L8" s="2389">
        <v>0.27</v>
      </c>
      <c r="M8" s="2411"/>
      <c r="N8" s="2427">
        <f t="shared" si="7"/>
        <v>1.1999999999999999E-3</v>
      </c>
      <c r="O8" s="2412">
        <f t="shared" si="7"/>
        <v>-4.0000000000000001E-3</v>
      </c>
      <c r="P8" s="2412">
        <f t="shared" si="7"/>
        <v>2.0999999999999999E-3</v>
      </c>
      <c r="Q8" s="2412">
        <f t="shared" si="7"/>
        <v>2.7000000000000001E-3</v>
      </c>
      <c r="R8" s="2428"/>
      <c r="S8" s="2427">
        <f>B8/B9-1</f>
        <v>1.2000000000000899E-3</v>
      </c>
      <c r="T8" s="2412">
        <f>C8/C9-1</f>
        <v>-4.0000000000000036E-3</v>
      </c>
      <c r="U8" s="2412">
        <f>D8/D9-1</f>
        <v>-4.0000000000000036E-3</v>
      </c>
      <c r="V8" s="2412">
        <f>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si="8"/>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si="9"/>
        <v>1.3299999999999999E-2</v>
      </c>
      <c r="AG8" s="2430">
        <f>ROUND(AVERAGE(K8:K$32)/100,4)</f>
        <v>2.1100000000000001E-2</v>
      </c>
      <c r="AH8" s="2430">
        <f>ROUND(AVERAGE(L8:L$32)/100,4)</f>
        <v>1.3599999999999999E-2</v>
      </c>
    </row>
    <row r="9" spans="1:34" s="2431" customFormat="1">
      <c r="A9" s="2424" t="s">
        <v>2868</v>
      </c>
      <c r="B9" s="2425">
        <f t="shared" si="2"/>
        <v>479.34737379023579</v>
      </c>
      <c r="C9" s="2425">
        <f t="shared" si="3"/>
        <v>351.4265287986122</v>
      </c>
      <c r="D9" s="2425">
        <f t="shared" si="4"/>
        <v>351.4265287986122</v>
      </c>
      <c r="E9" s="2425">
        <f t="shared" si="5"/>
        <v>685.98209703803116</v>
      </c>
      <c r="F9" s="2425">
        <f t="shared" si="6"/>
        <v>316.78315206651001</v>
      </c>
      <c r="G9" s="2415">
        <v>2019</v>
      </c>
      <c r="H9" s="2426">
        <v>4</v>
      </c>
      <c r="I9" s="2426">
        <v>0.45</v>
      </c>
      <c r="J9" s="2426">
        <v>-0.12</v>
      </c>
      <c r="K9" s="2426">
        <v>0.54</v>
      </c>
      <c r="L9" s="2432">
        <v>0.48</v>
      </c>
      <c r="M9" s="2411"/>
      <c r="N9" s="2427">
        <f t="shared" ref="N9:N14" si="10">I9/100</f>
        <v>4.5000000000000005E-3</v>
      </c>
      <c r="O9" s="2412">
        <f t="shared" ref="O9:O19" si="11">J9/100</f>
        <v>-1.1999999999999999E-3</v>
      </c>
      <c r="P9" s="2412">
        <f t="shared" ref="P9:P19" si="12">K9/100</f>
        <v>5.4000000000000003E-3</v>
      </c>
      <c r="Q9" s="2412">
        <f t="shared" ref="Q9:Q19" si="13">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si="8"/>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si="9"/>
        <v>1.4E-2</v>
      </c>
      <c r="AG9" s="2430">
        <f>ROUND(AVERAGE(K9:K$32)/100,4)</f>
        <v>2.1899999999999999E-2</v>
      </c>
      <c r="AH9" s="2430">
        <f>ROUND(AVERAGE(L9:L$32)/100,4)</f>
        <v>1.4E-2</v>
      </c>
    </row>
    <row r="10" spans="1:34" s="2431" customFormat="1" ht="13.5" thickBot="1">
      <c r="A10" s="2424" t="s">
        <v>2867</v>
      </c>
      <c r="B10" s="2425">
        <f t="shared" si="2"/>
        <v>477.19997390765138</v>
      </c>
      <c r="C10" s="2425">
        <f t="shared" si="3"/>
        <v>351.84874729536665</v>
      </c>
      <c r="D10" s="2425">
        <f t="shared" si="4"/>
        <v>351.84874729536665</v>
      </c>
      <c r="E10" s="2425">
        <f t="shared" si="5"/>
        <v>682.29768951465201</v>
      </c>
      <c r="F10" s="2425">
        <f t="shared" si="6"/>
        <v>315.26985675409043</v>
      </c>
      <c r="G10" s="2415">
        <v>2019</v>
      </c>
      <c r="H10" s="2426">
        <v>3</v>
      </c>
      <c r="I10" s="2426">
        <v>0.61</v>
      </c>
      <c r="J10" s="2426">
        <v>0.67</v>
      </c>
      <c r="K10" s="2426">
        <v>0.6</v>
      </c>
      <c r="L10" s="2432">
        <v>1.03</v>
      </c>
      <c r="M10" s="2411"/>
      <c r="N10" s="2427">
        <f t="shared" si="10"/>
        <v>6.0999999999999995E-3</v>
      </c>
      <c r="O10" s="2412">
        <f t="shared" si="11"/>
        <v>6.7000000000000002E-3</v>
      </c>
      <c r="P10" s="2412">
        <f t="shared" si="12"/>
        <v>6.0000000000000001E-3</v>
      </c>
      <c r="Q10" s="2412">
        <f t="shared" si="13"/>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si="8"/>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si="9"/>
        <v>1.47E-2</v>
      </c>
      <c r="AG10" s="2430">
        <f>ROUND(AVERAGE(K10:K$32)/100,4)</f>
        <v>2.2599999999999999E-2</v>
      </c>
      <c r="AH10" s="2430">
        <f>ROUND(AVERAGE(L10:L$32)/100,4)</f>
        <v>1.44E-2</v>
      </c>
    </row>
    <row r="11" spans="1:34" s="2431" customFormat="1">
      <c r="A11" s="2424" t="s">
        <v>2865</v>
      </c>
      <c r="B11" s="2425">
        <f t="shared" si="2"/>
        <v>474.30670301923408</v>
      </c>
      <c r="C11" s="2425">
        <f t="shared" si="3"/>
        <v>349.50705005996491</v>
      </c>
      <c r="D11" s="2425">
        <f t="shared" si="4"/>
        <v>349.50705005996491</v>
      </c>
      <c r="E11" s="2425">
        <f t="shared" si="5"/>
        <v>678.22831959706957</v>
      </c>
      <c r="F11" s="2425">
        <f t="shared" si="6"/>
        <v>312.0556832169558</v>
      </c>
      <c r="G11" s="2415">
        <v>2019</v>
      </c>
      <c r="H11" s="2433">
        <v>2</v>
      </c>
      <c r="I11" s="2433">
        <v>1.53</v>
      </c>
      <c r="J11" s="2433">
        <v>1.01</v>
      </c>
      <c r="K11" s="2433">
        <v>1.62</v>
      </c>
      <c r="L11" s="2434">
        <v>1.25</v>
      </c>
      <c r="M11" s="2411"/>
      <c r="N11" s="2427">
        <f t="shared" si="10"/>
        <v>1.5300000000000001E-2</v>
      </c>
      <c r="O11" s="2412">
        <f t="shared" si="11"/>
        <v>1.01E-2</v>
      </c>
      <c r="P11" s="2412">
        <f t="shared" si="12"/>
        <v>1.6200000000000003E-2</v>
      </c>
      <c r="Q11" s="2412">
        <f t="shared" si="13"/>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si="8"/>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si="9"/>
        <v>1.4999999999999999E-2</v>
      </c>
      <c r="AG11" s="2430">
        <f>ROUND(AVERAGE(K11:K$32)/100,4)</f>
        <v>2.3300000000000001E-2</v>
      </c>
      <c r="AH11" s="2430">
        <f>ROUND(AVERAGE(L11:L$32)/100,4)</f>
        <v>1.46E-2</v>
      </c>
    </row>
    <row r="12" spans="1:34" s="2431" customFormat="1" ht="13.5" thickBot="1">
      <c r="A12" s="2424" t="s">
        <v>2863</v>
      </c>
      <c r="B12" s="2425">
        <f t="shared" si="2"/>
        <v>467.15916775261894</v>
      </c>
      <c r="C12" s="2425">
        <f t="shared" si="3"/>
        <v>346.01232557169084</v>
      </c>
      <c r="D12" s="2425">
        <f t="shared" si="4"/>
        <v>346.01232557169084</v>
      </c>
      <c r="E12" s="2425">
        <f t="shared" si="5"/>
        <v>667.41617752122568</v>
      </c>
      <c r="F12" s="2425">
        <f t="shared" si="6"/>
        <v>308.20314391798104</v>
      </c>
      <c r="G12" s="2415">
        <v>2019</v>
      </c>
      <c r="H12" s="2426">
        <v>1</v>
      </c>
      <c r="I12" s="2426">
        <v>0.6</v>
      </c>
      <c r="J12" s="2426">
        <v>0.37</v>
      </c>
      <c r="K12" s="2426">
        <v>0.63</v>
      </c>
      <c r="L12" s="2432">
        <v>1.1299999999999999</v>
      </c>
      <c r="M12" s="2411"/>
      <c r="N12" s="2427">
        <f t="shared" si="10"/>
        <v>6.0000000000000001E-3</v>
      </c>
      <c r="O12" s="2412">
        <f t="shared" si="11"/>
        <v>3.7000000000000002E-3</v>
      </c>
      <c r="P12" s="2412">
        <f t="shared" si="12"/>
        <v>6.3E-3</v>
      </c>
      <c r="Q12" s="2412">
        <f t="shared" si="13"/>
        <v>1.1299999999999999E-2</v>
      </c>
      <c r="R12" s="2428"/>
      <c r="S12" s="2427">
        <f>B12/B13-1</f>
        <v>6.0000000000000053E-3</v>
      </c>
      <c r="T12" s="2412">
        <f>C12/C13-1</f>
        <v>3.7000000000000366E-3</v>
      </c>
      <c r="U12" s="2412">
        <f>D12/D13-1</f>
        <v>3.7000000000000366E-3</v>
      </c>
      <c r="V12" s="2412">
        <f>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si="8"/>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si="9"/>
        <v>1.5299999999999999E-2</v>
      </c>
      <c r="AG12" s="2430">
        <f>ROUND(AVERAGE(K12:K$32)/100,4)</f>
        <v>2.3699999999999999E-2</v>
      </c>
      <c r="AH12" s="2430">
        <f>ROUND(AVERAGE(L12:L$32)/100,4)</f>
        <v>1.47E-2</v>
      </c>
    </row>
    <row r="13" spans="1:34" s="2431" customFormat="1">
      <c r="A13" s="2424" t="s">
        <v>2866</v>
      </c>
      <c r="B13" s="2435">
        <f t="shared" si="2"/>
        <v>464.37293017158942</v>
      </c>
      <c r="C13" s="2435">
        <f t="shared" si="3"/>
        <v>344.73679941385956</v>
      </c>
      <c r="D13" s="2435">
        <f t="shared" si="4"/>
        <v>344.73679941385956</v>
      </c>
      <c r="E13" s="2435">
        <f t="shared" si="5"/>
        <v>663.2377795103107</v>
      </c>
      <c r="F13" s="2436">
        <f t="shared" si="6"/>
        <v>304.75936311478398</v>
      </c>
      <c r="G13" s="3445">
        <v>2018</v>
      </c>
      <c r="H13" s="2433">
        <v>4</v>
      </c>
      <c r="I13" s="2433">
        <v>0.96</v>
      </c>
      <c r="J13" s="2433">
        <v>1.03</v>
      </c>
      <c r="K13" s="2433">
        <v>0.92</v>
      </c>
      <c r="L13" s="2434">
        <v>1.29</v>
      </c>
      <c r="M13" s="2411"/>
      <c r="N13" s="2427">
        <f t="shared" si="10"/>
        <v>9.5999999999999992E-3</v>
      </c>
      <c r="O13" s="2412">
        <f t="shared" si="11"/>
        <v>1.03E-2</v>
      </c>
      <c r="P13" s="2412">
        <f t="shared" si="12"/>
        <v>9.1999999999999998E-3</v>
      </c>
      <c r="Q13" s="2412">
        <f t="shared" si="13"/>
        <v>1.29E-2</v>
      </c>
      <c r="R13" s="2428"/>
      <c r="S13" s="2427"/>
      <c r="T13" s="2412"/>
      <c r="U13" s="2412"/>
      <c r="V13" s="2412"/>
      <c r="W13" s="2429"/>
      <c r="X13" s="2429">
        <f>ROUND(SUMPRODUCT(PRODUCT(1+N13:N$31)),4)</f>
        <v>1.5099</v>
      </c>
      <c r="Y13" s="2429">
        <f>ROUND(SUMPRODUCT(PRODUCT(1+O13:O$31)),4)</f>
        <v>1.3372999999999999</v>
      </c>
      <c r="Z13" s="2429">
        <f t="shared" si="8"/>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si="9"/>
        <v>1.5800000000000002E-2</v>
      </c>
      <c r="AG13" s="2430">
        <f>ROUND(AVERAGE(K13:K$32)/100,4)</f>
        <v>2.4500000000000001E-2</v>
      </c>
      <c r="AH13" s="2430">
        <f>ROUND(AVERAGE(L13:L$32)/100,4)</f>
        <v>1.49E-2</v>
      </c>
    </row>
    <row r="14" spans="1:34" s="2431" customFormat="1" ht="14.45" customHeight="1">
      <c r="A14" s="2424" t="s">
        <v>2861</v>
      </c>
      <c r="B14" s="2425">
        <f t="shared" si="2"/>
        <v>459.95733971036987</v>
      </c>
      <c r="C14" s="2425">
        <f t="shared" si="3"/>
        <v>341.22221064422405</v>
      </c>
      <c r="D14" s="2425">
        <f t="shared" si="4"/>
        <v>341.22221064422405</v>
      </c>
      <c r="E14" s="2425">
        <f t="shared" si="5"/>
        <v>657.19161663724799</v>
      </c>
      <c r="F14" s="2425">
        <f t="shared" si="6"/>
        <v>300.87803644464805</v>
      </c>
      <c r="G14" s="3445"/>
      <c r="H14" s="2426">
        <v>3</v>
      </c>
      <c r="I14" s="2426">
        <v>1.51</v>
      </c>
      <c r="J14" s="2426">
        <v>1.41</v>
      </c>
      <c r="K14" s="2426">
        <v>1.52</v>
      </c>
      <c r="L14" s="2432">
        <v>1.74</v>
      </c>
      <c r="M14" s="2411"/>
      <c r="N14" s="2427">
        <f t="shared" si="10"/>
        <v>1.5100000000000001E-2</v>
      </c>
      <c r="O14" s="2412">
        <f t="shared" si="11"/>
        <v>1.41E-2</v>
      </c>
      <c r="P14" s="2412">
        <f t="shared" si="12"/>
        <v>1.52E-2</v>
      </c>
      <c r="Q14" s="2412">
        <f t="shared" si="13"/>
        <v>1.7399999999999999E-2</v>
      </c>
      <c r="R14" s="2428"/>
      <c r="S14" s="2427"/>
      <c r="T14" s="2412"/>
      <c r="U14" s="2412"/>
      <c r="V14" s="2412"/>
      <c r="W14" s="2429"/>
      <c r="X14" s="2429">
        <f>ROUND(SUMPRODUCT(PRODUCT(1+N14:N$31)),4)</f>
        <v>1.4956</v>
      </c>
      <c r="Y14" s="2429">
        <f>ROUND(SUMPRODUCT(PRODUCT(1+O14:O$31)),4)</f>
        <v>1.3237000000000001</v>
      </c>
      <c r="Z14" s="2429">
        <f t="shared" si="8"/>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si="9"/>
        <v>1.61E-2</v>
      </c>
      <c r="AG14" s="2430">
        <f>ROUND(AVERAGE(K14:K$32)/100,4)</f>
        <v>2.53E-2</v>
      </c>
      <c r="AH14" s="2430">
        <f>ROUND(AVERAGE(L14:L$32)/100,4)</f>
        <v>1.4999999999999999E-2</v>
      </c>
    </row>
    <row r="15" spans="1:34" s="2431" customFormat="1" ht="14.45" customHeight="1">
      <c r="A15" s="2424" t="s">
        <v>2860</v>
      </c>
      <c r="B15" s="2425">
        <f t="shared" si="2"/>
        <v>453.11529869999993</v>
      </c>
      <c r="C15" s="2425">
        <f t="shared" si="3"/>
        <v>336.47787264000004</v>
      </c>
      <c r="D15" s="2425">
        <f t="shared" si="4"/>
        <v>336.47787264000004</v>
      </c>
      <c r="E15" s="2425">
        <f t="shared" si="5"/>
        <v>647.35186823999993</v>
      </c>
      <c r="F15" s="2425">
        <f t="shared" si="6"/>
        <v>295.73229452000004</v>
      </c>
      <c r="G15" s="3445"/>
      <c r="H15" s="2437">
        <v>2</v>
      </c>
      <c r="I15" s="2437">
        <v>1.49</v>
      </c>
      <c r="J15" s="2437">
        <v>0.96</v>
      </c>
      <c r="K15" s="2437">
        <v>1.58</v>
      </c>
      <c r="L15" s="2438">
        <v>2.44</v>
      </c>
      <c r="M15" s="2411"/>
      <c r="N15" s="2427">
        <f>I15/100</f>
        <v>1.49E-2</v>
      </c>
      <c r="O15" s="2412">
        <f t="shared" si="11"/>
        <v>9.5999999999999992E-3</v>
      </c>
      <c r="P15" s="2412">
        <f t="shared" si="12"/>
        <v>1.5800000000000002E-2</v>
      </c>
      <c r="Q15" s="2412">
        <f t="shared" si="13"/>
        <v>2.4399999999999998E-2</v>
      </c>
      <c r="R15" s="2428"/>
      <c r="S15" s="2427"/>
      <c r="T15" s="2412"/>
      <c r="U15" s="2412"/>
      <c r="V15" s="2412"/>
      <c r="W15" s="2429"/>
      <c r="X15" s="2429">
        <f>ROUND(SUMPRODUCT(PRODUCT(1+N15:N$31)),4)</f>
        <v>1.4733000000000001</v>
      </c>
      <c r="Y15" s="2429">
        <f>ROUND(SUMPRODUCT(PRODUCT(1+O15:O$31)),4)</f>
        <v>1.3052999999999999</v>
      </c>
      <c r="Z15" s="2429">
        <f t="shared" si="8"/>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si="9"/>
        <v>1.6199999999999999E-2</v>
      </c>
      <c r="AG15" s="2430">
        <f>ROUND(AVERAGE(K15:K$32)/100,4)</f>
        <v>2.5899999999999999E-2</v>
      </c>
      <c r="AH15" s="2430">
        <f>ROUND(AVERAGE(L15:L$32)/100,4)</f>
        <v>1.49E-2</v>
      </c>
    </row>
    <row r="16" spans="1:34" s="2431" customFormat="1" ht="15" customHeight="1" thickBot="1">
      <c r="A16" s="2424" t="s">
        <v>2853</v>
      </c>
      <c r="B16" s="2425">
        <f t="shared" si="2"/>
        <v>446.46299999999997</v>
      </c>
      <c r="C16" s="2425">
        <f t="shared" si="3"/>
        <v>333.27840000000003</v>
      </c>
      <c r="D16" s="2425">
        <f t="shared" si="4"/>
        <v>333.27840000000003</v>
      </c>
      <c r="E16" s="2425">
        <f t="shared" si="5"/>
        <v>637.28279999999995</v>
      </c>
      <c r="F16" s="2425">
        <f t="shared" si="6"/>
        <v>288.68830000000003</v>
      </c>
      <c r="G16" s="3454"/>
      <c r="H16" s="2426">
        <v>1</v>
      </c>
      <c r="I16" s="2426">
        <v>1.7</v>
      </c>
      <c r="J16" s="2426">
        <v>1.92</v>
      </c>
      <c r="K16" s="2426">
        <v>1.64</v>
      </c>
      <c r="L16" s="2432">
        <v>2.0099999999999998</v>
      </c>
      <c r="M16" s="2411"/>
      <c r="N16" s="2427">
        <f t="shared" ref="N16:N21" si="14">I16/100</f>
        <v>1.7000000000000001E-2</v>
      </c>
      <c r="O16" s="2412">
        <f t="shared" si="11"/>
        <v>1.9199999999999998E-2</v>
      </c>
      <c r="P16" s="2412">
        <f t="shared" si="12"/>
        <v>1.6399999999999998E-2</v>
      </c>
      <c r="Q16" s="2412">
        <f t="shared" si="13"/>
        <v>2.0099999999999996E-2</v>
      </c>
      <c r="R16" s="2428"/>
      <c r="S16" s="2427">
        <f>B16/B17-1</f>
        <v>1.6999999999999904E-2</v>
      </c>
      <c r="T16" s="2412">
        <f>C16/C17-1</f>
        <v>1.9200000000000106E-2</v>
      </c>
      <c r="U16" s="2412">
        <f>D16/D17-1</f>
        <v>1.9200000000000106E-2</v>
      </c>
      <c r="V16" s="2412">
        <f>E16/E17-1</f>
        <v>1.639999999999997E-2</v>
      </c>
      <c r="W16" s="2429"/>
      <c r="X16" s="2429">
        <f>ROUND(SUMPRODUCT(PRODUCT(1+N16:N$31)),4)</f>
        <v>1.4517</v>
      </c>
      <c r="Y16" s="2429">
        <f>ROUND(SUMPRODUCT(PRODUCT(1+O16:O$31)),4)</f>
        <v>1.2928999999999999</v>
      </c>
      <c r="Z16" s="2429">
        <f t="shared" si="8"/>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si="9"/>
        <v>1.66E-2</v>
      </c>
      <c r="AG16" s="2430">
        <f>ROUND(AVERAGE(K16:K$32)/100,4)</f>
        <v>2.6499999999999999E-2</v>
      </c>
      <c r="AH16" s="2430">
        <f>ROUND(AVERAGE(L16:L$32)/100,4)</f>
        <v>1.43E-2</v>
      </c>
    </row>
    <row r="17" spans="1:34">
      <c r="A17" s="2424" t="s">
        <v>2851</v>
      </c>
      <c r="B17" s="2439">
        <v>439</v>
      </c>
      <c r="C17" s="2439">
        <v>327</v>
      </c>
      <c r="D17" s="2439">
        <f t="shared" si="4"/>
        <v>327</v>
      </c>
      <c r="E17" s="2439">
        <v>627</v>
      </c>
      <c r="F17" s="2440">
        <v>283</v>
      </c>
      <c r="G17" s="3450">
        <v>2017</v>
      </c>
      <c r="H17" s="2433">
        <v>4</v>
      </c>
      <c r="I17" s="2433">
        <v>1.71</v>
      </c>
      <c r="J17" s="2433">
        <v>1.78</v>
      </c>
      <c r="K17" s="2433">
        <v>1.71</v>
      </c>
      <c r="L17" s="2434">
        <v>1.43</v>
      </c>
      <c r="N17" s="2427">
        <f t="shared" si="14"/>
        <v>1.7100000000000001E-2</v>
      </c>
      <c r="O17" s="2412">
        <f t="shared" si="11"/>
        <v>1.78E-2</v>
      </c>
      <c r="P17" s="2412">
        <f t="shared" si="12"/>
        <v>1.7100000000000001E-2</v>
      </c>
      <c r="Q17" s="2412">
        <f t="shared" si="13"/>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2852</v>
      </c>
      <c r="B18" s="2425">
        <f t="shared" ref="B18:C20" si="15">B19*(1+N18)</f>
        <v>431.80730811680002</v>
      </c>
      <c r="C18" s="2425">
        <f t="shared" si="15"/>
        <v>320.57880516480003</v>
      </c>
      <c r="D18" s="2425">
        <f t="shared" si="4"/>
        <v>320.57880516480003</v>
      </c>
      <c r="E18" s="2425">
        <f t="shared" ref="E18:F20" si="16">E19*(1+P18)</f>
        <v>615.96110553196797</v>
      </c>
      <c r="F18" s="2425">
        <f t="shared" si="16"/>
        <v>279.46777300108801</v>
      </c>
      <c r="G18" s="3445"/>
      <c r="H18" s="2426">
        <v>3</v>
      </c>
      <c r="I18" s="2426">
        <v>2.98</v>
      </c>
      <c r="J18" s="2426">
        <v>2.11</v>
      </c>
      <c r="K18" s="2426">
        <v>3.24</v>
      </c>
      <c r="L18" s="2432">
        <v>1.72</v>
      </c>
      <c r="M18" s="2411"/>
      <c r="N18" s="2427">
        <f t="shared" si="14"/>
        <v>2.98E-2</v>
      </c>
      <c r="O18" s="2412">
        <f t="shared" si="11"/>
        <v>2.1099999999999997E-2</v>
      </c>
      <c r="P18" s="2412">
        <f t="shared" si="12"/>
        <v>3.2400000000000005E-2</v>
      </c>
      <c r="Q18" s="2412">
        <f t="shared" si="13"/>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5"/>
        <v>419.31181600000002</v>
      </c>
      <c r="C19" s="2425">
        <f t="shared" si="15"/>
        <v>313.95436800000004</v>
      </c>
      <c r="D19" s="2425">
        <f t="shared" si="4"/>
        <v>313.95436800000004</v>
      </c>
      <c r="E19" s="2425">
        <f t="shared" si="16"/>
        <v>596.63028431999999</v>
      </c>
      <c r="F19" s="2425">
        <f t="shared" si="16"/>
        <v>274.74220703999998</v>
      </c>
      <c r="G19" s="3445"/>
      <c r="H19" s="2437">
        <v>2</v>
      </c>
      <c r="I19" s="2437">
        <v>3.4</v>
      </c>
      <c r="J19" s="2437">
        <v>2</v>
      </c>
      <c r="K19" s="2437">
        <v>3.82</v>
      </c>
      <c r="L19" s="2438">
        <v>1.68</v>
      </c>
      <c r="M19" s="2411"/>
      <c r="N19" s="2427">
        <f t="shared" si="14"/>
        <v>3.4000000000000002E-2</v>
      </c>
      <c r="O19" s="2412">
        <f t="shared" si="11"/>
        <v>0.02</v>
      </c>
      <c r="P19" s="2412">
        <f t="shared" si="12"/>
        <v>3.8199999999999998E-2</v>
      </c>
      <c r="Q19" s="2412">
        <f t="shared" si="13"/>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 t="shared" si="15"/>
        <v>405.524</v>
      </c>
      <c r="C20" s="2425">
        <f t="shared" si="15"/>
        <v>307.79840000000002</v>
      </c>
      <c r="D20" s="2425">
        <f t="shared" si="4"/>
        <v>307.79840000000002</v>
      </c>
      <c r="E20" s="2425">
        <f t="shared" si="16"/>
        <v>574.67759999999998</v>
      </c>
      <c r="F20" s="2425">
        <f t="shared" si="16"/>
        <v>270.20280000000002</v>
      </c>
      <c r="G20" s="3454"/>
      <c r="H20" s="2426">
        <v>1</v>
      </c>
      <c r="I20" s="2426">
        <v>3.45</v>
      </c>
      <c r="J20" s="2426">
        <v>1.92</v>
      </c>
      <c r="K20" s="2426">
        <v>3.92</v>
      </c>
      <c r="L20" s="2432">
        <v>1.58</v>
      </c>
      <c r="M20" s="2411"/>
      <c r="N20" s="2427">
        <f t="shared" si="14"/>
        <v>3.4500000000000003E-2</v>
      </c>
      <c r="O20" s="2412">
        <f t="shared" ref="O20:Q35" si="17">J20/100</f>
        <v>1.9199999999999998E-2</v>
      </c>
      <c r="P20" s="2412">
        <f t="shared" si="17"/>
        <v>3.9199999999999999E-2</v>
      </c>
      <c r="Q20" s="2412">
        <f t="shared" si="17"/>
        <v>1.5800000000000002E-2</v>
      </c>
      <c r="R20" s="2428"/>
      <c r="S20" s="2427">
        <f>B20/B21-1</f>
        <v>3.4499999999999975E-2</v>
      </c>
      <c r="T20" s="2412">
        <f>C20/C21-1</f>
        <v>1.9200000000000106E-2</v>
      </c>
      <c r="U20" s="2412">
        <f>D20/D21-1</f>
        <v>1.9200000000000106E-2</v>
      </c>
      <c r="V20" s="2412">
        <f>E20/E21-1</f>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 t="shared" si="4"/>
        <v>302</v>
      </c>
      <c r="E21" s="2439">
        <v>553</v>
      </c>
      <c r="F21" s="2440">
        <v>266</v>
      </c>
      <c r="G21" s="3450">
        <v>2016</v>
      </c>
      <c r="H21" s="2433">
        <v>4</v>
      </c>
      <c r="I21" s="2433">
        <v>4.5599999999999996</v>
      </c>
      <c r="J21" s="2433">
        <v>2.15</v>
      </c>
      <c r="K21" s="2433">
        <v>5.32</v>
      </c>
      <c r="L21" s="2434">
        <v>1.57</v>
      </c>
      <c r="N21" s="2427">
        <f t="shared" si="14"/>
        <v>4.5599999999999995E-2</v>
      </c>
      <c r="O21" s="2412">
        <f t="shared" si="17"/>
        <v>2.1499999999999998E-2</v>
      </c>
      <c r="P21" s="2412">
        <f t="shared" si="17"/>
        <v>5.3200000000000004E-2</v>
      </c>
      <c r="Q21" s="2412">
        <f t="shared" si="17"/>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8">B21/(1+N21)</f>
        <v>374.90436113236416</v>
      </c>
      <c r="C22" s="2425">
        <f t="shared" si="18"/>
        <v>295.64366128242779</v>
      </c>
      <c r="D22" s="2425">
        <f t="shared" ref="D22:D81" si="19">C22</f>
        <v>295.64366128242779</v>
      </c>
      <c r="E22" s="2425">
        <f t="shared" ref="E22:F24" si="20">E21/(1+P21)</f>
        <v>525.06646410938095</v>
      </c>
      <c r="F22" s="2425">
        <f t="shared" si="20"/>
        <v>261.88835286009646</v>
      </c>
      <c r="G22" s="3445"/>
      <c r="H22" s="2426">
        <v>3</v>
      </c>
      <c r="I22" s="2426">
        <v>4.12</v>
      </c>
      <c r="J22" s="2426">
        <v>2</v>
      </c>
      <c r="K22" s="2426">
        <v>4.79</v>
      </c>
      <c r="L22" s="2432">
        <v>1.97</v>
      </c>
      <c r="N22" s="2427">
        <f t="shared" ref="N22:Q56" si="21">I22/100</f>
        <v>4.1200000000000001E-2</v>
      </c>
      <c r="O22" s="2412">
        <f t="shared" si="17"/>
        <v>0.02</v>
      </c>
      <c r="P22" s="2412">
        <f t="shared" si="17"/>
        <v>4.7899999999999998E-2</v>
      </c>
      <c r="Q22" s="2412">
        <f t="shared" si="17"/>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8"/>
        <v>360.06949782209392</v>
      </c>
      <c r="C23" s="2425">
        <f t="shared" si="18"/>
        <v>289.84672674747821</v>
      </c>
      <c r="D23" s="2425">
        <f t="shared" si="19"/>
        <v>289.84672674747821</v>
      </c>
      <c r="E23" s="2425">
        <f t="shared" si="20"/>
        <v>501.06543001181495</v>
      </c>
      <c r="F23" s="2425">
        <f t="shared" si="20"/>
        <v>256.82882500744967</v>
      </c>
      <c r="G23" s="3445"/>
      <c r="H23" s="2437">
        <v>2</v>
      </c>
      <c r="I23" s="2437">
        <v>3.85</v>
      </c>
      <c r="J23" s="2437">
        <v>1.95</v>
      </c>
      <c r="K23" s="2437">
        <v>4.4800000000000004</v>
      </c>
      <c r="L23" s="2438">
        <v>1.41</v>
      </c>
      <c r="N23" s="2427">
        <f t="shared" si="21"/>
        <v>3.85E-2</v>
      </c>
      <c r="O23" s="2412">
        <f t="shared" si="17"/>
        <v>1.95E-2</v>
      </c>
      <c r="P23" s="2412">
        <f t="shared" si="17"/>
        <v>4.4800000000000006E-2</v>
      </c>
      <c r="Q23" s="2412">
        <f t="shared" si="17"/>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8"/>
        <v>346.720748986128</v>
      </c>
      <c r="C24" s="2425">
        <f t="shared" si="18"/>
        <v>284.30282172386285</v>
      </c>
      <c r="D24" s="2425">
        <f t="shared" si="19"/>
        <v>284.30282172386285</v>
      </c>
      <c r="E24" s="2425">
        <f t="shared" si="20"/>
        <v>479.58023546306947</v>
      </c>
      <c r="F24" s="2425">
        <f t="shared" si="20"/>
        <v>253.25788877571213</v>
      </c>
      <c r="G24" s="3446"/>
      <c r="H24" s="2426">
        <v>1</v>
      </c>
      <c r="I24" s="2426">
        <v>4.09</v>
      </c>
      <c r="J24" s="2426">
        <v>2.93</v>
      </c>
      <c r="K24" s="2426">
        <v>4.54</v>
      </c>
      <c r="L24" s="2432">
        <v>1.48</v>
      </c>
      <c r="N24" s="2427">
        <f t="shared" si="21"/>
        <v>4.0899999999999999E-2</v>
      </c>
      <c r="O24" s="2412">
        <f t="shared" si="17"/>
        <v>2.9300000000000003E-2</v>
      </c>
      <c r="P24" s="2412">
        <f t="shared" si="17"/>
        <v>4.5400000000000003E-2</v>
      </c>
      <c r="Q24" s="2412">
        <f t="shared" si="17"/>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9"/>
        <v>277</v>
      </c>
      <c r="E25" s="2439">
        <v>459</v>
      </c>
      <c r="F25" s="2440">
        <v>249</v>
      </c>
      <c r="G25" s="3444">
        <v>2015</v>
      </c>
      <c r="H25" s="2445">
        <v>4</v>
      </c>
      <c r="I25" s="2445">
        <v>1.63</v>
      </c>
      <c r="J25" s="2445">
        <v>1.1100000000000001</v>
      </c>
      <c r="K25" s="2445">
        <v>1.77</v>
      </c>
      <c r="L25" s="2446">
        <v>1.89</v>
      </c>
      <c r="N25" s="2447">
        <f t="shared" si="21"/>
        <v>1.6299999999999999E-2</v>
      </c>
      <c r="O25" s="2448">
        <f t="shared" si="17"/>
        <v>1.11E-2</v>
      </c>
      <c r="P25" s="2448">
        <f t="shared" si="17"/>
        <v>1.77E-2</v>
      </c>
      <c r="Q25" s="2448">
        <f t="shared" si="17"/>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22">B25/(1+N25)</f>
        <v>327.65915576109415</v>
      </c>
      <c r="C26" s="2425">
        <f t="shared" si="22"/>
        <v>273.95905449510434</v>
      </c>
      <c r="D26" s="2425">
        <f t="shared" si="19"/>
        <v>273.95905449510434</v>
      </c>
      <c r="E26" s="2425">
        <f t="shared" ref="E26:F28" si="23">E25/(1+P25)</f>
        <v>451.01699911565294</v>
      </c>
      <c r="F26" s="2425">
        <f t="shared" si="23"/>
        <v>244.38119540681129</v>
      </c>
      <c r="G26" s="3445"/>
      <c r="H26" s="2450">
        <v>3</v>
      </c>
      <c r="I26" s="2450">
        <v>1.65</v>
      </c>
      <c r="J26" s="2450">
        <v>0.92</v>
      </c>
      <c r="K26" s="2450">
        <v>1.88</v>
      </c>
      <c r="L26" s="2451">
        <v>1.26</v>
      </c>
      <c r="N26" s="2427">
        <f t="shared" si="21"/>
        <v>1.6500000000000001E-2</v>
      </c>
      <c r="O26" s="2452">
        <f t="shared" si="17"/>
        <v>9.1999999999999998E-3</v>
      </c>
      <c r="P26" s="2452">
        <f t="shared" si="17"/>
        <v>1.8799999999999997E-2</v>
      </c>
      <c r="Q26" s="2452">
        <f t="shared" si="17"/>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22"/>
        <v>322.34053690220776</v>
      </c>
      <c r="C27" s="2425">
        <f t="shared" si="22"/>
        <v>271.46160770422546</v>
      </c>
      <c r="D27" s="2425">
        <f t="shared" si="19"/>
        <v>271.46160770422546</v>
      </c>
      <c r="E27" s="2425">
        <f t="shared" si="23"/>
        <v>442.69434542172456</v>
      </c>
      <c r="F27" s="2425">
        <f t="shared" si="23"/>
        <v>241.34030753190925</v>
      </c>
      <c r="G27" s="3445"/>
      <c r="H27" s="2437">
        <v>2</v>
      </c>
      <c r="I27" s="2437">
        <v>0.77</v>
      </c>
      <c r="J27" s="2437">
        <v>0.69</v>
      </c>
      <c r="K27" s="2437">
        <v>0.8</v>
      </c>
      <c r="L27" s="2438">
        <v>0.88</v>
      </c>
      <c r="N27" s="2427">
        <f t="shared" si="21"/>
        <v>7.7000000000000002E-3</v>
      </c>
      <c r="O27" s="2452">
        <f t="shared" si="17"/>
        <v>6.8999999999999999E-3</v>
      </c>
      <c r="P27" s="2452">
        <f t="shared" si="17"/>
        <v>8.0000000000000002E-3</v>
      </c>
      <c r="Q27" s="2452">
        <f t="shared" si="17"/>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22"/>
        <v>319.87748030386797</v>
      </c>
      <c r="C28" s="2425">
        <f t="shared" si="22"/>
        <v>269.60135833173649</v>
      </c>
      <c r="D28" s="2425">
        <f t="shared" si="19"/>
        <v>269.60135833173649</v>
      </c>
      <c r="E28" s="2425">
        <f t="shared" si="23"/>
        <v>439.18089823583784</v>
      </c>
      <c r="F28" s="2425">
        <f t="shared" si="23"/>
        <v>239.23503918706311</v>
      </c>
      <c r="G28" s="3446"/>
      <c r="H28" s="2426">
        <v>1</v>
      </c>
      <c r="I28" s="2426">
        <v>0.51</v>
      </c>
      <c r="J28" s="2426">
        <v>0.54</v>
      </c>
      <c r="K28" s="2426">
        <v>0.48</v>
      </c>
      <c r="L28" s="2432">
        <v>0.93</v>
      </c>
      <c r="N28" s="2443">
        <f t="shared" si="21"/>
        <v>5.1000000000000004E-3</v>
      </c>
      <c r="O28" s="2444">
        <f t="shared" si="17"/>
        <v>5.4000000000000003E-3</v>
      </c>
      <c r="P28" s="2444">
        <f t="shared" si="17"/>
        <v>4.7999999999999996E-3</v>
      </c>
      <c r="Q28" s="2444">
        <f t="shared" si="17"/>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9"/>
        <v>268</v>
      </c>
      <c r="E29" s="2453">
        <v>437</v>
      </c>
      <c r="F29" s="2454">
        <v>237</v>
      </c>
      <c r="G29" s="3444">
        <v>2014</v>
      </c>
      <c r="H29" s="2445">
        <v>4</v>
      </c>
      <c r="I29" s="2445">
        <v>0.21</v>
      </c>
      <c r="J29" s="2445">
        <v>0.41</v>
      </c>
      <c r="K29" s="2445">
        <v>0.12</v>
      </c>
      <c r="L29" s="2446">
        <v>0.89</v>
      </c>
      <c r="N29" s="2427">
        <f t="shared" si="21"/>
        <v>2.0999999999999999E-3</v>
      </c>
      <c r="O29" s="2412">
        <f t="shared" si="17"/>
        <v>4.0999999999999995E-3</v>
      </c>
      <c r="P29" s="2412">
        <f t="shared" si="17"/>
        <v>1.1999999999999999E-3</v>
      </c>
      <c r="Q29" s="2412">
        <f t="shared" si="17"/>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24">B29/(1+N29)</f>
        <v>317.33359944117353</v>
      </c>
      <c r="C30" s="2425">
        <f t="shared" si="24"/>
        <v>266.90568668459315</v>
      </c>
      <c r="D30" s="2425">
        <f t="shared" si="19"/>
        <v>266.90568668459315</v>
      </c>
      <c r="E30" s="2425">
        <f t="shared" ref="E30:F32" si="25">E29/(1+P29)</f>
        <v>436.47622852576905</v>
      </c>
      <c r="F30" s="2425">
        <f t="shared" si="25"/>
        <v>234.90930716622066</v>
      </c>
      <c r="G30" s="3445"/>
      <c r="H30" s="2455">
        <v>3</v>
      </c>
      <c r="I30" s="2455">
        <v>0.83</v>
      </c>
      <c r="J30" s="2455">
        <v>1.47</v>
      </c>
      <c r="K30" s="2455">
        <v>0.65</v>
      </c>
      <c r="L30" s="2456">
        <v>0.72</v>
      </c>
      <c r="N30" s="2427">
        <f t="shared" si="21"/>
        <v>8.3000000000000001E-3</v>
      </c>
      <c r="O30" s="2412">
        <f t="shared" si="17"/>
        <v>1.47E-2</v>
      </c>
      <c r="P30" s="2412">
        <f t="shared" si="17"/>
        <v>6.5000000000000006E-3</v>
      </c>
      <c r="Q30" s="2412">
        <f t="shared" si="17"/>
        <v>7.1999999999999998E-3</v>
      </c>
      <c r="R30" s="2428"/>
      <c r="S30" s="2427"/>
      <c r="T30" s="2412"/>
      <c r="U30" s="2412"/>
      <c r="V30" s="2412"/>
      <c r="X30" s="2411">
        <f>ROUND(SUMPRODUCT(PRODUCT(1+N30:N$31)),4)</f>
        <v>1.0325</v>
      </c>
      <c r="Y30" s="2411">
        <f>ROUND(SUMPRODUCT(PRODUCT(1+O30:O$31)),4)</f>
        <v>1.0353000000000001</v>
      </c>
      <c r="Z30" s="2411">
        <f>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24"/>
        <v>314.72141172386546</v>
      </c>
      <c r="C31" s="2425">
        <f t="shared" si="24"/>
        <v>263.03901319069001</v>
      </c>
      <c r="D31" s="2425">
        <f t="shared" si="19"/>
        <v>263.03901319069001</v>
      </c>
      <c r="E31" s="2425">
        <f t="shared" si="25"/>
        <v>433.65745506782821</v>
      </c>
      <c r="F31" s="2425">
        <f t="shared" si="25"/>
        <v>233.23005080045735</v>
      </c>
      <c r="G31" s="3445"/>
      <c r="H31" s="2445">
        <v>2</v>
      </c>
      <c r="I31" s="2445">
        <v>2.4</v>
      </c>
      <c r="J31" s="2445">
        <v>2.0299999999999998</v>
      </c>
      <c r="K31" s="2445">
        <v>2.59</v>
      </c>
      <c r="L31" s="2446">
        <v>1.52</v>
      </c>
      <c r="N31" s="2427">
        <f t="shared" si="21"/>
        <v>2.4E-2</v>
      </c>
      <c r="O31" s="2412">
        <f t="shared" si="17"/>
        <v>2.0299999999999999E-2</v>
      </c>
      <c r="P31" s="2412">
        <f t="shared" si="17"/>
        <v>2.5899999999999999E-2</v>
      </c>
      <c r="Q31" s="2412">
        <f t="shared" si="17"/>
        <v>1.52E-2</v>
      </c>
      <c r="R31" s="2428"/>
      <c r="S31" s="2427"/>
      <c r="T31" s="2412"/>
      <c r="U31" s="2412"/>
      <c r="V31" s="2412"/>
      <c r="X31" s="2411">
        <f>1+N31</f>
        <v>1.024</v>
      </c>
      <c r="Y31" s="2411">
        <f>1+O31</f>
        <v>1.0203</v>
      </c>
      <c r="Z31" s="2411">
        <f>Y31</f>
        <v>1.0203</v>
      </c>
      <c r="AA31" s="2411">
        <f>1+P31</f>
        <v>1.0259</v>
      </c>
      <c r="AB31" s="2411">
        <f>1+Q31</f>
        <v>1.0152000000000001</v>
      </c>
      <c r="AD31" s="2412">
        <f>ROUND(AVERAGE(I31:I$32)/100,4)</f>
        <v>2.69E-2</v>
      </c>
      <c r="AE31" s="2412">
        <f>ROUND(AVERAGE(J31:J$32)/100,4)</f>
        <v>2.1899999999999999E-2</v>
      </c>
      <c r="AF31" s="2412">
        <f>AE31</f>
        <v>2.1899999999999999E-2</v>
      </c>
      <c r="AG31" s="2412">
        <f>ROUND(AVERAGE(K31:K$32)/100,4)</f>
        <v>2.9399999999999999E-2</v>
      </c>
      <c r="AH31" s="2412">
        <f>ROUND(AVERAGE(L31:L$32)/100,4)</f>
        <v>1.44E-2</v>
      </c>
    </row>
    <row r="32" spans="1:34" s="2461" customFormat="1" ht="13.5" thickBot="1">
      <c r="A32" s="2457" t="s">
        <v>144</v>
      </c>
      <c r="B32" s="2458">
        <f t="shared" si="24"/>
        <v>307.34512863658733</v>
      </c>
      <c r="C32" s="2458">
        <f t="shared" si="24"/>
        <v>257.80556031626975</v>
      </c>
      <c r="D32" s="2458">
        <f t="shared" si="19"/>
        <v>257.80556031626975</v>
      </c>
      <c r="E32" s="2458">
        <f t="shared" si="25"/>
        <v>422.70928459677179</v>
      </c>
      <c r="F32" s="2458">
        <f t="shared" si="25"/>
        <v>229.73803270336617</v>
      </c>
      <c r="G32" s="3446"/>
      <c r="H32" s="2459">
        <v>1</v>
      </c>
      <c r="I32" s="2459">
        <v>2.97</v>
      </c>
      <c r="J32" s="2459">
        <v>2.34</v>
      </c>
      <c r="K32" s="2459">
        <v>3.28</v>
      </c>
      <c r="L32" s="2460">
        <v>1.36</v>
      </c>
      <c r="N32" s="2462">
        <f t="shared" si="21"/>
        <v>2.9700000000000001E-2</v>
      </c>
      <c r="O32" s="2463">
        <f t="shared" si="17"/>
        <v>2.3399999999999997E-2</v>
      </c>
      <c r="P32" s="2463">
        <f t="shared" si="17"/>
        <v>3.2799999999999996E-2</v>
      </c>
      <c r="Q32" s="2463">
        <f t="shared" si="17"/>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9"/>
        <v>252</v>
      </c>
      <c r="E33" s="2439">
        <v>409</v>
      </c>
      <c r="F33" s="2440">
        <v>227</v>
      </c>
      <c r="G33" s="3451">
        <v>2013</v>
      </c>
      <c r="H33" s="2469">
        <v>4</v>
      </c>
      <c r="I33" s="2469">
        <v>1.83</v>
      </c>
      <c r="J33" s="2469">
        <v>1.68</v>
      </c>
      <c r="K33" s="2469">
        <v>1.97</v>
      </c>
      <c r="L33" s="2470">
        <v>0.87</v>
      </c>
      <c r="N33" s="2447">
        <f t="shared" si="21"/>
        <v>1.83E-2</v>
      </c>
      <c r="O33" s="2448">
        <f t="shared" si="17"/>
        <v>1.6799999999999999E-2</v>
      </c>
      <c r="P33" s="2448">
        <f t="shared" si="17"/>
        <v>1.9699999999999999E-2</v>
      </c>
      <c r="Q33" s="2448">
        <f t="shared" si="17"/>
        <v>8.6999999999999994E-3</v>
      </c>
      <c r="R33" s="2428"/>
      <c r="S33" s="2441"/>
      <c r="T33" s="2442"/>
      <c r="U33" s="2442"/>
      <c r="V33" s="2442"/>
      <c r="X33" s="2442"/>
      <c r="Y33" s="2442"/>
      <c r="Z33" s="2442"/>
    </row>
    <row r="34" spans="1:26">
      <c r="A34" s="2424" t="s">
        <v>1131</v>
      </c>
      <c r="B34" s="2425">
        <f t="shared" ref="B34:C36" si="26">B33/(1+N33)</f>
        <v>293.62663262299913</v>
      </c>
      <c r="C34" s="2425">
        <f t="shared" si="26"/>
        <v>247.83634933123525</v>
      </c>
      <c r="D34" s="2425">
        <f t="shared" si="19"/>
        <v>247.83634933123525</v>
      </c>
      <c r="E34" s="2425">
        <f t="shared" ref="E34:F36" si="27">E33/(1+P33)</f>
        <v>401.09836226341076</v>
      </c>
      <c r="F34" s="2425">
        <f t="shared" si="27"/>
        <v>225.04213343908003</v>
      </c>
      <c r="G34" s="3452"/>
      <c r="H34" s="2450">
        <v>3</v>
      </c>
      <c r="I34" s="2450">
        <v>1.86</v>
      </c>
      <c r="J34" s="2450">
        <v>1.72</v>
      </c>
      <c r="K34" s="2450">
        <v>1.98</v>
      </c>
      <c r="L34" s="2451">
        <v>0.88</v>
      </c>
      <c r="N34" s="2427">
        <f t="shared" si="21"/>
        <v>1.8600000000000002E-2</v>
      </c>
      <c r="O34" s="2452">
        <f t="shared" si="17"/>
        <v>1.72E-2</v>
      </c>
      <c r="P34" s="2452">
        <f t="shared" si="17"/>
        <v>1.9799999999999998E-2</v>
      </c>
      <c r="Q34" s="2452">
        <f t="shared" si="17"/>
        <v>8.8000000000000005E-3</v>
      </c>
      <c r="R34" s="2428"/>
      <c r="S34" s="2427"/>
      <c r="T34" s="2412"/>
      <c r="U34" s="2412"/>
      <c r="V34" s="2412"/>
    </row>
    <row r="35" spans="1:26">
      <c r="A35" s="2424" t="s">
        <v>1132</v>
      </c>
      <c r="B35" s="2425">
        <f t="shared" si="26"/>
        <v>288.2649053828776</v>
      </c>
      <c r="C35" s="2425">
        <f t="shared" si="26"/>
        <v>243.64564425013293</v>
      </c>
      <c r="D35" s="2425">
        <f t="shared" si="19"/>
        <v>243.64564425013293</v>
      </c>
      <c r="E35" s="2425">
        <f t="shared" si="27"/>
        <v>393.31080825986544</v>
      </c>
      <c r="F35" s="2425">
        <f t="shared" si="27"/>
        <v>223.07903790551154</v>
      </c>
      <c r="G35" s="3452"/>
      <c r="H35" s="2437">
        <v>2</v>
      </c>
      <c r="I35" s="2437">
        <v>2.04</v>
      </c>
      <c r="J35" s="2437">
        <v>2.33</v>
      </c>
      <c r="K35" s="2437">
        <v>2.0699999999999998</v>
      </c>
      <c r="L35" s="2438">
        <v>0.69</v>
      </c>
      <c r="N35" s="2427">
        <f t="shared" si="21"/>
        <v>2.0400000000000001E-2</v>
      </c>
      <c r="O35" s="2452">
        <f t="shared" si="17"/>
        <v>2.3300000000000001E-2</v>
      </c>
      <c r="P35" s="2452">
        <f t="shared" si="17"/>
        <v>2.07E-2</v>
      </c>
      <c r="Q35" s="2452">
        <f t="shared" si="17"/>
        <v>6.8999999999999999E-3</v>
      </c>
      <c r="R35" s="2428"/>
      <c r="S35" s="2427"/>
      <c r="T35" s="2412"/>
      <c r="U35" s="2412"/>
      <c r="V35" s="2412"/>
      <c r="X35" s="2471"/>
      <c r="Y35" s="2472"/>
    </row>
    <row r="36" spans="1:26">
      <c r="A36" s="2424" t="s">
        <v>1133</v>
      </c>
      <c r="B36" s="2425">
        <f t="shared" si="26"/>
        <v>282.50186729015837</v>
      </c>
      <c r="C36" s="2425">
        <f t="shared" si="26"/>
        <v>238.09796174155468</v>
      </c>
      <c r="D36" s="2425">
        <f t="shared" si="19"/>
        <v>238.09796174155468</v>
      </c>
      <c r="E36" s="2425">
        <f t="shared" si="27"/>
        <v>385.33438646014054</v>
      </c>
      <c r="F36" s="2425">
        <f t="shared" si="27"/>
        <v>221.55034055567739</v>
      </c>
      <c r="G36" s="3453"/>
      <c r="H36" s="2426">
        <v>1</v>
      </c>
      <c r="I36" s="2426">
        <v>1.67</v>
      </c>
      <c r="J36" s="2426">
        <v>1.31</v>
      </c>
      <c r="K36" s="2426">
        <v>1.85</v>
      </c>
      <c r="L36" s="2432">
        <v>0.96</v>
      </c>
      <c r="N36" s="2443">
        <f t="shared" si="21"/>
        <v>1.67E-2</v>
      </c>
      <c r="O36" s="2444">
        <f t="shared" si="21"/>
        <v>1.3100000000000001E-2</v>
      </c>
      <c r="P36" s="2444">
        <f t="shared" si="21"/>
        <v>1.8500000000000003E-2</v>
      </c>
      <c r="Q36" s="2444">
        <f t="shared" si="21"/>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9"/>
        <v>234</v>
      </c>
      <c r="E37" s="2474">
        <v>379</v>
      </c>
      <c r="F37" s="2475">
        <v>220</v>
      </c>
      <c r="G37" s="3444">
        <v>2012</v>
      </c>
      <c r="H37" s="2445">
        <v>4</v>
      </c>
      <c r="I37" s="2445">
        <v>0.91</v>
      </c>
      <c r="J37" s="2445">
        <v>0.68</v>
      </c>
      <c r="K37" s="2445">
        <v>0.98</v>
      </c>
      <c r="L37" s="2446">
        <v>0.9</v>
      </c>
      <c r="N37" s="2427">
        <f t="shared" si="21"/>
        <v>9.1000000000000004E-3</v>
      </c>
      <c r="O37" s="2412">
        <f t="shared" si="21"/>
        <v>6.8000000000000005E-3</v>
      </c>
      <c r="P37" s="2412">
        <f t="shared" si="21"/>
        <v>9.7999999999999997E-3</v>
      </c>
      <c r="Q37" s="2412">
        <f t="shared" si="21"/>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9"/>
        <v>232.41954707985698</v>
      </c>
      <c r="E38" s="2425">
        <f t="shared" ref="E38:F40" si="28">E37/(1+P37)</f>
        <v>375.32184591008121</v>
      </c>
      <c r="F38" s="2425">
        <f t="shared" si="28"/>
        <v>218.03766105054513</v>
      </c>
      <c r="G38" s="3445"/>
      <c r="H38" s="2450">
        <v>3</v>
      </c>
      <c r="I38" s="2450">
        <v>0.09</v>
      </c>
      <c r="J38" s="2450">
        <v>0.28999999999999998</v>
      </c>
      <c r="K38" s="2450">
        <v>-0.01</v>
      </c>
      <c r="L38" s="2451">
        <v>0.57999999999999996</v>
      </c>
      <c r="N38" s="2427">
        <f t="shared" si="21"/>
        <v>8.9999999999999998E-4</v>
      </c>
      <c r="O38" s="2412">
        <f t="shared" si="21"/>
        <v>2.8999999999999998E-3</v>
      </c>
      <c r="P38" s="2412">
        <f t="shared" si="21"/>
        <v>-1E-4</v>
      </c>
      <c r="Q38" s="2412">
        <f t="shared" si="21"/>
        <v>5.7999999999999996E-3</v>
      </c>
      <c r="R38" s="2428"/>
      <c r="S38" s="2427"/>
      <c r="T38" s="2412"/>
      <c r="U38" s="2412"/>
      <c r="V38" s="2412"/>
    </row>
    <row r="39" spans="1:26">
      <c r="A39" s="2424" t="s">
        <v>1136</v>
      </c>
      <c r="B39" s="2425">
        <f>B38/(1+N38)</f>
        <v>275.24529281292263</v>
      </c>
      <c r="C39" s="2425">
        <f>C38/(1+O38)</f>
        <v>231.74747938962707</v>
      </c>
      <c r="D39" s="2425">
        <f t="shared" si="19"/>
        <v>231.74747938962707</v>
      </c>
      <c r="E39" s="2425">
        <f t="shared" si="28"/>
        <v>375.35938184826603</v>
      </c>
      <c r="F39" s="2425">
        <f t="shared" si="28"/>
        <v>216.78033510692495</v>
      </c>
      <c r="G39" s="3445"/>
      <c r="H39" s="2437">
        <v>2</v>
      </c>
      <c r="I39" s="2437">
        <v>0.02</v>
      </c>
      <c r="J39" s="2437">
        <v>0.12</v>
      </c>
      <c r="K39" s="2437">
        <v>-0.08</v>
      </c>
      <c r="L39" s="2438">
        <v>1.24</v>
      </c>
      <c r="N39" s="2427">
        <f t="shared" si="21"/>
        <v>2.0000000000000001E-4</v>
      </c>
      <c r="O39" s="2412">
        <f t="shared" si="21"/>
        <v>1.1999999999999999E-3</v>
      </c>
      <c r="P39" s="2412">
        <f t="shared" si="21"/>
        <v>-8.0000000000000004E-4</v>
      </c>
      <c r="Q39" s="2412">
        <f t="shared" si="21"/>
        <v>1.24E-2</v>
      </c>
      <c r="R39" s="2428"/>
      <c r="S39" s="2427"/>
      <c r="T39" s="2412"/>
      <c r="U39" s="2412"/>
      <c r="V39" s="2412"/>
    </row>
    <row r="40" spans="1:26" ht="13.5" thickBot="1">
      <c r="A40" s="2424" t="s">
        <v>1137</v>
      </c>
      <c r="B40" s="2425">
        <f>B39/(1+N39)</f>
        <v>275.19025476197027</v>
      </c>
      <c r="C40" s="2476">
        <v>232</v>
      </c>
      <c r="D40" s="2476">
        <f t="shared" si="19"/>
        <v>232</v>
      </c>
      <c r="E40" s="2425">
        <f t="shared" si="28"/>
        <v>375.65990977608692</v>
      </c>
      <c r="F40" s="2425">
        <f t="shared" si="28"/>
        <v>214.12518283971252</v>
      </c>
      <c r="G40" s="3446"/>
      <c r="H40" s="2426">
        <v>1</v>
      </c>
      <c r="I40" s="2426">
        <v>0.02</v>
      </c>
      <c r="J40" s="2426">
        <v>0.13</v>
      </c>
      <c r="K40" s="2426">
        <v>-0.04</v>
      </c>
      <c r="L40" s="2432">
        <v>0.46</v>
      </c>
      <c r="N40" s="2427">
        <f t="shared" si="21"/>
        <v>2.0000000000000001E-4</v>
      </c>
      <c r="O40" s="2412">
        <f t="shared" si="21"/>
        <v>1.2999999999999999E-3</v>
      </c>
      <c r="P40" s="2412">
        <f t="shared" si="21"/>
        <v>-4.0000000000000002E-4</v>
      </c>
      <c r="Q40" s="2412">
        <f t="shared" si="21"/>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9"/>
        <v>232</v>
      </c>
      <c r="E41" s="2439">
        <v>376</v>
      </c>
      <c r="F41" s="2440">
        <v>213</v>
      </c>
      <c r="G41" s="3444">
        <v>2011</v>
      </c>
      <c r="H41" s="2445">
        <v>4</v>
      </c>
      <c r="I41" s="2445">
        <v>-0.2</v>
      </c>
      <c r="J41" s="2445">
        <v>0.04</v>
      </c>
      <c r="K41" s="2445">
        <v>-0.34</v>
      </c>
      <c r="L41" s="2446">
        <v>0.46</v>
      </c>
      <c r="N41" s="2447">
        <f t="shared" si="21"/>
        <v>-2E-3</v>
      </c>
      <c r="O41" s="2448">
        <f t="shared" si="21"/>
        <v>4.0000000000000002E-4</v>
      </c>
      <c r="P41" s="2448">
        <f t="shared" si="21"/>
        <v>-3.4000000000000002E-3</v>
      </c>
      <c r="Q41" s="2448">
        <f t="shared" si="21"/>
        <v>4.5999999999999999E-3</v>
      </c>
      <c r="R41" s="2428"/>
      <c r="S41" s="2441"/>
      <c r="T41" s="2442"/>
      <c r="U41" s="2442"/>
      <c r="V41" s="2442"/>
      <c r="X41" s="2442"/>
      <c r="Y41" s="2442"/>
      <c r="Z41" s="2442"/>
    </row>
    <row r="42" spans="1:26">
      <c r="A42" s="2424" t="s">
        <v>1139</v>
      </c>
      <c r="B42" s="2425">
        <f t="shared" ref="B42:C44" si="29">B41/(1+N41)</f>
        <v>275.55110220440883</v>
      </c>
      <c r="C42" s="2425">
        <f t="shared" si="29"/>
        <v>231.90723710515795</v>
      </c>
      <c r="D42" s="2425">
        <f t="shared" si="19"/>
        <v>231.90723710515795</v>
      </c>
      <c r="E42" s="2425">
        <f t="shared" ref="E42:F44" si="30">E41/(1+P41)</f>
        <v>377.28276138872161</v>
      </c>
      <c r="F42" s="2425">
        <f t="shared" si="30"/>
        <v>212.02468644236512</v>
      </c>
      <c r="G42" s="3445">
        <v>2011</v>
      </c>
      <c r="H42" s="2450">
        <v>3</v>
      </c>
      <c r="I42" s="2450">
        <v>0.13</v>
      </c>
      <c r="J42" s="2450">
        <v>0.75</v>
      </c>
      <c r="K42" s="2450">
        <v>-0.08</v>
      </c>
      <c r="L42" s="2451">
        <v>0.53</v>
      </c>
      <c r="N42" s="2427">
        <f t="shared" si="21"/>
        <v>1.2999999999999999E-3</v>
      </c>
      <c r="O42" s="2452">
        <f t="shared" si="21"/>
        <v>7.4999999999999997E-3</v>
      </c>
      <c r="P42" s="2452">
        <f t="shared" si="21"/>
        <v>-8.0000000000000004E-4</v>
      </c>
      <c r="Q42" s="2452">
        <f t="shared" si="21"/>
        <v>5.3E-3</v>
      </c>
      <c r="R42" s="2428"/>
      <c r="S42" s="2427"/>
      <c r="T42" s="2412"/>
      <c r="U42" s="2412"/>
      <c r="V42" s="2412"/>
    </row>
    <row r="43" spans="1:26">
      <c r="A43" s="2424" t="s">
        <v>1140</v>
      </c>
      <c r="B43" s="2425">
        <f t="shared" si="29"/>
        <v>275.19335084830601</v>
      </c>
      <c r="C43" s="2425">
        <f t="shared" si="29"/>
        <v>230.18088050139744</v>
      </c>
      <c r="D43" s="2425">
        <f t="shared" si="19"/>
        <v>230.18088050139744</v>
      </c>
      <c r="E43" s="2425">
        <f t="shared" si="30"/>
        <v>377.58482925212331</v>
      </c>
      <c r="F43" s="2425">
        <f t="shared" si="30"/>
        <v>210.90687997847917</v>
      </c>
      <c r="G43" s="3445">
        <v>2011</v>
      </c>
      <c r="H43" s="2437">
        <v>2</v>
      </c>
      <c r="I43" s="2437">
        <v>-0.4</v>
      </c>
      <c r="J43" s="2437">
        <v>0.17</v>
      </c>
      <c r="K43" s="2437">
        <v>-0.57999999999999996</v>
      </c>
      <c r="L43" s="2438">
        <v>-0.2</v>
      </c>
      <c r="N43" s="2427">
        <f t="shared" si="21"/>
        <v>-4.0000000000000001E-3</v>
      </c>
      <c r="O43" s="2452">
        <f t="shared" si="21"/>
        <v>1.7000000000000001E-3</v>
      </c>
      <c r="P43" s="2452">
        <f t="shared" si="21"/>
        <v>-5.7999999999999996E-3</v>
      </c>
      <c r="Q43" s="2452">
        <f t="shared" si="21"/>
        <v>-2E-3</v>
      </c>
      <c r="R43" s="2428"/>
      <c r="S43" s="2427"/>
      <c r="T43" s="2412"/>
      <c r="U43" s="2412"/>
      <c r="V43" s="2412"/>
    </row>
    <row r="44" spans="1:26" ht="13.5" thickBot="1">
      <c r="A44" s="2424" t="s">
        <v>1141</v>
      </c>
      <c r="B44" s="2425">
        <f t="shared" si="29"/>
        <v>276.29854502841971</v>
      </c>
      <c r="C44" s="2425">
        <f t="shared" si="29"/>
        <v>229.79023709833027</v>
      </c>
      <c r="D44" s="2425">
        <f t="shared" si="19"/>
        <v>229.79023709833027</v>
      </c>
      <c r="E44" s="2425">
        <f t="shared" si="30"/>
        <v>379.78759731655936</v>
      </c>
      <c r="F44" s="2425">
        <f t="shared" si="30"/>
        <v>211.32953905659235</v>
      </c>
      <c r="G44" s="3446">
        <v>2011</v>
      </c>
      <c r="H44" s="2426">
        <v>1</v>
      </c>
      <c r="I44" s="2426">
        <v>2.65</v>
      </c>
      <c r="J44" s="2426">
        <v>3.76</v>
      </c>
      <c r="K44" s="2426">
        <v>1.89</v>
      </c>
      <c r="L44" s="2432">
        <v>7.95</v>
      </c>
      <c r="N44" s="2443">
        <f t="shared" si="21"/>
        <v>2.6499999999999999E-2</v>
      </c>
      <c r="O44" s="2444">
        <f t="shared" si="21"/>
        <v>3.7599999999999995E-2</v>
      </c>
      <c r="P44" s="2444">
        <f t="shared" si="21"/>
        <v>1.89E-2</v>
      </c>
      <c r="Q44" s="2444">
        <f t="shared" si="21"/>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9"/>
        <v>221</v>
      </c>
      <c r="E45" s="2439">
        <v>373</v>
      </c>
      <c r="F45" s="2440">
        <v>196</v>
      </c>
      <c r="G45" s="3444">
        <v>2010</v>
      </c>
      <c r="H45" s="2445">
        <v>4</v>
      </c>
      <c r="I45" s="2445">
        <v>5.72</v>
      </c>
      <c r="J45" s="2445">
        <v>6.57</v>
      </c>
      <c r="K45" s="2445">
        <v>5.72</v>
      </c>
      <c r="L45" s="2446">
        <v>2.72</v>
      </c>
      <c r="N45" s="2427">
        <f t="shared" si="21"/>
        <v>5.7200000000000001E-2</v>
      </c>
      <c r="O45" s="2412">
        <f t="shared" si="21"/>
        <v>6.5700000000000008E-2</v>
      </c>
      <c r="P45" s="2412">
        <f t="shared" si="21"/>
        <v>5.7200000000000001E-2</v>
      </c>
      <c r="Q45" s="2412">
        <f t="shared" si="21"/>
        <v>2.7200000000000002E-2</v>
      </c>
      <c r="R45" s="2428"/>
      <c r="S45" s="2441"/>
      <c r="T45" s="2442"/>
      <c r="U45" s="2442"/>
      <c r="V45" s="2442"/>
      <c r="X45" s="2442"/>
      <c r="Y45" s="2442"/>
      <c r="Z45" s="2442"/>
    </row>
    <row r="46" spans="1:26">
      <c r="A46" s="2424" t="s">
        <v>1143</v>
      </c>
      <c r="B46" s="2425">
        <f t="shared" ref="B46:C48" si="31">B45/(1+N45)</f>
        <v>254.44570563753314</v>
      </c>
      <c r="C46" s="2425">
        <f t="shared" si="31"/>
        <v>207.37543398705074</v>
      </c>
      <c r="D46" s="2425">
        <f t="shared" si="19"/>
        <v>207.37543398705074</v>
      </c>
      <c r="E46" s="2425">
        <f t="shared" ref="E46:F48" si="32">E45/(1+P45)</f>
        <v>352.81876655315932</v>
      </c>
      <c r="F46" s="2425">
        <f t="shared" si="32"/>
        <v>190.809968847352</v>
      </c>
      <c r="G46" s="3445">
        <v>2010</v>
      </c>
      <c r="H46" s="2450">
        <v>3</v>
      </c>
      <c r="I46" s="2450">
        <v>4.7300000000000004</v>
      </c>
      <c r="J46" s="2450">
        <v>3.9</v>
      </c>
      <c r="K46" s="2450">
        <v>5.03</v>
      </c>
      <c r="L46" s="2451">
        <v>4.21</v>
      </c>
      <c r="N46" s="2427">
        <f t="shared" si="21"/>
        <v>4.7300000000000002E-2</v>
      </c>
      <c r="O46" s="2412">
        <f t="shared" si="21"/>
        <v>3.9E-2</v>
      </c>
      <c r="P46" s="2412">
        <f t="shared" si="21"/>
        <v>5.0300000000000004E-2</v>
      </c>
      <c r="Q46" s="2412">
        <f t="shared" si="21"/>
        <v>4.2099999999999999E-2</v>
      </c>
      <c r="R46" s="2428"/>
      <c r="S46" s="2427"/>
      <c r="T46" s="2412"/>
      <c r="U46" s="2412"/>
      <c r="V46" s="2412"/>
    </row>
    <row r="47" spans="1:26">
      <c r="A47" s="2424" t="s">
        <v>1144</v>
      </c>
      <c r="B47" s="2425">
        <f t="shared" si="31"/>
        <v>242.95398227588385</v>
      </c>
      <c r="C47" s="2425">
        <f t="shared" si="31"/>
        <v>199.59137053614126</v>
      </c>
      <c r="D47" s="2425">
        <f t="shared" si="19"/>
        <v>199.59137053614126</v>
      </c>
      <c r="E47" s="2425">
        <f t="shared" si="32"/>
        <v>335.92189522342125</v>
      </c>
      <c r="F47" s="2425">
        <f t="shared" si="32"/>
        <v>183.10139991109489</v>
      </c>
      <c r="G47" s="3445">
        <v>2010</v>
      </c>
      <c r="H47" s="2437">
        <v>2</v>
      </c>
      <c r="I47" s="2437">
        <v>4.6900000000000004</v>
      </c>
      <c r="J47" s="2437">
        <v>3.55</v>
      </c>
      <c r="K47" s="2437">
        <v>5.07</v>
      </c>
      <c r="L47" s="2438">
        <v>4.2300000000000004</v>
      </c>
      <c r="N47" s="2427">
        <f t="shared" si="21"/>
        <v>4.6900000000000004E-2</v>
      </c>
      <c r="O47" s="2412">
        <f t="shared" si="21"/>
        <v>3.5499999999999997E-2</v>
      </c>
      <c r="P47" s="2412">
        <f t="shared" si="21"/>
        <v>5.0700000000000002E-2</v>
      </c>
      <c r="Q47" s="2412">
        <f t="shared" si="21"/>
        <v>4.2300000000000004E-2</v>
      </c>
      <c r="R47" s="2428"/>
      <c r="S47" s="2427"/>
      <c r="T47" s="2412"/>
      <c r="U47" s="2412"/>
      <c r="V47" s="2412"/>
    </row>
    <row r="48" spans="1:26" ht="13.5" thickBot="1">
      <c r="A48" s="2424" t="s">
        <v>1145</v>
      </c>
      <c r="B48" s="2425">
        <f t="shared" si="31"/>
        <v>232.06990378821649</v>
      </c>
      <c r="C48" s="2425">
        <f t="shared" si="31"/>
        <v>192.74878854286936</v>
      </c>
      <c r="D48" s="2425">
        <f t="shared" si="19"/>
        <v>192.74878854286936</v>
      </c>
      <c r="E48" s="2425">
        <f t="shared" si="32"/>
        <v>319.71247284992984</v>
      </c>
      <c r="F48" s="2425">
        <f t="shared" si="32"/>
        <v>175.67053622862409</v>
      </c>
      <c r="G48" s="3446">
        <v>2010</v>
      </c>
      <c r="H48" s="2426">
        <v>1</v>
      </c>
      <c r="I48" s="2426">
        <v>5.4</v>
      </c>
      <c r="J48" s="2426">
        <v>3.2</v>
      </c>
      <c r="K48" s="2426">
        <v>6.16</v>
      </c>
      <c r="L48" s="2432">
        <v>4.51</v>
      </c>
      <c r="N48" s="2427">
        <f t="shared" si="21"/>
        <v>5.4000000000000006E-2</v>
      </c>
      <c r="O48" s="2412">
        <f t="shared" si="21"/>
        <v>3.2000000000000001E-2</v>
      </c>
      <c r="P48" s="2412">
        <f t="shared" si="21"/>
        <v>6.1600000000000002E-2</v>
      </c>
      <c r="Q48" s="2412">
        <f t="shared" si="21"/>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9"/>
        <v>187</v>
      </c>
      <c r="E49" s="2439">
        <v>301</v>
      </c>
      <c r="F49" s="2440">
        <v>168</v>
      </c>
      <c r="G49" s="3444">
        <v>2009</v>
      </c>
      <c r="H49" s="2445">
        <v>4</v>
      </c>
      <c r="I49" s="2445">
        <v>2.2999999999999998</v>
      </c>
      <c r="J49" s="2445">
        <v>1.04</v>
      </c>
      <c r="K49" s="2445">
        <v>2.84</v>
      </c>
      <c r="L49" s="2446">
        <v>0.67</v>
      </c>
      <c r="N49" s="2447">
        <f t="shared" si="21"/>
        <v>2.3E-2</v>
      </c>
      <c r="O49" s="2448">
        <f t="shared" si="21"/>
        <v>1.04E-2</v>
      </c>
      <c r="P49" s="2448">
        <f t="shared" si="21"/>
        <v>2.8399999999999998E-2</v>
      </c>
      <c r="Q49" s="2448">
        <f t="shared" si="21"/>
        <v>6.7000000000000002E-3</v>
      </c>
      <c r="R49" s="2428"/>
      <c r="S49" s="2441"/>
      <c r="T49" s="2442"/>
      <c r="U49" s="2442"/>
      <c r="V49" s="2442"/>
      <c r="X49" s="2442"/>
      <c r="Y49" s="2442"/>
      <c r="Z49" s="2442"/>
    </row>
    <row r="50" spans="1:26">
      <c r="A50" s="2424" t="s">
        <v>1147</v>
      </c>
      <c r="B50" s="2425">
        <f t="shared" ref="B50:C52" si="33">B49/(1+N49)</f>
        <v>215.05376344086022</v>
      </c>
      <c r="C50" s="2425">
        <f t="shared" si="33"/>
        <v>185.0752177355503</v>
      </c>
      <c r="D50" s="2425">
        <f t="shared" si="19"/>
        <v>185.0752177355503</v>
      </c>
      <c r="E50" s="2425">
        <f t="shared" ref="E50:F52" si="34">E49/(1+P49)</f>
        <v>292.68767016725008</v>
      </c>
      <c r="F50" s="2425">
        <f t="shared" si="34"/>
        <v>166.88189132810174</v>
      </c>
      <c r="G50" s="3445">
        <v>2009</v>
      </c>
      <c r="H50" s="2450">
        <v>3</v>
      </c>
      <c r="I50" s="2450">
        <v>2.1</v>
      </c>
      <c r="J50" s="2450">
        <v>1.86</v>
      </c>
      <c r="K50" s="2450">
        <v>2.29</v>
      </c>
      <c r="L50" s="2451">
        <v>0.85</v>
      </c>
      <c r="N50" s="2427">
        <f t="shared" si="21"/>
        <v>2.1000000000000001E-2</v>
      </c>
      <c r="O50" s="2452">
        <f t="shared" si="21"/>
        <v>1.8600000000000002E-2</v>
      </c>
      <c r="P50" s="2452">
        <f t="shared" si="21"/>
        <v>2.29E-2</v>
      </c>
      <c r="Q50" s="2452">
        <f t="shared" si="21"/>
        <v>8.5000000000000006E-3</v>
      </c>
      <c r="R50" s="2428"/>
      <c r="S50" s="2427"/>
      <c r="T50" s="2412"/>
      <c r="U50" s="2412"/>
      <c r="V50" s="2412"/>
    </row>
    <row r="51" spans="1:26">
      <c r="A51" s="2424" t="s">
        <v>1148</v>
      </c>
      <c r="B51" s="2425">
        <f t="shared" si="33"/>
        <v>210.630522469011</v>
      </c>
      <c r="C51" s="2425">
        <f t="shared" si="33"/>
        <v>181.69567812247232</v>
      </c>
      <c r="D51" s="2425">
        <f t="shared" si="19"/>
        <v>181.69567812247232</v>
      </c>
      <c r="E51" s="2425">
        <f t="shared" si="34"/>
        <v>286.13517466736738</v>
      </c>
      <c r="F51" s="2425">
        <f t="shared" si="34"/>
        <v>165.47535084591149</v>
      </c>
      <c r="G51" s="3445">
        <v>2009</v>
      </c>
      <c r="H51" s="2437">
        <v>2</v>
      </c>
      <c r="I51" s="2437">
        <v>0.86</v>
      </c>
      <c r="J51" s="2437">
        <v>-1.1299999999999999</v>
      </c>
      <c r="K51" s="2437">
        <v>1.79</v>
      </c>
      <c r="L51" s="2438">
        <v>-2.0699999999999998</v>
      </c>
      <c r="N51" s="2427">
        <f t="shared" si="21"/>
        <v>8.6E-3</v>
      </c>
      <c r="O51" s="2452">
        <f t="shared" si="21"/>
        <v>-1.1299999999999999E-2</v>
      </c>
      <c r="P51" s="2452">
        <f t="shared" si="21"/>
        <v>1.7899999999999999E-2</v>
      </c>
      <c r="Q51" s="2452">
        <f t="shared" si="21"/>
        <v>-2.07E-2</v>
      </c>
      <c r="R51" s="2428"/>
      <c r="S51" s="2427"/>
      <c r="T51" s="2412"/>
      <c r="U51" s="2412"/>
      <c r="V51" s="2412"/>
    </row>
    <row r="52" spans="1:26">
      <c r="A52" s="2424" t="s">
        <v>1149</v>
      </c>
      <c r="B52" s="2425">
        <f t="shared" si="33"/>
        <v>208.83454537875372</v>
      </c>
      <c r="C52" s="2425">
        <f t="shared" si="33"/>
        <v>183.77230517090351</v>
      </c>
      <c r="D52" s="2425">
        <f t="shared" si="19"/>
        <v>183.77230517090351</v>
      </c>
      <c r="E52" s="2425">
        <f t="shared" si="34"/>
        <v>281.10342338870947</v>
      </c>
      <c r="F52" s="2425">
        <f t="shared" si="34"/>
        <v>168.97309388942256</v>
      </c>
      <c r="G52" s="3446">
        <v>2009</v>
      </c>
      <c r="H52" s="2426">
        <v>1</v>
      </c>
      <c r="I52" s="2426">
        <v>-2.64</v>
      </c>
      <c r="J52" s="2426">
        <v>-2.5299999999999998</v>
      </c>
      <c r="K52" s="2426">
        <v>-3.02</v>
      </c>
      <c r="L52" s="2432">
        <v>1.52</v>
      </c>
      <c r="N52" s="2443">
        <f t="shared" si="21"/>
        <v>-2.64E-2</v>
      </c>
      <c r="O52" s="2444">
        <f t="shared" si="21"/>
        <v>-2.53E-2</v>
      </c>
      <c r="P52" s="2444">
        <f t="shared" si="21"/>
        <v>-3.0200000000000001E-2</v>
      </c>
      <c r="Q52" s="2444">
        <f t="shared" si="21"/>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9"/>
        <v>188</v>
      </c>
      <c r="E53" s="2474">
        <v>289</v>
      </c>
      <c r="F53" s="2475">
        <v>166</v>
      </c>
      <c r="G53" s="3444">
        <v>2008</v>
      </c>
      <c r="H53" s="2445">
        <v>4</v>
      </c>
      <c r="I53" s="2445">
        <v>1.73</v>
      </c>
      <c r="J53" s="2445">
        <v>0.03</v>
      </c>
      <c r="K53" s="2445">
        <v>2.59</v>
      </c>
      <c r="L53" s="2446">
        <v>-1.66</v>
      </c>
      <c r="N53" s="2427">
        <f t="shared" si="21"/>
        <v>1.7299999999999999E-2</v>
      </c>
      <c r="O53" s="2412">
        <f t="shared" si="21"/>
        <v>2.9999999999999997E-4</v>
      </c>
      <c r="P53" s="2412">
        <f t="shared" si="21"/>
        <v>2.5899999999999999E-2</v>
      </c>
      <c r="Q53" s="2412">
        <f t="shared" si="21"/>
        <v>-1.66E-2</v>
      </c>
      <c r="R53" s="2428"/>
      <c r="S53" s="2441"/>
      <c r="T53" s="2442"/>
      <c r="U53" s="2442"/>
      <c r="V53" s="2442"/>
      <c r="X53" s="2442"/>
      <c r="Y53" s="2442"/>
      <c r="Z53" s="2442"/>
    </row>
    <row r="54" spans="1:26">
      <c r="A54" s="2424" t="s">
        <v>1151</v>
      </c>
      <c r="B54" s="2425">
        <f t="shared" ref="B54:C56" si="35">B53/(1+N53)</f>
        <v>210.36075887152265</v>
      </c>
      <c r="C54" s="2425">
        <f t="shared" si="35"/>
        <v>187.94361691492554</v>
      </c>
      <c r="D54" s="2425">
        <f t="shared" si="19"/>
        <v>187.94361691492554</v>
      </c>
      <c r="E54" s="2425">
        <f t="shared" ref="E54:F56" si="36">E53/(1+P53)</f>
        <v>281.70386977288234</v>
      </c>
      <c r="F54" s="2425">
        <f t="shared" si="36"/>
        <v>168.80211511083994</v>
      </c>
      <c r="G54" s="3445">
        <v>2008</v>
      </c>
      <c r="H54" s="2450">
        <v>3</v>
      </c>
      <c r="I54" s="2450">
        <v>1.96</v>
      </c>
      <c r="J54" s="2450">
        <v>2.36</v>
      </c>
      <c r="K54" s="2450">
        <v>1.82</v>
      </c>
      <c r="L54" s="2451">
        <v>2.2200000000000002</v>
      </c>
      <c r="N54" s="2427">
        <f t="shared" si="21"/>
        <v>1.9599999999999999E-2</v>
      </c>
      <c r="O54" s="2412">
        <f t="shared" si="21"/>
        <v>2.3599999999999999E-2</v>
      </c>
      <c r="P54" s="2412">
        <f t="shared" si="21"/>
        <v>1.8200000000000001E-2</v>
      </c>
      <c r="Q54" s="2412">
        <f t="shared" si="21"/>
        <v>2.2200000000000001E-2</v>
      </c>
      <c r="R54" s="2428"/>
      <c r="S54" s="2427"/>
      <c r="T54" s="2412"/>
      <c r="U54" s="2412"/>
      <c r="V54" s="2412"/>
    </row>
    <row r="55" spans="1:26">
      <c r="A55" s="2424" t="s">
        <v>1152</v>
      </c>
      <c r="B55" s="2425">
        <f t="shared" si="35"/>
        <v>206.31694671589116</v>
      </c>
      <c r="C55" s="2425">
        <f t="shared" si="35"/>
        <v>183.61041121036101</v>
      </c>
      <c r="D55" s="2425">
        <f t="shared" si="19"/>
        <v>183.61041121036101</v>
      </c>
      <c r="E55" s="2425">
        <f t="shared" si="36"/>
        <v>276.66850301795557</v>
      </c>
      <c r="F55" s="2425">
        <f t="shared" si="36"/>
        <v>165.1360938278614</v>
      </c>
      <c r="G55" s="3445">
        <v>2008</v>
      </c>
      <c r="H55" s="2437">
        <v>2</v>
      </c>
      <c r="I55" s="2437">
        <v>4.93</v>
      </c>
      <c r="J55" s="2437">
        <v>7.38</v>
      </c>
      <c r="K55" s="2437">
        <v>3.98</v>
      </c>
      <c r="L55" s="2438">
        <v>6.86</v>
      </c>
      <c r="N55" s="2427">
        <f t="shared" si="21"/>
        <v>4.9299999999999997E-2</v>
      </c>
      <c r="O55" s="2412">
        <f t="shared" si="21"/>
        <v>7.3800000000000004E-2</v>
      </c>
      <c r="P55" s="2412">
        <f t="shared" si="21"/>
        <v>3.9800000000000002E-2</v>
      </c>
      <c r="Q55" s="2412">
        <f t="shared" si="21"/>
        <v>6.8600000000000008E-2</v>
      </c>
      <c r="R55" s="2428"/>
      <c r="S55" s="2427"/>
      <c r="T55" s="2412"/>
      <c r="U55" s="2412"/>
      <c r="V55" s="2412"/>
    </row>
    <row r="56" spans="1:26" s="2480" customFormat="1" ht="13.5" thickBot="1">
      <c r="A56" s="2424" t="s">
        <v>1153</v>
      </c>
      <c r="B56" s="2477">
        <f t="shared" si="35"/>
        <v>196.62341248059772</v>
      </c>
      <c r="C56" s="2477">
        <f t="shared" si="35"/>
        <v>170.99125648199012</v>
      </c>
      <c r="D56" s="2477">
        <f t="shared" si="19"/>
        <v>170.99125648199012</v>
      </c>
      <c r="E56" s="2477">
        <f t="shared" si="36"/>
        <v>266.07857570490052</v>
      </c>
      <c r="F56" s="2477">
        <f t="shared" si="36"/>
        <v>154.53499328828505</v>
      </c>
      <c r="G56" s="3446">
        <v>2008</v>
      </c>
      <c r="H56" s="2478">
        <v>1</v>
      </c>
      <c r="I56" s="2478">
        <v>4.1399999999999997</v>
      </c>
      <c r="J56" s="2478">
        <v>3.45</v>
      </c>
      <c r="K56" s="2478">
        <v>4.95</v>
      </c>
      <c r="L56" s="2479">
        <v>4.82</v>
      </c>
      <c r="N56" s="2481">
        <f t="shared" si="21"/>
        <v>4.1399999999999999E-2</v>
      </c>
      <c r="O56" s="2482">
        <f t="shared" si="21"/>
        <v>3.4500000000000003E-2</v>
      </c>
      <c r="P56" s="2482">
        <f t="shared" si="21"/>
        <v>4.9500000000000002E-2</v>
      </c>
      <c r="Q56" s="2482">
        <f t="shared" si="21"/>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9"/>
        <v>165</v>
      </c>
      <c r="E57" s="2439">
        <v>254</v>
      </c>
      <c r="F57" s="2440">
        <v>148</v>
      </c>
      <c r="G57" s="3444">
        <v>2007</v>
      </c>
      <c r="H57" s="2484">
        <v>4</v>
      </c>
      <c r="I57" s="2484">
        <v>5.51</v>
      </c>
      <c r="J57" s="2484">
        <v>4.8899999999999997</v>
      </c>
      <c r="K57" s="2484">
        <v>6.43</v>
      </c>
      <c r="L57" s="2485">
        <v>5.36</v>
      </c>
      <c r="N57" s="2486">
        <f t="shared" ref="N57:O60" si="37">B57/B58-1</f>
        <v>4.1339718365245526E-2</v>
      </c>
      <c r="O57" s="2487">
        <f t="shared" si="37"/>
        <v>4.0324492593776018E-2</v>
      </c>
      <c r="P57" s="2487">
        <f t="shared" ref="P57:Q60" si="38">E57/E58-1</f>
        <v>6.1625555347990968E-2</v>
      </c>
      <c r="Q57" s="2487">
        <f t="shared" si="38"/>
        <v>4.6757569250590603E-2</v>
      </c>
      <c r="R57" s="2428"/>
      <c r="S57" s="2441"/>
      <c r="T57" s="2442"/>
      <c r="U57" s="2442"/>
      <c r="V57" s="2442"/>
      <c r="X57" s="2442"/>
      <c r="Y57" s="2442"/>
      <c r="Z57" s="2442"/>
    </row>
    <row r="58" spans="1:26">
      <c r="A58" s="2424" t="s">
        <v>1155</v>
      </c>
      <c r="B58" s="2425">
        <f t="shared" ref="B58:C60" si="39">B59+(B$57-B$61)*I58/SUM(I$57:I$60)</f>
        <v>180.5366651097618</v>
      </c>
      <c r="C58" s="2425">
        <f t="shared" si="39"/>
        <v>158.60435967302453</v>
      </c>
      <c r="D58" s="2425">
        <f t="shared" si="19"/>
        <v>158.60435967302453</v>
      </c>
      <c r="E58" s="2425">
        <f t="shared" ref="E58:F60" si="40">E59+(E$57-E$61)*K58/SUM(K$57:K$60)</f>
        <v>239.25573260785075</v>
      </c>
      <c r="F58" s="2425">
        <f t="shared" si="40"/>
        <v>141.38899430740037</v>
      </c>
      <c r="G58" s="3445">
        <v>2007</v>
      </c>
      <c r="H58" s="2450">
        <v>3</v>
      </c>
      <c r="I58" s="2450">
        <v>8.65</v>
      </c>
      <c r="J58" s="2450">
        <v>8.06</v>
      </c>
      <c r="K58" s="2450">
        <v>9.94</v>
      </c>
      <c r="L58" s="2451">
        <v>5.8</v>
      </c>
      <c r="N58" s="2486">
        <f t="shared" si="37"/>
        <v>6.940217571740015E-2</v>
      </c>
      <c r="O58" s="2487">
        <f t="shared" si="37"/>
        <v>7.1197482471153428E-2</v>
      </c>
      <c r="P58" s="2487">
        <f t="shared" si="38"/>
        <v>0.10529679922579582</v>
      </c>
      <c r="Q58" s="2487">
        <f t="shared" si="38"/>
        <v>5.3292245059512133E-2</v>
      </c>
      <c r="R58" s="2428"/>
      <c r="S58" s="2427"/>
      <c r="T58" s="2412"/>
      <c r="U58" s="2412"/>
      <c r="V58" s="2412"/>
      <c r="X58" s="2488"/>
      <c r="Y58" s="2488"/>
      <c r="Z58" s="2488"/>
    </row>
    <row r="59" spans="1:26">
      <c r="A59" s="2424" t="s">
        <v>1156</v>
      </c>
      <c r="B59" s="2425">
        <f t="shared" si="39"/>
        <v>168.82017748715555</v>
      </c>
      <c r="C59" s="2425">
        <f t="shared" si="39"/>
        <v>148.06267029972753</v>
      </c>
      <c r="D59" s="2425">
        <f t="shared" si="19"/>
        <v>148.06267029972753</v>
      </c>
      <c r="E59" s="2425">
        <f t="shared" si="40"/>
        <v>216.46288379323747</v>
      </c>
      <c r="F59" s="2425">
        <f t="shared" si="40"/>
        <v>134.23529411764704</v>
      </c>
      <c r="G59" s="3445">
        <v>2007</v>
      </c>
      <c r="H59" s="2437">
        <v>2</v>
      </c>
      <c r="I59" s="2437">
        <v>3.67</v>
      </c>
      <c r="J59" s="2437">
        <v>2.3199999999999998</v>
      </c>
      <c r="K59" s="2437">
        <v>5.0199999999999996</v>
      </c>
      <c r="L59" s="2438">
        <v>6.71</v>
      </c>
      <c r="N59" s="2486">
        <f t="shared" si="37"/>
        <v>3.0339138143848032E-2</v>
      </c>
      <c r="O59" s="2487">
        <f t="shared" si="37"/>
        <v>2.0922341588790472E-2</v>
      </c>
      <c r="P59" s="2487">
        <f t="shared" si="38"/>
        <v>5.6164796592717003E-2</v>
      </c>
      <c r="Q59" s="2487">
        <f t="shared" si="38"/>
        <v>6.5704536723887319E-2</v>
      </c>
      <c r="R59" s="2428"/>
      <c r="S59" s="2427"/>
      <c r="T59" s="2412"/>
      <c r="U59" s="2412"/>
      <c r="V59" s="2412"/>
      <c r="X59" s="2488"/>
      <c r="Y59" s="2488"/>
      <c r="Z59" s="2488"/>
    </row>
    <row r="60" spans="1:26">
      <c r="A60" s="2424" t="s">
        <v>1157</v>
      </c>
      <c r="B60" s="2425">
        <f t="shared" si="39"/>
        <v>163.84913591779542</v>
      </c>
      <c r="C60" s="2425">
        <f t="shared" si="39"/>
        <v>145.0283378746594</v>
      </c>
      <c r="D60" s="2425">
        <f t="shared" si="19"/>
        <v>145.0283378746594</v>
      </c>
      <c r="E60" s="2425">
        <f t="shared" si="40"/>
        <v>204.95180722891567</v>
      </c>
      <c r="F60" s="2425">
        <f t="shared" si="40"/>
        <v>125.95920303605313</v>
      </c>
      <c r="G60" s="3446">
        <v>2007</v>
      </c>
      <c r="H60" s="2426">
        <v>1</v>
      </c>
      <c r="I60" s="2426">
        <v>3.58</v>
      </c>
      <c r="J60" s="2426">
        <v>3.08</v>
      </c>
      <c r="K60" s="2426">
        <v>4.34</v>
      </c>
      <c r="L60" s="2432">
        <v>3.21</v>
      </c>
      <c r="N60" s="2489">
        <f t="shared" si="37"/>
        <v>3.0497710174814063E-2</v>
      </c>
      <c r="O60" s="2490">
        <f t="shared" si="37"/>
        <v>2.8569772160704998E-2</v>
      </c>
      <c r="P60" s="2490">
        <f t="shared" si="38"/>
        <v>5.1034908866234296E-2</v>
      </c>
      <c r="Q60" s="2490">
        <f t="shared" si="38"/>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9"/>
        <v>141</v>
      </c>
      <c r="E61" s="2453">
        <v>195</v>
      </c>
      <c r="F61" s="2454">
        <v>122</v>
      </c>
      <c r="G61" s="3444">
        <v>2006</v>
      </c>
      <c r="H61" s="2445">
        <v>4</v>
      </c>
      <c r="I61" s="2445">
        <v>3.79</v>
      </c>
      <c r="J61" s="2445">
        <v>2.21</v>
      </c>
      <c r="K61" s="2445">
        <v>5.65</v>
      </c>
      <c r="L61" s="2446">
        <v>5.41</v>
      </c>
      <c r="N61" s="2486">
        <f t="shared" ref="N61:O64" si="41">I61/SUM(I$61:I$64)*(B$61/B$65-1)</f>
        <v>7.245466462748526E-2</v>
      </c>
      <c r="O61" s="2487">
        <f t="shared" si="41"/>
        <v>2.3237230038062766E-2</v>
      </c>
      <c r="P61" s="2487">
        <f t="shared" ref="P61:Q64" si="42">K61/SUM(K$61:K$64)*(E$61/E$65-1)</f>
        <v>0.16146893866323722</v>
      </c>
      <c r="Q61" s="2487">
        <f t="shared" si="42"/>
        <v>5.0755230321793784E-2</v>
      </c>
      <c r="R61" s="2428"/>
      <c r="S61" s="2441"/>
      <c r="T61" s="2442"/>
      <c r="U61" s="2442"/>
      <c r="V61" s="2442"/>
      <c r="X61" s="2488"/>
      <c r="Y61" s="2488"/>
      <c r="Z61" s="2488"/>
    </row>
    <row r="62" spans="1:26">
      <c r="A62" s="2424" t="s">
        <v>1159</v>
      </c>
      <c r="B62" s="2425">
        <f t="shared" ref="B62:C64" si="43">B63+(B$61-B$65)*I62/SUM(I$61:I$64)</f>
        <v>149.00125628140702</v>
      </c>
      <c r="C62" s="2425">
        <f t="shared" si="43"/>
        <v>137.95592286501378</v>
      </c>
      <c r="D62" s="2425">
        <f t="shared" si="19"/>
        <v>137.95592286501378</v>
      </c>
      <c r="E62" s="2425">
        <f t="shared" ref="E62:F64" si="44">E63+(E$61-E$65)*K62/SUM(K$61:K$64)</f>
        <v>169.97231450719823</v>
      </c>
      <c r="F62" s="2425">
        <f t="shared" si="44"/>
        <v>116.21390374331551</v>
      </c>
      <c r="G62" s="3445">
        <v>2006</v>
      </c>
      <c r="H62" s="2450">
        <v>3</v>
      </c>
      <c r="I62" s="2450">
        <v>0.92</v>
      </c>
      <c r="J62" s="2450">
        <v>1.08</v>
      </c>
      <c r="K62" s="2450">
        <v>0.73</v>
      </c>
      <c r="L62" s="2451">
        <v>1.08</v>
      </c>
      <c r="N62" s="2486">
        <f t="shared" si="41"/>
        <v>1.7587939698492462E-2</v>
      </c>
      <c r="O62" s="2487">
        <f t="shared" si="41"/>
        <v>1.1355750425840628E-2</v>
      </c>
      <c r="P62" s="2487">
        <f t="shared" si="42"/>
        <v>2.0862358446754544E-2</v>
      </c>
      <c r="Q62" s="2487">
        <f t="shared" si="42"/>
        <v>1.0132282578103011E-2</v>
      </c>
      <c r="R62" s="2428"/>
      <c r="S62" s="2427"/>
      <c r="T62" s="2412"/>
      <c r="U62" s="2412"/>
      <c r="V62" s="2412"/>
      <c r="X62" s="2488"/>
      <c r="Y62" s="2488"/>
      <c r="Z62" s="2488"/>
    </row>
    <row r="63" spans="1:26">
      <c r="A63" s="2424" t="s">
        <v>1160</v>
      </c>
      <c r="B63" s="2425">
        <f t="shared" si="43"/>
        <v>146.57412060301507</v>
      </c>
      <c r="C63" s="2425">
        <f t="shared" si="43"/>
        <v>136.46831955922866</v>
      </c>
      <c r="D63" s="2425">
        <f t="shared" si="19"/>
        <v>136.46831955922866</v>
      </c>
      <c r="E63" s="2425">
        <f t="shared" si="44"/>
        <v>166.73864894795128</v>
      </c>
      <c r="F63" s="2425">
        <f t="shared" si="44"/>
        <v>115.05882352941177</v>
      </c>
      <c r="G63" s="3445">
        <v>2006</v>
      </c>
      <c r="H63" s="2437">
        <v>2</v>
      </c>
      <c r="I63" s="2437">
        <v>0.96</v>
      </c>
      <c r="J63" s="2437">
        <v>0.25</v>
      </c>
      <c r="K63" s="2437">
        <v>1.9</v>
      </c>
      <c r="L63" s="2438">
        <v>0.95</v>
      </c>
      <c r="N63" s="2486">
        <f t="shared" si="41"/>
        <v>1.8352632728861701E-2</v>
      </c>
      <c r="O63" s="2487">
        <f t="shared" si="41"/>
        <v>2.6286459319075526E-3</v>
      </c>
      <c r="P63" s="2487">
        <f t="shared" si="42"/>
        <v>5.4299289107991269E-2</v>
      </c>
      <c r="Q63" s="2487">
        <f t="shared" si="42"/>
        <v>8.9126559714794995E-3</v>
      </c>
      <c r="R63" s="2428"/>
      <c r="S63" s="2427"/>
      <c r="T63" s="2412"/>
      <c r="U63" s="2412"/>
      <c r="V63" s="2412"/>
      <c r="X63" s="2488"/>
      <c r="Y63" s="2488"/>
      <c r="Z63" s="2488"/>
    </row>
    <row r="64" spans="1:26">
      <c r="A64" s="2424" t="s">
        <v>1161</v>
      </c>
      <c r="B64" s="2425">
        <f t="shared" si="43"/>
        <v>144.04145728643215</v>
      </c>
      <c r="C64" s="2425">
        <f t="shared" si="43"/>
        <v>136.12396694214877</v>
      </c>
      <c r="D64" s="2425">
        <f t="shared" si="19"/>
        <v>136.12396694214877</v>
      </c>
      <c r="E64" s="2425">
        <f t="shared" si="44"/>
        <v>158.32225913621264</v>
      </c>
      <c r="F64" s="2425">
        <f t="shared" si="44"/>
        <v>114.04278074866311</v>
      </c>
      <c r="G64" s="3446">
        <v>2006</v>
      </c>
      <c r="H64" s="2426">
        <v>1</v>
      </c>
      <c r="I64" s="2426">
        <v>2.29</v>
      </c>
      <c r="J64" s="2426">
        <v>3.72</v>
      </c>
      <c r="K64" s="2426">
        <v>0.75</v>
      </c>
      <c r="L64" s="2432">
        <v>0.04</v>
      </c>
      <c r="N64" s="2489">
        <f t="shared" si="41"/>
        <v>4.3778675988638847E-2</v>
      </c>
      <c r="O64" s="2490">
        <f t="shared" si="41"/>
        <v>3.9114251466784385E-2</v>
      </c>
      <c r="P64" s="2490">
        <f t="shared" si="42"/>
        <v>2.1433929911049188E-2</v>
      </c>
      <c r="Q64" s="2490">
        <f t="shared" si="42"/>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9"/>
        <v>131</v>
      </c>
      <c r="E65" s="2453">
        <v>155</v>
      </c>
      <c r="F65" s="2454">
        <v>114</v>
      </c>
      <c r="G65" s="3444">
        <v>2005</v>
      </c>
      <c r="H65" s="2445">
        <v>4</v>
      </c>
      <c r="I65" s="2445">
        <v>3.29</v>
      </c>
      <c r="J65" s="2445">
        <v>1.44</v>
      </c>
      <c r="K65" s="2445">
        <v>0.66</v>
      </c>
      <c r="L65" s="2446">
        <v>7.78</v>
      </c>
      <c r="N65" s="2486">
        <f t="shared" ref="N65:O68" si="45">I65/SUM(I$65:I$68)*(B$65/B$69-1)</f>
        <v>9.9404603216919935E-2</v>
      </c>
      <c r="O65" s="2487">
        <f t="shared" si="45"/>
        <v>4.7636550760861554E-2</v>
      </c>
      <c r="P65" s="2487">
        <f t="shared" ref="P65:Q68" si="46">K65/SUM(K$65:K$68)*(E$65/E$69-1)</f>
        <v>8.3756345177664976E-2</v>
      </c>
      <c r="Q65" s="2487">
        <f t="shared" si="46"/>
        <v>5.2148766661559584E-2</v>
      </c>
      <c r="R65" s="2428"/>
      <c r="S65" s="2441"/>
      <c r="T65" s="2442"/>
      <c r="U65" s="2442"/>
      <c r="V65" s="2442"/>
      <c r="X65" s="2488"/>
      <c r="Y65" s="2488"/>
      <c r="Z65" s="2488"/>
    </row>
    <row r="66" spans="1:26">
      <c r="A66" s="2424" t="s">
        <v>1163</v>
      </c>
      <c r="B66" s="2425">
        <f t="shared" ref="B66:C68" si="47">B67+(B$65-B$69)*I66/SUM(I$65:I$68)</f>
        <v>125.9720430107527</v>
      </c>
      <c r="C66" s="2425">
        <f t="shared" si="47"/>
        <v>125.1883408071749</v>
      </c>
      <c r="D66" s="2425">
        <f t="shared" si="19"/>
        <v>125.1883408071749</v>
      </c>
      <c r="E66" s="2425">
        <f t="shared" ref="E66:F68" si="48">E67+(E$65-E$69)*K66/SUM(K$65:K$68)</f>
        <v>144.61421319796952</v>
      </c>
      <c r="F66" s="2425">
        <f t="shared" si="48"/>
        <v>108.42008196721311</v>
      </c>
      <c r="G66" s="3445">
        <v>2005</v>
      </c>
      <c r="H66" s="2450">
        <v>3</v>
      </c>
      <c r="I66" s="2450">
        <v>0.46</v>
      </c>
      <c r="J66" s="2450">
        <v>0.32</v>
      </c>
      <c r="K66" s="2450">
        <v>0.42</v>
      </c>
      <c r="L66" s="2451">
        <v>0.64</v>
      </c>
      <c r="N66" s="2486">
        <f t="shared" si="45"/>
        <v>1.3898515951301874E-2</v>
      </c>
      <c r="O66" s="2487">
        <f t="shared" si="45"/>
        <v>1.0585900169080346E-2</v>
      </c>
      <c r="P66" s="2487">
        <f t="shared" si="46"/>
        <v>5.3299492385786795E-2</v>
      </c>
      <c r="Q66" s="2487">
        <f t="shared" si="46"/>
        <v>4.2898728359123568E-3</v>
      </c>
      <c r="R66" s="2428"/>
      <c r="S66" s="2427"/>
      <c r="T66" s="2412"/>
      <c r="U66" s="2412"/>
      <c r="V66" s="2412"/>
      <c r="X66" s="2488"/>
      <c r="Y66" s="2488"/>
      <c r="Z66" s="2488"/>
    </row>
    <row r="67" spans="1:26">
      <c r="A67" s="2424" t="s">
        <v>1164</v>
      </c>
      <c r="B67" s="2425">
        <f t="shared" si="47"/>
        <v>124.29032258064517</v>
      </c>
      <c r="C67" s="2425">
        <f t="shared" si="47"/>
        <v>123.8968609865471</v>
      </c>
      <c r="D67" s="2425">
        <f t="shared" si="19"/>
        <v>123.8968609865471</v>
      </c>
      <c r="E67" s="2425">
        <f t="shared" si="48"/>
        <v>138.00507614213197</v>
      </c>
      <c r="F67" s="2425">
        <f t="shared" si="48"/>
        <v>107.96106557377048</v>
      </c>
      <c r="G67" s="3445">
        <v>2005</v>
      </c>
      <c r="H67" s="2437">
        <v>2</v>
      </c>
      <c r="I67" s="2437">
        <v>0.47</v>
      </c>
      <c r="J67" s="2437">
        <v>0.1</v>
      </c>
      <c r="K67" s="2437">
        <v>0.52</v>
      </c>
      <c r="L67" s="2438">
        <v>0.79</v>
      </c>
      <c r="N67" s="2486">
        <f t="shared" si="45"/>
        <v>1.420065760241713E-2</v>
      </c>
      <c r="O67" s="2487">
        <f t="shared" si="45"/>
        <v>3.3080938028376083E-3</v>
      </c>
      <c r="P67" s="2487">
        <f t="shared" si="46"/>
        <v>6.598984771573603E-2</v>
      </c>
      <c r="Q67" s="2487">
        <f t="shared" si="46"/>
        <v>5.2953117818293153E-3</v>
      </c>
      <c r="R67" s="2428"/>
      <c r="S67" s="2427"/>
      <c r="T67" s="2412"/>
      <c r="U67" s="2412"/>
      <c r="V67" s="2412"/>
      <c r="X67" s="2488"/>
      <c r="Y67" s="2488"/>
      <c r="Z67" s="2488"/>
    </row>
    <row r="68" spans="1:26">
      <c r="A68" s="2424" t="s">
        <v>1165</v>
      </c>
      <c r="B68" s="2425">
        <f t="shared" si="47"/>
        <v>122.57204301075269</v>
      </c>
      <c r="C68" s="2425">
        <f t="shared" si="47"/>
        <v>123.4932735426009</v>
      </c>
      <c r="D68" s="2425">
        <f t="shared" si="19"/>
        <v>123.4932735426009</v>
      </c>
      <c r="E68" s="2425">
        <f t="shared" si="48"/>
        <v>129.82233502538071</v>
      </c>
      <c r="F68" s="2425">
        <f t="shared" si="48"/>
        <v>107.39446721311475</v>
      </c>
      <c r="G68" s="3446">
        <v>2005</v>
      </c>
      <c r="H68" s="2426">
        <v>1</v>
      </c>
      <c r="I68" s="2426">
        <v>0.43</v>
      </c>
      <c r="J68" s="2426">
        <v>0.37</v>
      </c>
      <c r="K68" s="2426">
        <v>0.37</v>
      </c>
      <c r="L68" s="2432">
        <v>0.55000000000000004</v>
      </c>
      <c r="N68" s="2489">
        <f t="shared" si="45"/>
        <v>1.2992090997956099E-2</v>
      </c>
      <c r="O68" s="2490">
        <f t="shared" si="45"/>
        <v>1.2239947070499151E-2</v>
      </c>
      <c r="P68" s="2490">
        <f t="shared" si="46"/>
        <v>4.6954314720812178E-2</v>
      </c>
      <c r="Q68" s="2490">
        <f t="shared" si="46"/>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9"/>
        <v>122</v>
      </c>
      <c r="E69" s="2474">
        <v>124</v>
      </c>
      <c r="F69" s="2475">
        <v>107</v>
      </c>
      <c r="G69" s="3444">
        <v>2004</v>
      </c>
      <c r="H69" s="2445">
        <v>4</v>
      </c>
      <c r="I69" s="2445">
        <v>0.33</v>
      </c>
      <c r="J69" s="2445">
        <v>0.5</v>
      </c>
      <c r="K69" s="2445">
        <v>0.5</v>
      </c>
      <c r="L69" s="2446">
        <v>0</v>
      </c>
      <c r="N69" s="2486">
        <f t="shared" ref="N69:O72" si="49">I69/SUM(I$69:I$72)*(B$69/B$73-1)</f>
        <v>1.3391770148526898E-2</v>
      </c>
      <c r="O69" s="2487">
        <f t="shared" si="49"/>
        <v>1.063264221158958E-2</v>
      </c>
      <c r="P69" s="2487">
        <f t="shared" ref="P69:Q72" si="50">K69/SUM(K$69:K$72)*(E$69/E$73-1)</f>
        <v>2.2244466688911134E-2</v>
      </c>
      <c r="Q69" s="2487">
        <f t="shared" si="50"/>
        <v>0</v>
      </c>
      <c r="R69" s="2428"/>
      <c r="S69" s="2441"/>
      <c r="T69" s="2442"/>
      <c r="U69" s="2442"/>
      <c r="V69" s="2442"/>
      <c r="X69" s="2488"/>
      <c r="Y69" s="2488"/>
      <c r="Z69" s="2488"/>
    </row>
    <row r="70" spans="1:26">
      <c r="A70" s="2424" t="s">
        <v>1167</v>
      </c>
      <c r="B70" s="2425">
        <f t="shared" ref="B70:C72" si="51">B71+(B$69-B$73)*I70/SUM(I$69:I$72)</f>
        <v>119.51351351351352</v>
      </c>
      <c r="C70" s="2425">
        <f t="shared" si="51"/>
        <v>120.7878787878788</v>
      </c>
      <c r="D70" s="2425">
        <f t="shared" si="19"/>
        <v>120.7878787878788</v>
      </c>
      <c r="E70" s="2425">
        <f t="shared" ref="E70:F72" si="52">E71+(E$69-E$73)*K70/SUM(K$69:K$72)</f>
        <v>121.5975975975976</v>
      </c>
      <c r="F70" s="2425">
        <f t="shared" si="52"/>
        <v>107</v>
      </c>
      <c r="G70" s="3445">
        <v>2004</v>
      </c>
      <c r="H70" s="2450">
        <v>3</v>
      </c>
      <c r="I70" s="2450">
        <v>0.56000000000000005</v>
      </c>
      <c r="J70" s="2450">
        <v>0.8</v>
      </c>
      <c r="K70" s="2450">
        <v>0.83</v>
      </c>
      <c r="L70" s="2451">
        <v>0.06</v>
      </c>
      <c r="N70" s="2486">
        <f t="shared" si="49"/>
        <v>2.2725428130833527E-2</v>
      </c>
      <c r="O70" s="2487">
        <f t="shared" si="49"/>
        <v>1.7012227538543329E-2</v>
      </c>
      <c r="P70" s="2487">
        <f t="shared" si="50"/>
        <v>3.6925814703592477E-2</v>
      </c>
      <c r="Q70" s="2487">
        <f t="shared" si="50"/>
        <v>2.8846153846153744E-2</v>
      </c>
      <c r="R70" s="2428"/>
      <c r="S70" s="2427"/>
      <c r="T70" s="2412"/>
      <c r="U70" s="2412"/>
      <c r="V70" s="2412"/>
      <c r="X70" s="2488"/>
      <c r="Y70" s="2488"/>
      <c r="Z70" s="2488"/>
    </row>
    <row r="71" spans="1:26">
      <c r="A71" s="2424" t="s">
        <v>1168</v>
      </c>
      <c r="B71" s="2425">
        <f t="shared" si="51"/>
        <v>116.99099099099099</v>
      </c>
      <c r="C71" s="2425">
        <f t="shared" si="51"/>
        <v>118.84848484848486</v>
      </c>
      <c r="D71" s="2425">
        <f t="shared" si="19"/>
        <v>118.84848484848486</v>
      </c>
      <c r="E71" s="2425">
        <f t="shared" si="52"/>
        <v>117.60960960960961</v>
      </c>
      <c r="F71" s="2425">
        <f t="shared" si="52"/>
        <v>104</v>
      </c>
      <c r="G71" s="3445">
        <v>2004</v>
      </c>
      <c r="H71" s="2437">
        <v>2</v>
      </c>
      <c r="I71" s="2437">
        <v>1</v>
      </c>
      <c r="J71" s="2437">
        <v>1.5</v>
      </c>
      <c r="K71" s="2437">
        <v>1.5</v>
      </c>
      <c r="L71" s="2438">
        <v>0</v>
      </c>
      <c r="N71" s="2486">
        <f t="shared" si="49"/>
        <v>4.0581121662202721E-2</v>
      </c>
      <c r="O71" s="2487">
        <f t="shared" si="49"/>
        <v>3.1897926634768738E-2</v>
      </c>
      <c r="P71" s="2487">
        <f t="shared" si="50"/>
        <v>6.6733400066733395E-2</v>
      </c>
      <c r="Q71" s="2487">
        <f t="shared" si="50"/>
        <v>0</v>
      </c>
      <c r="R71" s="2428"/>
      <c r="S71" s="2427"/>
      <c r="T71" s="2412"/>
      <c r="U71" s="2412"/>
      <c r="V71" s="2412"/>
      <c r="X71" s="2488"/>
      <c r="Y71" s="2488"/>
      <c r="Z71" s="2488"/>
    </row>
    <row r="72" spans="1:26" s="2480" customFormat="1" ht="13.5" thickBot="1">
      <c r="A72" s="2424" t="s">
        <v>1169</v>
      </c>
      <c r="B72" s="2477">
        <f t="shared" si="51"/>
        <v>112.48648648648648</v>
      </c>
      <c r="C72" s="2477">
        <f t="shared" si="51"/>
        <v>115.21212121212122</v>
      </c>
      <c r="D72" s="2477">
        <f t="shared" si="19"/>
        <v>115.21212121212122</v>
      </c>
      <c r="E72" s="2477">
        <f t="shared" si="52"/>
        <v>110.4024024024024</v>
      </c>
      <c r="F72" s="2477">
        <f t="shared" si="52"/>
        <v>104</v>
      </c>
      <c r="G72" s="3446">
        <v>2004</v>
      </c>
      <c r="H72" s="2478">
        <v>1</v>
      </c>
      <c r="I72" s="2478">
        <v>0.33</v>
      </c>
      <c r="J72" s="2478">
        <v>0.5</v>
      </c>
      <c r="K72" s="2478">
        <v>0.5</v>
      </c>
      <c r="L72" s="2479">
        <v>0</v>
      </c>
      <c r="N72" s="2491">
        <f t="shared" si="49"/>
        <v>1.3391770148526898E-2</v>
      </c>
      <c r="O72" s="2492">
        <f t="shared" si="49"/>
        <v>1.063264221158958E-2</v>
      </c>
      <c r="P72" s="2492">
        <f t="shared" si="50"/>
        <v>2.2244466688911134E-2</v>
      </c>
      <c r="Q72" s="2492">
        <f t="shared" si="50"/>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9"/>
        <v>114</v>
      </c>
      <c r="E73" s="2494">
        <v>108</v>
      </c>
      <c r="F73" s="2495">
        <v>104</v>
      </c>
      <c r="G73" s="3444">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53">B75+(B$73-B$77)/4</f>
        <v>109.75</v>
      </c>
      <c r="C74" s="2498">
        <f t="shared" si="53"/>
        <v>112.25</v>
      </c>
      <c r="D74" s="2498">
        <f t="shared" si="19"/>
        <v>112.25</v>
      </c>
      <c r="E74" s="2498">
        <f t="shared" ref="E74:F76" si="54">E75+(E$73-E$77)/4</f>
        <v>107.25</v>
      </c>
      <c r="F74" s="2498">
        <f t="shared" si="54"/>
        <v>103.5</v>
      </c>
      <c r="G74" s="3445">
        <v>2003</v>
      </c>
      <c r="H74" s="2450">
        <v>3</v>
      </c>
      <c r="I74" s="2496"/>
      <c r="J74" s="2496"/>
      <c r="K74" s="2496"/>
      <c r="L74" s="2496"/>
      <c r="X74" s="2488"/>
      <c r="Y74" s="2488"/>
      <c r="Z74" s="2488"/>
    </row>
    <row r="75" spans="1:26">
      <c r="A75" s="2424" t="s">
        <v>1172</v>
      </c>
      <c r="B75" s="2498">
        <f t="shared" si="53"/>
        <v>108.5</v>
      </c>
      <c r="C75" s="2498">
        <f t="shared" si="53"/>
        <v>110.5</v>
      </c>
      <c r="D75" s="2498">
        <f t="shared" si="19"/>
        <v>110.5</v>
      </c>
      <c r="E75" s="2498">
        <f t="shared" si="54"/>
        <v>106.5</v>
      </c>
      <c r="F75" s="2498">
        <f t="shared" si="54"/>
        <v>103</v>
      </c>
      <c r="G75" s="3445">
        <v>2003</v>
      </c>
      <c r="H75" s="2437">
        <v>2</v>
      </c>
      <c r="I75" s="2496"/>
      <c r="J75" s="2496"/>
      <c r="K75" s="2496"/>
      <c r="L75" s="2496"/>
      <c r="X75" s="2488"/>
      <c r="Y75" s="2488"/>
      <c r="Z75" s="2488"/>
    </row>
    <row r="76" spans="1:26" ht="13.5" thickBot="1">
      <c r="A76" s="2424" t="s">
        <v>1173</v>
      </c>
      <c r="B76" s="2498">
        <f t="shared" si="53"/>
        <v>107.25</v>
      </c>
      <c r="C76" s="2498">
        <f t="shared" si="53"/>
        <v>108.75</v>
      </c>
      <c r="D76" s="2498">
        <f t="shared" si="19"/>
        <v>108.75</v>
      </c>
      <c r="E76" s="2498">
        <f t="shared" si="54"/>
        <v>105.75</v>
      </c>
      <c r="F76" s="2498">
        <f t="shared" si="54"/>
        <v>102.5</v>
      </c>
      <c r="G76" s="3446">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9"/>
        <v>107</v>
      </c>
      <c r="E77" s="2500">
        <v>105</v>
      </c>
      <c r="F77" s="2501">
        <v>102</v>
      </c>
      <c r="G77" s="3444">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55">B79+(B$77-B$81)/4</f>
        <v>105</v>
      </c>
      <c r="C78" s="2498">
        <f t="shared" si="55"/>
        <v>106</v>
      </c>
      <c r="D78" s="2498">
        <f t="shared" si="19"/>
        <v>106</v>
      </c>
      <c r="E78" s="2498">
        <f t="shared" ref="E78:F80" si="56">E79+(E$77-E$81)/4</f>
        <v>104.5</v>
      </c>
      <c r="F78" s="2498">
        <f t="shared" si="56"/>
        <v>101.5</v>
      </c>
      <c r="G78" s="3445">
        <v>2002</v>
      </c>
      <c r="H78" s="2450">
        <v>3</v>
      </c>
      <c r="I78" s="2496"/>
      <c r="J78" s="2496"/>
      <c r="K78" s="2496"/>
      <c r="L78" s="2496"/>
      <c r="X78" s="2488"/>
      <c r="Y78" s="2488"/>
      <c r="Z78" s="2488"/>
    </row>
    <row r="79" spans="1:26">
      <c r="A79" s="2424" t="s">
        <v>1176</v>
      </c>
      <c r="B79" s="2498">
        <f t="shared" si="55"/>
        <v>104</v>
      </c>
      <c r="C79" s="2498">
        <f t="shared" si="55"/>
        <v>105</v>
      </c>
      <c r="D79" s="2498">
        <f t="shared" si="19"/>
        <v>105</v>
      </c>
      <c r="E79" s="2498">
        <f t="shared" si="56"/>
        <v>104</v>
      </c>
      <c r="F79" s="2498">
        <f t="shared" si="56"/>
        <v>101</v>
      </c>
      <c r="G79" s="3445">
        <v>2002</v>
      </c>
      <c r="H79" s="2437">
        <v>2</v>
      </c>
      <c r="I79" s="2496"/>
      <c r="J79" s="2496"/>
      <c r="K79" s="2496"/>
      <c r="L79" s="2496"/>
      <c r="X79" s="2488"/>
      <c r="Y79" s="2488"/>
      <c r="Z79" s="2488"/>
    </row>
    <row r="80" spans="1:26" s="2461" customFormat="1" ht="13.5" thickBot="1">
      <c r="A80" s="2457" t="s">
        <v>1177</v>
      </c>
      <c r="B80" s="2464">
        <f t="shared" si="55"/>
        <v>103</v>
      </c>
      <c r="C80" s="2464">
        <f t="shared" si="55"/>
        <v>104</v>
      </c>
      <c r="D80" s="2464">
        <f t="shared" si="19"/>
        <v>104</v>
      </c>
      <c r="E80" s="2464">
        <f t="shared" si="56"/>
        <v>103.5</v>
      </c>
      <c r="F80" s="2464">
        <f t="shared" si="56"/>
        <v>100.5</v>
      </c>
      <c r="G80" s="3446">
        <v>2002</v>
      </c>
      <c r="H80" s="2502">
        <v>1</v>
      </c>
      <c r="I80" s="2503"/>
      <c r="J80" s="2503"/>
      <c r="K80" s="2503"/>
      <c r="L80" s="2503"/>
      <c r="N80" s="2504"/>
      <c r="S80" s="2504"/>
      <c r="X80" s="2505"/>
      <c r="Y80" s="2505"/>
      <c r="Z80" s="2505"/>
    </row>
    <row r="81" spans="1:26" ht="13.5" thickBot="1">
      <c r="B81" s="2506">
        <v>102</v>
      </c>
      <c r="C81" s="2507">
        <v>103</v>
      </c>
      <c r="D81" s="2507">
        <f t="shared" si="19"/>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58" t="s">
        <v>2824</v>
      </c>
      <c r="D1" s="3459"/>
      <c r="E1" s="3459"/>
      <c r="F1" s="3459"/>
      <c r="G1" s="3459"/>
      <c r="H1" s="3459"/>
      <c r="I1" s="3459"/>
      <c r="J1" s="3459"/>
      <c r="K1" s="3459"/>
      <c r="L1" s="3459"/>
      <c r="M1" s="3459"/>
      <c r="N1" s="3459"/>
      <c r="O1" s="3459"/>
      <c r="P1" s="3459"/>
      <c r="Q1" s="3459"/>
      <c r="R1" s="3459"/>
      <c r="S1" s="346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5">
        <f t="shared" si="2"/>
        <v>100</v>
      </c>
      <c r="G6" s="1485">
        <f t="shared" si="2"/>
        <v>100</v>
      </c>
      <c r="H6" s="1485">
        <f t="shared" si="2"/>
        <v>100</v>
      </c>
      <c r="I6" s="1485">
        <f t="shared" si="2"/>
        <v>100</v>
      </c>
      <c r="J6" s="1485">
        <f t="shared" si="2"/>
        <v>100</v>
      </c>
      <c r="K6" s="1485">
        <f t="shared" si="2"/>
        <v>100</v>
      </c>
      <c r="L6" s="1485">
        <f t="shared" si="2"/>
        <v>100</v>
      </c>
      <c r="M6" s="1485">
        <f t="shared" si="2"/>
        <v>100</v>
      </c>
      <c r="N6" s="1485">
        <f t="shared" si="2"/>
        <v>100</v>
      </c>
      <c r="O6" s="1485">
        <f t="shared" si="2"/>
        <v>100</v>
      </c>
      <c r="P6" s="1485">
        <f t="shared" si="2"/>
        <v>100</v>
      </c>
      <c r="Q6" s="1485">
        <f t="shared" si="2"/>
        <v>100</v>
      </c>
      <c r="R6" s="1485">
        <f t="shared" si="2"/>
        <v>100</v>
      </c>
      <c r="S6" s="1485">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5">
        <f t="shared" si="3"/>
        <v>100</v>
      </c>
      <c r="G8" s="1485">
        <f t="shared" si="3"/>
        <v>100</v>
      </c>
      <c r="H8" s="1485">
        <f t="shared" si="3"/>
        <v>100</v>
      </c>
      <c r="I8" s="1485">
        <f t="shared" si="3"/>
        <v>100</v>
      </c>
      <c r="J8" s="1485">
        <f t="shared" si="3"/>
        <v>100</v>
      </c>
      <c r="K8" s="1485">
        <f t="shared" si="3"/>
        <v>100</v>
      </c>
      <c r="L8" s="1485">
        <f t="shared" si="3"/>
        <v>100</v>
      </c>
      <c r="M8" s="1485">
        <f t="shared" si="3"/>
        <v>100</v>
      </c>
      <c r="N8" s="1485">
        <f t="shared" si="3"/>
        <v>100</v>
      </c>
      <c r="O8" s="1485">
        <f t="shared" si="3"/>
        <v>100</v>
      </c>
      <c r="P8" s="1485">
        <f t="shared" si="3"/>
        <v>100</v>
      </c>
      <c r="Q8" s="1485">
        <f t="shared" si="3"/>
        <v>100</v>
      </c>
      <c r="R8" s="1485">
        <f t="shared" si="3"/>
        <v>100</v>
      </c>
      <c r="S8" s="1485">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5">
        <f t="shared" si="4"/>
        <v>100</v>
      </c>
      <c r="G10" s="1495">
        <f t="shared" si="4"/>
        <v>100</v>
      </c>
      <c r="H10" s="1495">
        <f t="shared" si="4"/>
        <v>100</v>
      </c>
      <c r="I10" s="1495">
        <f t="shared" si="4"/>
        <v>100</v>
      </c>
      <c r="J10" s="1495">
        <f t="shared" si="4"/>
        <v>100</v>
      </c>
      <c r="K10" s="1495">
        <f t="shared" si="4"/>
        <v>100</v>
      </c>
      <c r="L10" s="1495">
        <f t="shared" si="4"/>
        <v>100</v>
      </c>
      <c r="M10" s="1495">
        <f t="shared" si="4"/>
        <v>100</v>
      </c>
      <c r="N10" s="1495">
        <f t="shared" si="4"/>
        <v>100</v>
      </c>
      <c r="O10" s="1495">
        <f t="shared" si="4"/>
        <v>100</v>
      </c>
      <c r="P10" s="1495">
        <f t="shared" si="4"/>
        <v>100</v>
      </c>
      <c r="Q10" s="1495">
        <f t="shared" si="4"/>
        <v>100</v>
      </c>
      <c r="R10" s="1495">
        <f t="shared" si="4"/>
        <v>100</v>
      </c>
      <c r="S10" s="1495">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55" t="s">
        <v>33</v>
      </c>
      <c r="D22" s="3456"/>
      <c r="E22" s="3456"/>
      <c r="F22" s="3456"/>
      <c r="G22" s="3456"/>
      <c r="H22" s="3456"/>
      <c r="I22" s="3456"/>
      <c r="J22" s="3456"/>
      <c r="K22" s="3456"/>
      <c r="L22" s="3456"/>
      <c r="M22" s="3456"/>
      <c r="N22" s="3456"/>
      <c r="O22" s="3456"/>
      <c r="P22" s="3456"/>
      <c r="Q22" s="345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53668</v>
      </c>
      <c r="C2" s="2" t="s">
        <v>133</v>
      </c>
      <c r="D2" s="205"/>
      <c r="E2" s="205"/>
      <c r="F2" s="205"/>
      <c r="G2" s="205"/>
    </row>
    <row r="3" spans="1:7" s="206" customFormat="1" ht="18" customHeight="1" thickBot="1">
      <c r="A3" s="209" t="s">
        <v>85</v>
      </c>
      <c r="B3" s="210">
        <f ca="1">ROUND(B2*10000/'数据-汇总表'!E3,0)</f>
        <v>3489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153820.67000000001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1538</v>
      </c>
      <c r="D19" s="958">
        <f>'数据-汇总表'!E3</f>
        <v>153820.67000000001</v>
      </c>
      <c r="E19" s="217">
        <f>'数据-取费表'!B31</f>
        <v>100</v>
      </c>
      <c r="F19" s="237"/>
      <c r="G19" s="1" t="s">
        <v>1042</v>
      </c>
    </row>
    <row r="20" spans="1:7" s="220" customFormat="1" ht="13.5" customHeight="1">
      <c r="A20" s="885" t="s">
        <v>1025</v>
      </c>
      <c r="B20" s="216" t="s">
        <v>104</v>
      </c>
      <c r="C20" s="238">
        <f>ROUND((C5+C19)*F20,0)</f>
        <v>443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828</v>
      </c>
      <c r="D22" s="241">
        <f ca="1">C26</f>
        <v>4.0000000000000002E-4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763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884</v>
      </c>
      <c r="D27" s="241">
        <f>C29</f>
        <v>8.0000000000000004E-4</v>
      </c>
      <c r="E27" s="242" t="s">
        <v>126</v>
      </c>
      <c r="F27" s="252">
        <f>'数据-取费表'!Q16</f>
        <v>0.15</v>
      </c>
      <c r="G27" s="253" t="s">
        <v>1037</v>
      </c>
    </row>
    <row r="28" spans="1:7" s="220" customFormat="1" ht="13.5" customHeight="1">
      <c r="A28" s="888" t="s">
        <v>794</v>
      </c>
      <c r="B28" s="254" t="s">
        <v>1030</v>
      </c>
      <c r="C28" s="255">
        <f>ROUND((C5+C19+C20)*F27*'数据-取费表'!B21/'数据-取费表'!B20,0)</f>
        <v>884</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21277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19592</v>
      </c>
      <c r="D34" s="223"/>
      <c r="E34" s="226"/>
      <c r="F34" s="263">
        <f>IF('数据-取费表'!B24=0,1,'数据-取费表'!N16)</f>
        <v>0.26100000000000001</v>
      </c>
      <c r="G34" s="225" t="s">
        <v>116</v>
      </c>
    </row>
    <row r="35" spans="1:7" ht="13.5" customHeight="1">
      <c r="A35" s="888" t="s">
        <v>796</v>
      </c>
      <c r="B35" s="221" t="s">
        <v>60</v>
      </c>
      <c r="C35" s="226">
        <f>ROUND(C34*F35,0)</f>
        <v>588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803</v>
      </c>
      <c r="D37" s="223">
        <f>'数据-汇总表'!E3</f>
        <v>153820.67000000001</v>
      </c>
      <c r="E37" s="255">
        <f>'数据-取费表'!B35</f>
        <v>200</v>
      </c>
      <c r="F37" s="265"/>
      <c r="G37" s="267" t="s">
        <v>119</v>
      </c>
    </row>
    <row r="38" spans="1:7" ht="13.5" customHeight="1">
      <c r="A38" s="888" t="s">
        <v>799</v>
      </c>
      <c r="B38" s="221" t="s">
        <v>63</v>
      </c>
      <c r="C38" s="226">
        <f>ROUND(C34*F38,0)</f>
        <v>294</v>
      </c>
      <c r="D38" s="226"/>
      <c r="E38" s="226"/>
      <c r="F38" s="265">
        <f>'数据-取费表'!B36</f>
        <v>1.4999999999999999E-2</v>
      </c>
      <c r="G38" s="225" t="s">
        <v>117</v>
      </c>
    </row>
    <row r="39" spans="1:7" s="220" customFormat="1" ht="13.5" customHeight="1">
      <c r="A39" s="885" t="s">
        <v>783</v>
      </c>
      <c r="B39" s="216" t="s">
        <v>104</v>
      </c>
      <c r="C39" s="238">
        <f>ROUND(C33*F20,0)</f>
        <v>426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398</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390</v>
      </c>
      <c r="D42" s="244"/>
      <c r="E42" s="244"/>
      <c r="F42" s="245"/>
      <c r="G42" s="3309" t="s">
        <v>121</v>
      </c>
    </row>
    <row r="43" spans="1:7" ht="13.5" customHeight="1">
      <c r="A43" s="888" t="s">
        <v>792</v>
      </c>
      <c r="B43" s="221" t="s">
        <v>1032</v>
      </c>
      <c r="C43" s="244">
        <f ca="1">ROUND(IF('数据-取费表'!B22&lt;=1,C39*F22*'数据-取费表'!B21/2,C39*(POWER((1+F22),'数据-取费表'!B21/2)-1)),0)</f>
        <v>8</v>
      </c>
      <c r="D43" s="244"/>
      <c r="E43" s="244"/>
      <c r="F43" s="245"/>
      <c r="G43" s="3310"/>
    </row>
    <row r="44" spans="1:7" ht="13.5" customHeight="1">
      <c r="A44" s="888" t="s">
        <v>793</v>
      </c>
      <c r="B44" s="221" t="s">
        <v>1034</v>
      </c>
      <c r="C44" s="244">
        <f ca="1">ROUND(IF('数据-取费表'!B22&lt;=1,C40*F22*'数据-取费表'!B21/2,C40*(POWER((1+F22),'数据-取费表'!B21/2)-1)),4)</f>
        <v>4.0000000000000002E-4</v>
      </c>
      <c r="D44" s="244"/>
      <c r="E44" s="244"/>
      <c r="F44" s="245"/>
      <c r="G44" s="3311"/>
    </row>
    <row r="45" spans="1:7" s="220" customFormat="1" ht="13.5" customHeight="1">
      <c r="A45" s="885" t="s">
        <v>786</v>
      </c>
      <c r="B45" s="250" t="s">
        <v>112</v>
      </c>
      <c r="C45" s="251">
        <f>C46</f>
        <v>3255</v>
      </c>
      <c r="D45" s="241">
        <f>C47</f>
        <v>3.0000000000000001E-3</v>
      </c>
      <c r="E45" s="242" t="s">
        <v>129</v>
      </c>
      <c r="F45" s="252"/>
      <c r="G45" s="253" t="s">
        <v>1040</v>
      </c>
    </row>
    <row r="46" spans="1:7" s="220" customFormat="1" ht="13.5" customHeight="1">
      <c r="A46" s="888" t="s">
        <v>794</v>
      </c>
      <c r="B46" s="254" t="s">
        <v>1033</v>
      </c>
      <c r="C46" s="255">
        <f>ROUND((C33+C39)*F27,0)</f>
        <v>3255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27435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27435</v>
      </c>
      <c r="D51" s="238"/>
      <c r="E51" s="238"/>
      <c r="F51" s="270"/>
      <c r="G51" s="240" t="s">
        <v>64</v>
      </c>
    </row>
    <row r="52" spans="1:7" s="214" customFormat="1" ht="16.5" thickBot="1">
      <c r="A52" s="271" t="s">
        <v>65</v>
      </c>
      <c r="B52" s="272"/>
      <c r="C52" s="273">
        <f ca="1">C31+C51</f>
        <v>53668</v>
      </c>
      <c r="D52" s="272"/>
      <c r="E52" s="272"/>
      <c r="F52" s="272"/>
      <c r="G52" s="274"/>
    </row>
    <row r="55" spans="1:7" ht="15">
      <c r="B55" s="276" t="s">
        <v>66</v>
      </c>
      <c r="C55" s="277"/>
    </row>
    <row r="56" spans="1:7">
      <c r="B56" s="279" t="s">
        <v>67</v>
      </c>
      <c r="C56" s="280">
        <f ca="1">ROUND(C51/C52,3)</f>
        <v>0.51100000000000001</v>
      </c>
    </row>
    <row r="57" spans="1:7">
      <c r="B57" s="279" t="s">
        <v>68</v>
      </c>
      <c r="C57" s="281">
        <f ca="1">1-C56</f>
        <v>0.48899999999999999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61" t="s">
        <v>156</v>
      </c>
      <c r="B1" s="3461"/>
      <c r="C1" s="3461"/>
      <c r="D1" s="3461"/>
      <c r="E1" s="3461"/>
      <c r="F1" s="34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62" t="s">
        <v>169</v>
      </c>
      <c r="B2" s="3462"/>
      <c r="C2" s="3462"/>
      <c r="D2" s="3462"/>
      <c r="E2" s="3462"/>
      <c r="F2" s="34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61" t="s">
        <v>839</v>
      </c>
      <c r="B1" s="34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44176</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1606</v>
      </c>
      <c r="B2" s="3136" t="s">
        <v>1607</v>
      </c>
      <c r="C2" s="3136" t="s">
        <v>1608</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spans="1:9" ht="15">
      <c r="A3" s="3130"/>
      <c r="B3" s="3130"/>
      <c r="C3" s="3130"/>
      <c r="D3" s="963" t="s">
        <v>1603</v>
      </c>
      <c r="E3" s="963" t="s">
        <v>1609</v>
      </c>
      <c r="F3" s="963" t="s">
        <v>1603</v>
      </c>
      <c r="G3" s="963" t="s">
        <v>1604</v>
      </c>
      <c r="H3" s="963" t="s">
        <v>1603</v>
      </c>
      <c r="I3" s="963" t="s">
        <v>1604</v>
      </c>
    </row>
    <row r="4" spans="1:9" ht="15">
      <c r="A4" s="1691" t="str">
        <f>项目基本情况!S2</f>
        <v>北京市房地产</v>
      </c>
      <c r="B4" s="963">
        <f>项目基本情况!C17</f>
        <v>153820.67000000001</v>
      </c>
      <c r="C4" s="963">
        <f>项目基本情况!C18</f>
        <v>49477.2</v>
      </c>
      <c r="D4" s="963">
        <f ca="1">结果表!D118</f>
        <v>246043</v>
      </c>
      <c r="E4" s="963">
        <f ca="1">结果表!E118</f>
        <v>15996</v>
      </c>
      <c r="F4" s="963">
        <f ca="1">结果表!F118</f>
        <v>20815</v>
      </c>
      <c r="G4" s="963">
        <f ca="1">结果表!G118</f>
        <v>1353</v>
      </c>
      <c r="H4" s="963">
        <f ca="1">结果表!H118</f>
        <v>266858</v>
      </c>
      <c r="I4" s="963">
        <f ca="1">结果表!I118</f>
        <v>17349</v>
      </c>
    </row>
    <row r="5" spans="1:9" ht="30" customHeight="1">
      <c r="A5" s="3130" t="s">
        <v>1605</v>
      </c>
      <c r="B5" s="3130"/>
      <c r="C5" s="3130"/>
      <c r="D5" s="3131" t="str">
        <f ca="1">结果表!D119</f>
        <v>贰拾肆亿陆仟零肆拾叁万元整</v>
      </c>
      <c r="E5" s="3131"/>
      <c r="F5" s="3131" t="str">
        <f ca="1">结果表!F119</f>
        <v>贰亿零捌佰壹拾伍万元整</v>
      </c>
      <c r="G5" s="3131"/>
      <c r="H5" s="3131" t="str">
        <f ca="1">结果表!H119</f>
        <v>贰拾陆亿陆仟捌佰伍拾捌万元整</v>
      </c>
      <c r="I5" s="3131"/>
    </row>
    <row r="6" spans="1:9" ht="15.75">
      <c r="A6" s="3129" t="str">
        <f>结果表!A120</f>
        <v>估价师知悉的法定优先受偿款</v>
      </c>
      <c r="B6" s="3129"/>
      <c r="C6" s="3129"/>
      <c r="D6" s="3129">
        <f>结果表!D120</f>
        <v>0</v>
      </c>
      <c r="E6" s="3129"/>
      <c r="F6" s="3129"/>
      <c r="G6" s="3129"/>
      <c r="H6" s="3129"/>
      <c r="I6" s="3129"/>
    </row>
    <row r="7" spans="1:9" ht="15">
      <c r="A7" s="3130" t="s">
        <v>1605</v>
      </c>
      <c r="B7" s="3130"/>
      <c r="C7" s="3130"/>
      <c r="D7" s="3132" t="str">
        <f>结果表!D121</f>
        <v>零元整</v>
      </c>
      <c r="E7" s="3133"/>
      <c r="F7" s="3133"/>
      <c r="G7" s="3133"/>
      <c r="H7" s="3133"/>
      <c r="I7" s="3134"/>
    </row>
    <row r="8" spans="1:9" ht="15.75">
      <c r="A8" s="3129" t="str">
        <f>结果表!A122</f>
        <v>房地产抵押价值</v>
      </c>
      <c r="B8" s="3129"/>
      <c r="C8" s="3129"/>
      <c r="D8" s="3129">
        <f ca="1">结果表!D122</f>
        <v>266858</v>
      </c>
      <c r="E8" s="3129"/>
      <c r="F8" s="3129"/>
      <c r="G8" s="3129"/>
      <c r="H8" s="3129"/>
      <c r="I8" s="3129"/>
    </row>
    <row r="9" spans="1:9" ht="15">
      <c r="A9" s="3130" t="s">
        <v>1605</v>
      </c>
      <c r="B9" s="3130"/>
      <c r="C9" s="3130"/>
      <c r="D9" s="3131" t="str">
        <f ca="1">结果表!D123</f>
        <v>贰拾陆亿陆仟捌佰伍拾捌万元整</v>
      </c>
      <c r="E9" s="3131"/>
      <c r="F9" s="3131"/>
      <c r="G9" s="3131"/>
      <c r="H9" s="3131"/>
      <c r="I9" s="3131"/>
    </row>
    <row r="10" spans="1:9" ht="15.75">
      <c r="A10" s="3129" t="str">
        <f>结果表!A124</f>
        <v/>
      </c>
      <c r="B10" s="3129"/>
      <c r="C10" s="3129"/>
      <c r="D10" s="3129" t="str">
        <f>结果表!D124</f>
        <v>——</v>
      </c>
      <c r="E10" s="3129"/>
      <c r="F10" s="3129"/>
      <c r="G10" s="3129"/>
      <c r="H10" s="3129"/>
      <c r="I10" s="3129"/>
    </row>
    <row r="11" spans="1:9" ht="15">
      <c r="A11" s="3130" t="s">
        <v>1605</v>
      </c>
      <c r="B11" s="3130"/>
      <c r="C11" s="3130"/>
      <c r="D11" s="3131" t="e">
        <f>结果表!D125</f>
        <v>#VALUE!</v>
      </c>
      <c r="E11" s="3131"/>
      <c r="F11" s="3131"/>
      <c r="G11" s="3131"/>
      <c r="H11" s="3131"/>
      <c r="I11" s="3131"/>
    </row>
    <row r="12" spans="1:9" ht="15.75">
      <c r="A12" s="3129" t="str">
        <f>结果表!A126</f>
        <v/>
      </c>
      <c r="B12" s="3129"/>
      <c r="C12" s="3129"/>
      <c r="D12" s="3129" t="str">
        <f>结果表!D126</f>
        <v>——</v>
      </c>
      <c r="E12" s="3129"/>
      <c r="F12" s="3129"/>
      <c r="G12" s="3129"/>
      <c r="H12" s="3129"/>
      <c r="I12" s="3129"/>
    </row>
    <row r="13" spans="1:9" ht="15.75" thickBot="1">
      <c r="A13" s="3126" t="s">
        <v>1605</v>
      </c>
      <c r="B13" s="3126"/>
      <c r="C13" s="3126"/>
      <c r="D13" s="3127" t="e">
        <f>结果表!D127</f>
        <v>#VALUE!</v>
      </c>
      <c r="E13" s="3127"/>
      <c r="F13" s="3127"/>
      <c r="G13" s="3127"/>
      <c r="H13" s="3127"/>
      <c r="I13" s="3127"/>
    </row>
    <row r="14" spans="1:9" ht="15" thickTop="1">
      <c r="A14" s="3128" t="s">
        <v>1610</v>
      </c>
      <c r="B14" s="3128"/>
      <c r="C14" s="3128"/>
      <c r="D14" s="3128"/>
      <c r="E14" s="3128"/>
      <c r="F14" s="3128"/>
      <c r="G14" s="3128"/>
      <c r="H14" s="3128"/>
      <c r="I14" s="312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43" t="s">
        <v>1627</v>
      </c>
      <c r="B1" s="3143"/>
      <c r="C1" s="3143"/>
      <c r="D1" s="3143"/>
    </row>
    <row r="2" spans="1:4" ht="18">
      <c r="A2" s="3144" t="s">
        <v>1611</v>
      </c>
      <c r="B2" s="3144"/>
      <c r="C2" s="3144"/>
      <c r="D2" s="3144"/>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44" t="s">
        <v>1617</v>
      </c>
      <c r="B6" s="3144"/>
      <c r="C6" s="3144"/>
      <c r="D6" s="3144"/>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45" t="s">
        <v>1620</v>
      </c>
      <c r="B11" s="3137"/>
      <c r="C11" s="3137"/>
      <c r="D11" s="3137"/>
    </row>
    <row r="12" spans="1:4" ht="15.75">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37" t="str">
        <f>IF(项目基本情况!B8="抵押","4.本次评估估价师所知悉的法定优先受偿款情况说明如下：","——")</f>
        <v>4.本次评估估价师所知悉的法定优先受偿款情况说明如下：</v>
      </c>
      <c r="B14" s="3142"/>
      <c r="C14" s="3142"/>
      <c r="D14" s="3142"/>
    </row>
    <row r="15" spans="1:4" ht="42" customHeight="1">
      <c r="A15" s="31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7"/>
      <c r="C15" s="3137"/>
      <c r="D15" s="3137"/>
    </row>
    <row r="16" spans="1:4" ht="30" customHeight="1">
      <c r="A16" s="3139" t="s">
        <v>1621</v>
      </c>
      <c r="B16" s="3139"/>
      <c r="C16" s="3139"/>
      <c r="D16" s="3139"/>
    </row>
    <row r="17" spans="1:4" ht="144" customHeight="1">
      <c r="A17" s="3139" t="s">
        <v>1622</v>
      </c>
      <c r="B17" s="3139"/>
      <c r="C17" s="3139"/>
      <c r="D17" s="3139"/>
    </row>
    <row r="18" spans="1:4" ht="15.75" customHeight="1">
      <c r="A18" s="3137" t="str">
        <f>IF(项目基本情况!B8="抵押",结果表!K120,"——")</f>
        <v>故，本次评估不存在估价师知悉的法定优先受偿款</v>
      </c>
      <c r="B18" s="3137"/>
      <c r="C18" s="3137"/>
      <c r="D18" s="3137"/>
    </row>
    <row r="19" spans="1:4" ht="46.5" customHeight="1">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spans="1:4" ht="57.75" customHeight="1">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7"/>
      <c r="C20" s="3137"/>
      <c r="D20" s="3137"/>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1623</v>
      </c>
      <c r="B22" s="3141"/>
      <c r="C22" s="3141"/>
      <c r="D22" s="314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38">
        <v>42551</v>
      </c>
      <c r="D31" s="31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51" t="s">
        <v>1634</v>
      </c>
      <c r="B15" s="3146" t="s">
        <v>136</v>
      </c>
      <c r="C15" s="3147"/>
    </row>
    <row r="16" spans="1:7" ht="13.5">
      <c r="A16" s="3152"/>
      <c r="B16" s="3146" t="s">
        <v>69</v>
      </c>
      <c r="C16" s="3147"/>
    </row>
    <row r="17" spans="1:3" ht="13.5">
      <c r="A17" s="3152"/>
      <c r="B17" s="3149" t="s">
        <v>1635</v>
      </c>
      <c r="C17" s="1718" t="s">
        <v>1634</v>
      </c>
    </row>
    <row r="18" spans="1:3" ht="13.5">
      <c r="A18" s="3152"/>
      <c r="B18" s="3149"/>
      <c r="C18" s="1718" t="s">
        <v>1636</v>
      </c>
    </row>
    <row r="19" spans="1:3" ht="13.5">
      <c r="A19" s="3152"/>
      <c r="B19" s="3149"/>
      <c r="C19" s="1718" t="s">
        <v>1637</v>
      </c>
    </row>
    <row r="20" spans="1:3" ht="13.5">
      <c r="A20" s="3153"/>
      <c r="B20" s="3148" t="s">
        <v>1638</v>
      </c>
      <c r="C20" s="3147"/>
    </row>
    <row r="21" spans="1:3" ht="13.5">
      <c r="A21" s="1719" t="s">
        <v>1639</v>
      </c>
      <c r="B21" s="1720"/>
      <c r="C21" s="1721"/>
    </row>
    <row r="22" spans="1:3" ht="13.5">
      <c r="A22" s="3150" t="s">
        <v>1640</v>
      </c>
      <c r="B22" s="3148" t="s">
        <v>1641</v>
      </c>
      <c r="C22" s="3147"/>
    </row>
    <row r="23" spans="1:3" ht="13.5">
      <c r="A23" s="3150"/>
      <c r="B23" s="3148" t="s">
        <v>1642</v>
      </c>
      <c r="C23" s="3147"/>
    </row>
    <row r="24" spans="1:3" ht="13.5">
      <c r="A24" s="3150"/>
      <c r="B24" s="3148" t="s">
        <v>1643</v>
      </c>
      <c r="C24" s="3147"/>
    </row>
    <row r="25" spans="1:3" ht="13.5">
      <c r="A25" s="3150"/>
      <c r="B25" s="3149" t="s">
        <v>1644</v>
      </c>
      <c r="C25" s="1718" t="s">
        <v>1645</v>
      </c>
    </row>
    <row r="26" spans="1:3" ht="13.5">
      <c r="A26" s="3150"/>
      <c r="B26" s="3149"/>
      <c r="C26" s="1718" t="s">
        <v>1646</v>
      </c>
    </row>
    <row r="27" spans="1:3" ht="13.5">
      <c r="A27" s="3150"/>
      <c r="B27" s="3149"/>
      <c r="C27" s="1718" t="s">
        <v>1647</v>
      </c>
    </row>
    <row r="28" spans="1:3" ht="13.5">
      <c r="A28" s="3150"/>
      <c r="B28" s="3149"/>
      <c r="C28" s="1718" t="s">
        <v>1648</v>
      </c>
    </row>
    <row r="29" spans="1:3" ht="13.5">
      <c r="A29" s="3150"/>
      <c r="B29" s="3149"/>
      <c r="C29" s="1718" t="s">
        <v>1649</v>
      </c>
    </row>
    <row r="30" spans="1:3" ht="13.5">
      <c r="A30" s="3150"/>
      <c r="B30" s="3149"/>
      <c r="C30" s="1718" t="s">
        <v>1650</v>
      </c>
    </row>
    <row r="31" spans="1:3" ht="13.5">
      <c r="A31" s="3150"/>
      <c r="B31" s="3149"/>
      <c r="C31" s="1718" t="s">
        <v>1651</v>
      </c>
    </row>
    <row r="32" spans="1:3" ht="13.5">
      <c r="A32" s="3150"/>
      <c r="B32" s="3149"/>
      <c r="C32" s="1718" t="s">
        <v>1652</v>
      </c>
    </row>
    <row r="33" spans="1:3" ht="13.5">
      <c r="A33" s="3150"/>
      <c r="B33" s="314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44179</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54" t="s">
        <v>2901</v>
      </c>
      <c r="B17" s="3154"/>
      <c r="C17" s="3154"/>
      <c r="D17" s="3154"/>
      <c r="E17" s="3154"/>
      <c r="F17" s="3154"/>
      <c r="G17" s="3154"/>
      <c r="H17" s="3154"/>
    </row>
    <row r="18" spans="1:8" ht="24" customHeight="1">
      <c r="A18" s="3155" t="s">
        <v>2902</v>
      </c>
      <c r="B18" s="3155"/>
      <c r="C18" s="3155"/>
      <c r="D18" s="2567"/>
      <c r="E18" s="3156" t="s">
        <v>2903</v>
      </c>
      <c r="F18" s="3155"/>
      <c r="G18" s="3155"/>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收益法-二期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'收益法-二期'!Print_Area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2020-12-14T08:21:01Z</dcterms:modified>
</cp:coreProperties>
</file>