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36" yWindow="432" windowWidth="13776" windowHeight="1317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W21" i="1"/>
  <c r="W22" i="1"/>
  <c r="W20" i="1"/>
  <c r="W23" i="1" s="1"/>
  <c r="V23" i="1" s="1"/>
  <c r="U20" i="1"/>
  <c r="U23" i="1"/>
  <c r="C6" i="68" l="1"/>
  <c r="B58" i="1" l="1"/>
  <c r="C11" i="4"/>
  <c r="B7" i="4"/>
  <c r="D3" i="4"/>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G11" i="1" s="1"/>
  <c r="D12" i="1"/>
  <c r="G12" i="1" s="1"/>
  <c r="D13" i="1"/>
  <c r="D7" i="1"/>
  <c r="D8" i="1"/>
  <c r="A7" i="1"/>
  <c r="A8" i="1"/>
  <c r="B8" i="1" s="1"/>
  <c r="E8" i="1" s="1"/>
  <c r="A9" i="1"/>
  <c r="A10" i="1"/>
  <c r="K10" i="1" s="1"/>
  <c r="A11" i="1"/>
  <c r="A12" i="1"/>
  <c r="A13" i="1"/>
  <c r="A6" i="1"/>
  <c r="F3" i="35" s="1"/>
  <c r="B11" i="1"/>
  <c r="E11" i="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J56" i="9"/>
  <c r="J57" i="9" s="1"/>
  <c r="J59" i="9" s="1"/>
  <c r="J61" i="9" s="1"/>
  <c r="A24" i="51"/>
  <c r="B18" i="72" s="1"/>
  <c r="U29" i="34"/>
  <c r="E14" i="6"/>
  <c r="E63" i="39" s="1"/>
  <c r="E5" i="6"/>
  <c r="D9" i="11" s="1"/>
  <c r="C9" i="11" s="1"/>
  <c r="E32" i="6"/>
  <c r="L19" i="6"/>
  <c r="G1" i="68"/>
  <c r="K1" i="12"/>
  <c r="F30" i="6"/>
  <c r="AR12" i="1"/>
  <c r="AQ12" i="1"/>
  <c r="T12" i="1"/>
  <c r="AR10" i="1"/>
  <c r="T10" i="1"/>
  <c r="E19" i="69"/>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F32" i="15"/>
  <c r="F60" i="15" s="1"/>
  <c r="M18" i="15"/>
  <c r="F28" i="15"/>
  <c r="T11" i="1"/>
  <c r="D19" i="12"/>
  <c r="C19" i="12" s="1"/>
  <c r="AQ9" i="1"/>
  <c r="AR11" i="1"/>
  <c r="E59" i="40"/>
  <c r="T9" i="1"/>
  <c r="T13" i="1"/>
  <c r="D9" i="68"/>
  <c r="C9" i="68" s="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T7" i="1"/>
  <c r="C30" i="1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3" i="6"/>
  <c r="R7" i="1"/>
  <c r="F34" i="11"/>
  <c r="C37" i="11" s="1"/>
  <c r="F11" i="12"/>
  <c r="C23" i="12" s="1"/>
  <c r="F34" i="68"/>
  <c r="R8" i="1"/>
  <c r="AE7" i="1"/>
  <c r="AE8" i="1"/>
  <c r="AG6" i="1"/>
  <c r="H109" i="9"/>
  <c r="H110" i="9" s="1"/>
  <c r="D18" i="53" s="1"/>
  <c r="B35" i="72" s="1"/>
  <c r="D124" i="9"/>
  <c r="H14" i="74" s="1"/>
  <c r="B7" i="74" s="1"/>
  <c r="D10" i="52"/>
  <c r="D125" i="9"/>
  <c r="D11" i="5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2" i="69"/>
  <c r="E8" i="76"/>
  <c r="F5" i="73"/>
  <c r="F38" i="67"/>
  <c r="F38" i="15"/>
  <c r="F3" i="73"/>
  <c r="M8" i="67"/>
  <c r="D6" i="73"/>
  <c r="F6" i="67"/>
  <c r="AO7" i="1"/>
  <c r="L48" i="67"/>
  <c r="F7" i="67"/>
  <c r="F13" i="67"/>
  <c r="F20" i="31"/>
  <c r="L48" i="15"/>
  <c r="D2" i="33"/>
  <c r="F6" i="15"/>
  <c r="F4" i="73"/>
  <c r="F43" i="67"/>
  <c r="F6" i="73"/>
  <c r="B8" i="76"/>
  <c r="M26" i="15"/>
  <c r="E7" i="76"/>
  <c r="F26" i="15"/>
  <c r="M29" i="67"/>
  <c r="F16" i="15"/>
  <c r="AO8" i="1"/>
  <c r="F37" i="67"/>
  <c r="AO9" i="1"/>
  <c r="M28" i="67"/>
  <c r="C76" i="15"/>
  <c r="D2" i="36"/>
  <c r="M6" i="15"/>
  <c r="B9" i="76"/>
  <c r="M8" i="15"/>
  <c r="F36" i="67"/>
  <c r="D4" i="73"/>
  <c r="F42" i="15"/>
  <c r="F43" i="15"/>
  <c r="M22" i="67"/>
  <c r="F8" i="15"/>
  <c r="F40" i="15"/>
  <c r="M22" i="15"/>
  <c r="AO12" i="1"/>
  <c r="F16" i="67"/>
  <c r="B7" i="76"/>
  <c r="F40" i="67"/>
  <c r="E13" i="76"/>
  <c r="M9" i="67"/>
  <c r="B10" i="76"/>
  <c r="E2" i="68"/>
  <c r="F36" i="15"/>
  <c r="E9" i="76"/>
  <c r="F7" i="15"/>
  <c r="AO10" i="1"/>
  <c r="F35" i="67"/>
  <c r="F42" i="67"/>
  <c r="D2" i="35"/>
  <c r="D5" i="73"/>
  <c r="F13" i="15"/>
  <c r="M9" i="15"/>
  <c r="B13" i="76"/>
  <c r="L47" i="67"/>
  <c r="F41" i="67"/>
  <c r="F9" i="15"/>
  <c r="F9" i="67"/>
  <c r="M27" i="15"/>
  <c r="E10" i="76"/>
  <c r="J15" i="67"/>
  <c r="M21" i="67"/>
  <c r="E12" i="76"/>
  <c r="M24" i="67"/>
  <c r="B12" i="76"/>
  <c r="D2" i="34"/>
  <c r="AO13" i="1"/>
  <c r="F8" i="67"/>
  <c r="M23" i="15"/>
  <c r="B11" i="76"/>
  <c r="F7" i="73"/>
  <c r="M6" i="67"/>
  <c r="M23" i="67"/>
  <c r="AO11" i="1"/>
  <c r="D2" i="37"/>
  <c r="F26" i="67"/>
  <c r="M28" i="15"/>
  <c r="D2" i="21"/>
  <c r="M26" i="67"/>
  <c r="M27" i="67"/>
  <c r="D3" i="73"/>
  <c r="M24" i="15"/>
  <c r="E11" i="76"/>
  <c r="M29" i="15"/>
  <c r="J15" i="15"/>
  <c r="F37" i="15"/>
  <c r="C76" i="67"/>
  <c r="D7" i="73"/>
  <c r="L47" i="15"/>
  <c r="D16" i="53" l="1"/>
  <c r="B34" i="72" s="1"/>
  <c r="A2" i="9"/>
  <c r="A4" i="52"/>
  <c r="B41" i="72" s="1"/>
  <c r="Q16" i="1"/>
  <c r="F27" i="69" s="1"/>
  <c r="F45" i="69" s="1"/>
  <c r="M10" i="1"/>
  <c r="O10" i="1" s="1"/>
  <c r="P10" i="1" s="1"/>
  <c r="H16" i="1"/>
  <c r="F53" i="9"/>
  <c r="J51" i="15"/>
  <c r="C48" i="69"/>
  <c r="C20" i="11"/>
  <c r="C18" i="4"/>
  <c r="C4" i="52" s="1"/>
  <c r="B45" i="72" s="1"/>
  <c r="F22" i="43"/>
  <c r="K101" i="43"/>
  <c r="N101" i="43"/>
  <c r="G101" i="43"/>
  <c r="J101" i="43"/>
  <c r="L101" i="43"/>
  <c r="D101" i="43"/>
  <c r="M101" i="43"/>
  <c r="I101" i="43"/>
  <c r="E101"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G22" i="43"/>
  <c r="D22" i="43" s="1"/>
  <c r="S2" i="43"/>
  <c r="AH11" i="43"/>
  <c r="AH13" i="43" s="1"/>
  <c r="AD11" i="43"/>
  <c r="AD13" i="43" s="1"/>
  <c r="Z11" i="43"/>
  <c r="Z13" i="43" s="1"/>
  <c r="S5" i="43"/>
  <c r="AG11" i="43"/>
  <c r="AG13" i="43" s="1"/>
  <c r="AC11" i="43"/>
  <c r="AC13" i="43" s="1"/>
  <c r="Y11" i="43"/>
  <c r="Y13" i="43" s="1"/>
  <c r="S6" i="43"/>
  <c r="S4" i="43"/>
  <c r="S7" i="43"/>
  <c r="D29" i="6"/>
  <c r="D9" i="6"/>
  <c r="D14" i="6"/>
  <c r="D8" i="6"/>
  <c r="D10" i="6"/>
  <c r="M19" i="9"/>
  <c r="C118" i="9" s="1"/>
  <c r="C14" i="74" s="1"/>
  <c r="B2" i="74" s="1"/>
  <c r="T35" i="4"/>
  <c r="A19" i="51" s="1"/>
  <c r="B14" i="72" s="1"/>
  <c r="G13" i="1"/>
  <c r="G9" i="1"/>
  <c r="G8" i="1"/>
  <c r="C28" i="15"/>
  <c r="G6" i="1"/>
  <c r="C36" i="69"/>
  <c r="D9" i="69"/>
  <c r="C9" i="69" s="1"/>
  <c r="P61" i="15"/>
  <c r="F27" i="11"/>
  <c r="C47" i="11" s="1"/>
  <c r="D45" i="11" s="1"/>
  <c r="C92" i="9"/>
  <c r="C94" i="9"/>
  <c r="C48" i="68"/>
  <c r="C30" i="68"/>
  <c r="C31" i="12"/>
  <c r="C24" i="12"/>
  <c r="C28" i="67"/>
  <c r="C30" i="69"/>
  <c r="C21" i="69"/>
  <c r="D22" i="67"/>
  <c r="AR7" i="1"/>
  <c r="F28" i="12"/>
  <c r="A10" i="51"/>
  <c r="B9" i="72"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E28" i="6"/>
  <c r="G30" i="6"/>
  <c r="G31" i="6" s="1"/>
  <c r="A7" i="51"/>
  <c r="B7" i="72" s="1"/>
  <c r="D3" i="34"/>
  <c r="D3" i="33"/>
  <c r="E6" i="6"/>
  <c r="L18" i="9"/>
  <c r="D3" i="37"/>
  <c r="C36" i="11"/>
  <c r="E61" i="40"/>
  <c r="D28" i="6"/>
  <c r="D30" i="6" s="1"/>
  <c r="D11" i="6"/>
  <c r="D5" i="6"/>
  <c r="D20" i="6"/>
  <c r="D24" i="6"/>
  <c r="D21" i="6"/>
  <c r="D22" i="6"/>
  <c r="D26" i="6"/>
  <c r="D19"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F27" i="6"/>
  <c r="F31" i="6" s="1"/>
  <c r="E56" i="39"/>
  <c r="E51" i="40"/>
  <c r="E56" i="40"/>
  <c r="E13" i="6"/>
  <c r="E12" i="6"/>
  <c r="E15" i="6"/>
  <c r="D15" i="6" s="1"/>
  <c r="E16" i="6"/>
  <c r="P6" i="1"/>
  <c r="O11" i="1"/>
  <c r="P11" i="1" s="1"/>
  <c r="O8" i="1"/>
  <c r="O9" i="1"/>
  <c r="P9" i="1" s="1"/>
  <c r="P7" i="1"/>
  <c r="F27" i="68"/>
  <c r="F45" i="68" s="1"/>
  <c r="D19" i="53"/>
  <c r="D12" i="52"/>
  <c r="I14" i="74"/>
  <c r="B8" i="74" s="1"/>
  <c r="D127" i="9"/>
  <c r="D13" i="52" s="1"/>
  <c r="AA5" i="71"/>
  <c r="AB5" i="71"/>
  <c r="X5" i="71"/>
  <c r="Y5" i="71"/>
  <c r="Z5" i="71"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40"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G1" i="73"/>
  <c r="C16" i="67"/>
  <c r="C16" i="15"/>
  <c r="C17" i="67"/>
  <c r="C29" i="69" l="1"/>
  <c r="D27" i="69" s="1"/>
  <c r="J7" i="34"/>
  <c r="C29" i="11"/>
  <c r="D27" i="11" s="1"/>
  <c r="C28" i="11"/>
  <c r="C27" i="11" s="1"/>
  <c r="C104" i="43"/>
  <c r="C107" i="43"/>
  <c r="C103" i="43"/>
  <c r="C102" i="43"/>
  <c r="C106" i="43"/>
  <c r="C105" i="43"/>
  <c r="C109"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7" i="43"/>
  <c r="G104" i="43"/>
  <c r="G109" i="43"/>
  <c r="G103" i="43"/>
  <c r="G106" i="43"/>
  <c r="K103" i="43"/>
  <c r="K102" i="43"/>
  <c r="K106" i="43"/>
  <c r="K109" i="43"/>
  <c r="K107" i="43"/>
  <c r="K104" i="43"/>
  <c r="K105" i="43"/>
  <c r="H107" i="43"/>
  <c r="H106" i="43"/>
  <c r="H105" i="43"/>
  <c r="H109" i="43"/>
  <c r="H102" i="43"/>
  <c r="H103" i="43"/>
  <c r="H104"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4" i="43"/>
  <c r="I107" i="43"/>
  <c r="I105" i="43"/>
  <c r="I109" i="43"/>
  <c r="I102" i="43"/>
  <c r="I106" i="43"/>
  <c r="I103" i="43"/>
  <c r="D105" i="43"/>
  <c r="D106" i="43"/>
  <c r="D102" i="43"/>
  <c r="D109" i="43"/>
  <c r="D103" i="43"/>
  <c r="D104" i="43"/>
  <c r="D107" i="43"/>
  <c r="J104" i="43"/>
  <c r="J105" i="43"/>
  <c r="J107" i="43"/>
  <c r="J102" i="43"/>
  <c r="J106" i="43"/>
  <c r="J109" i="43"/>
  <c r="J103" i="43"/>
  <c r="N102" i="43"/>
  <c r="N105" i="43"/>
  <c r="N107" i="43"/>
  <c r="N103" i="43"/>
  <c r="N106" i="43"/>
  <c r="N104" i="43"/>
  <c r="N109" i="43"/>
  <c r="F10" i="39"/>
  <c r="S10" i="39" s="1"/>
  <c r="F7" i="36"/>
  <c r="C29" i="12"/>
  <c r="D28" i="12" s="1"/>
  <c r="C14" i="12"/>
  <c r="E30" i="6"/>
  <c r="K14" i="1"/>
  <c r="K23" i="6"/>
  <c r="M23" i="6" s="1"/>
  <c r="I23" i="6" s="1"/>
  <c r="C29" i="68"/>
  <c r="D27" i="68" s="1"/>
  <c r="J10" i="39"/>
  <c r="W10" i="39" s="1"/>
  <c r="E60" i="40"/>
  <c r="D27" i="6"/>
  <c r="D31" i="6" s="1"/>
  <c r="I6" i="6" s="1"/>
  <c r="E27" i="6"/>
  <c r="K22" i="6" s="1"/>
  <c r="M22" i="6" s="1"/>
  <c r="I22" i="6" s="1"/>
  <c r="D10" i="68"/>
  <c r="D20" i="12"/>
  <c r="C20" i="12" s="1"/>
  <c r="D10" i="11"/>
  <c r="C10" i="11" s="1"/>
  <c r="D6" i="6"/>
  <c r="D10" i="69"/>
  <c r="C47" i="68"/>
  <c r="D45" i="68" s="1"/>
  <c r="H10" i="40"/>
  <c r="U10" i="40" s="1"/>
  <c r="E64" i="39"/>
  <c r="E57" i="40"/>
  <c r="E61" i="39"/>
  <c r="AC6" i="3"/>
  <c r="E6" i="3" s="1"/>
  <c r="E58" i="40"/>
  <c r="E62" i="39"/>
  <c r="D12" i="6"/>
  <c r="D13" i="6"/>
  <c r="P8" i="1"/>
  <c r="H10" i="39"/>
  <c r="U10" i="39" s="1"/>
  <c r="J10" i="40"/>
  <c r="W10" i="40" s="1"/>
  <c r="B38" i="72"/>
  <c r="D20" i="53"/>
  <c r="B40" i="72" s="1"/>
  <c r="J7" i="37"/>
  <c r="H7" i="36"/>
  <c r="AB7" i="36" s="1"/>
  <c r="T36" i="36" s="1"/>
  <c r="G36" i="36"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6" l="1"/>
  <c r="C115" i="43"/>
  <c r="D113" i="43"/>
  <c r="AA10" i="39"/>
  <c r="D16" i="6"/>
  <c r="K19" i="6"/>
  <c r="S6" i="1" s="1"/>
  <c r="AB10" i="39"/>
  <c r="AB10" i="40"/>
  <c r="AC10" i="39"/>
  <c r="C10" i="69"/>
  <c r="C8" i="69" s="1"/>
  <c r="C5" i="69" s="1"/>
  <c r="D19" i="69"/>
  <c r="C10" i="68"/>
  <c r="B29" i="1" s="1"/>
  <c r="C8" i="68" s="1"/>
  <c r="C5" i="68" s="1"/>
  <c r="D19" i="68"/>
  <c r="AC10" i="40"/>
  <c r="K24" i="6"/>
  <c r="M24" i="6" s="1"/>
  <c r="I24" i="6" s="1"/>
  <c r="K20" i="6"/>
  <c r="M20" i="6" s="1"/>
  <c r="I20" i="6" s="1"/>
  <c r="K21" i="6"/>
  <c r="M21" i="6" s="1"/>
  <c r="I21" i="6" s="1"/>
  <c r="E31" i="6"/>
  <c r="I5" i="6" s="1"/>
  <c r="K25" i="6"/>
  <c r="M25" i="6" s="1"/>
  <c r="I25" i="6" s="1"/>
  <c r="M14" i="1"/>
  <c r="K16" i="1"/>
  <c r="C34" i="69"/>
  <c r="K26" i="6"/>
  <c r="M26" i="6" s="1"/>
  <c r="I26" i="6" s="1"/>
  <c r="S23" i="6"/>
  <c r="H23" i="6"/>
  <c r="R23" i="6" s="1"/>
  <c r="K27" i="6"/>
  <c r="S22" i="6"/>
  <c r="H22" i="6"/>
  <c r="R22" i="6" s="1"/>
  <c r="E65"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C18" i="12"/>
  <c r="M19" i="6"/>
  <c r="AQ6" i="1"/>
  <c r="S16" i="1"/>
  <c r="AR6" i="1"/>
  <c r="T6" i="1"/>
  <c r="T16" i="1" s="1"/>
  <c r="H25" i="6"/>
  <c r="R25" i="6" s="1"/>
  <c r="S25" i="6"/>
  <c r="M27" i="6"/>
  <c r="I19" i="6"/>
  <c r="C35" i="69"/>
  <c r="C38" i="69"/>
  <c r="O14" i="1"/>
  <c r="M16" i="1"/>
  <c r="N16" i="1" s="1"/>
  <c r="S20" i="6"/>
  <c r="H20" i="6"/>
  <c r="R20" i="6" s="1"/>
  <c r="S26" i="6"/>
  <c r="H26" i="6"/>
  <c r="R26" i="6" s="1"/>
  <c r="H21" i="6"/>
  <c r="R21" i="6" s="1"/>
  <c r="S21" i="6"/>
  <c r="S24" i="6"/>
  <c r="H24" i="6"/>
  <c r="R24" i="6" s="1"/>
  <c r="C19" i="68"/>
  <c r="D37" i="68"/>
  <c r="C37" i="68" s="1"/>
  <c r="C19" i="69"/>
  <c r="C20" i="69" s="1"/>
  <c r="D37" i="69"/>
  <c r="C37"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3" i="68"/>
  <c r="C26" i="68"/>
  <c r="D22" i="68" s="1"/>
  <c r="C24" i="68"/>
  <c r="C26" i="12"/>
  <c r="D25" i="12" s="1"/>
  <c r="C44" i="11"/>
  <c r="D41" i="11" s="1"/>
  <c r="C23" i="11"/>
  <c r="C24" i="11"/>
  <c r="C25" i="11"/>
  <c r="C26" i="11"/>
  <c r="D22" i="11" s="1"/>
  <c r="C38" i="67"/>
  <c r="C38" i="15"/>
  <c r="C66" i="67"/>
  <c r="C60" i="67"/>
  <c r="C23" i="67"/>
  <c r="C29" i="67" s="1"/>
  <c r="C14" i="15"/>
  <c r="B6" i="76"/>
  <c r="E6" i="76"/>
  <c r="C24" i="69" l="1"/>
  <c r="C15" i="15"/>
  <c r="C18" i="15"/>
  <c r="C33" i="69"/>
  <c r="C42" i="69" s="1"/>
  <c r="C28" i="69"/>
  <c r="C27" i="69" s="1"/>
  <c r="C25" i="69"/>
  <c r="C20" i="68"/>
  <c r="C25" i="68" s="1"/>
  <c r="C22" i="68" s="1"/>
  <c r="C34" i="68"/>
  <c r="C34" i="11"/>
  <c r="L16" i="1"/>
  <c r="H19" i="6"/>
  <c r="L19" i="9" s="1"/>
  <c r="S19" i="6"/>
  <c r="S27" i="6" s="1"/>
  <c r="I27" i="6"/>
  <c r="C39" i="69"/>
  <c r="C43" i="69" s="1"/>
  <c r="F50" i="68"/>
  <c r="F50" i="11"/>
  <c r="F50" i="69"/>
  <c r="P14" i="1"/>
  <c r="P16" i="1" s="1"/>
  <c r="C11" i="12" s="1"/>
  <c r="O16" i="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22" i="69" l="1"/>
  <c r="C31" i="69" s="1"/>
  <c r="C19" i="15"/>
  <c r="C20" i="15" s="1"/>
  <c r="C26" i="15" s="1"/>
  <c r="C41" i="69"/>
  <c r="C46" i="69"/>
  <c r="C45" i="69" s="1"/>
  <c r="C28" i="68"/>
  <c r="C27" i="68" s="1"/>
  <c r="C31" i="68" s="1"/>
  <c r="C38" i="11"/>
  <c r="C35" i="11"/>
  <c r="C38" i="68"/>
  <c r="C35" i="68"/>
  <c r="C12" i="12"/>
  <c r="C15" i="12"/>
  <c r="H27" i="6"/>
  <c r="R19"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6" i="12"/>
  <c r="C21" i="12" s="1"/>
  <c r="C22" i="12" s="1"/>
  <c r="C30" i="12" s="1"/>
  <c r="C28" i="12" s="1"/>
  <c r="C49" i="69"/>
  <c r="C51" i="69" s="1"/>
  <c r="C52" i="69" s="1"/>
  <c r="B2" i="69" s="1"/>
  <c r="B3" i="69" s="1"/>
  <c r="R27" i="6"/>
  <c r="R6" i="1"/>
  <c r="C33" i="11"/>
  <c r="C42" i="11" s="1"/>
  <c r="C33" i="68"/>
  <c r="C39" i="68"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Q49" i="15" l="1"/>
  <c r="J59" i="15"/>
  <c r="J60" i="15" s="1"/>
  <c r="Q48" i="15" s="1"/>
  <c r="J14" i="15"/>
  <c r="C36" i="15"/>
  <c r="C13" i="15"/>
  <c r="J19" i="15"/>
  <c r="C57" i="15"/>
  <c r="J20" i="15"/>
  <c r="J17" i="15" s="1"/>
  <c r="C34" i="15"/>
  <c r="C31" i="15" s="1"/>
  <c r="F63" i="15"/>
  <c r="C62" i="15" s="1"/>
  <c r="R16" i="1"/>
  <c r="C57" i="69"/>
  <c r="C56" i="69" s="1"/>
  <c r="C39" i="11"/>
  <c r="C46" i="11" s="1"/>
  <c r="C45" i="11" s="1"/>
  <c r="C27" i="12"/>
  <c r="C25" i="12" s="1"/>
  <c r="C32" i="12" s="1"/>
  <c r="B2" i="12" s="1"/>
  <c r="B3" i="12" s="1"/>
  <c r="C42" i="68"/>
  <c r="C46" i="68"/>
  <c r="C45" i="68" s="1"/>
  <c r="C43" i="68"/>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1" i="15" l="1"/>
  <c r="C59" i="15" s="1"/>
  <c r="C64" i="15"/>
  <c r="C56" i="15"/>
  <c r="C65" i="15" s="1"/>
  <c r="C37" i="15"/>
  <c r="C30" i="15" s="1"/>
  <c r="C39" i="15" s="1"/>
  <c r="Q70" i="15"/>
  <c r="C75" i="15"/>
  <c r="C80" i="15" s="1"/>
  <c r="C79" i="15" s="1"/>
  <c r="J22" i="15"/>
  <c r="J13" i="15"/>
  <c r="J23" i="15" s="1"/>
  <c r="L57" i="15"/>
  <c r="L60" i="15" s="1"/>
  <c r="L46" i="15" s="1"/>
  <c r="C41" i="68"/>
  <c r="C49" i="68" s="1"/>
  <c r="C51" i="68" s="1"/>
  <c r="C52" i="68" s="1"/>
  <c r="B2" i="68" s="1"/>
  <c r="C43" i="11"/>
  <c r="C41" i="11" s="1"/>
  <c r="C49" i="11" s="1"/>
  <c r="C51" i="11" s="1"/>
  <c r="C52" i="11" s="1"/>
  <c r="B2" i="11" s="1"/>
  <c r="B3" i="11"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J16" i="15" l="1"/>
  <c r="J25" i="15" s="1"/>
  <c r="Q67" i="15"/>
  <c r="Q69" i="15"/>
  <c r="Q68" i="15" s="1"/>
  <c r="C40" i="15"/>
  <c r="Q56" i="15" s="1"/>
  <c r="C58" i="15"/>
  <c r="C67" i="15" s="1"/>
  <c r="C68" i="15" s="1"/>
  <c r="C71" i="15" s="1"/>
  <c r="C21" i="9"/>
  <c r="C102" i="9"/>
  <c r="B3" i="68"/>
  <c r="Q57" i="15"/>
  <c r="Q66" i="15"/>
  <c r="C57" i="68"/>
  <c r="C56" i="68" s="1"/>
  <c r="C56" i="11"/>
  <c r="C57" i="11" s="1"/>
  <c r="M69" i="39"/>
  <c r="N67" i="39"/>
  <c r="R39" i="35"/>
  <c r="E38" i="35"/>
  <c r="M63" i="40"/>
  <c r="L65" i="40"/>
  <c r="C20" i="9"/>
  <c r="D35" i="9"/>
  <c r="D34" i="9"/>
  <c r="B2" i="15" l="1"/>
  <c r="B3" i="15" s="1"/>
  <c r="Q47" i="15"/>
  <c r="Q53" i="15" s="1"/>
  <c r="C43" i="15"/>
  <c r="C46" i="15"/>
  <c r="Q65" i="15"/>
  <c r="C83" i="15"/>
  <c r="C82" i="15" s="1"/>
  <c r="C103" i="9"/>
  <c r="Q62" i="15"/>
  <c r="Q75" i="15"/>
  <c r="O67" i="39"/>
  <c r="O69" i="39" s="1"/>
  <c r="N69" i="39"/>
  <c r="F7" i="39"/>
  <c r="C39" i="35"/>
  <c r="B2" i="35" s="1"/>
  <c r="B3" i="35" s="1"/>
  <c r="C38" i="35"/>
  <c r="N63" i="40"/>
  <c r="M65" i="40"/>
  <c r="E43" i="35"/>
  <c r="F43" i="35" s="1"/>
  <c r="E42" i="35"/>
  <c r="F42" i="35" s="1"/>
  <c r="I43" i="35"/>
  <c r="J43" i="35" s="1"/>
  <c r="AO6" i="1"/>
  <c r="D19" i="9"/>
  <c r="D20" i="9"/>
  <c r="D21" i="9" l="1"/>
  <c r="D102" i="9"/>
  <c r="G19" i="9"/>
  <c r="G21" i="9" s="1"/>
  <c r="D22" i="9"/>
  <c r="B6" i="70"/>
  <c r="B2" i="70" s="1"/>
  <c r="B3" i="70" s="1"/>
  <c r="G20" i="9"/>
  <c r="D103" i="9"/>
  <c r="H7" i="39"/>
  <c r="J7" i="39"/>
  <c r="S7" i="39"/>
  <c r="AA7" i="39"/>
  <c r="R47" i="39" s="1"/>
  <c r="O63" i="40"/>
  <c r="O65" i="40" s="1"/>
  <c r="N65" i="40"/>
  <c r="C32" i="9" l="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D118" i="9"/>
  <c r="D4" i="52" s="1"/>
  <c r="B47" i="72" s="1"/>
  <c r="D119" i="9" l="1"/>
  <c r="D5" i="52" s="1"/>
  <c r="B49" i="72" s="1"/>
  <c r="G118" i="9"/>
  <c r="G4" i="52" s="1"/>
  <c r="B52" i="72" s="1"/>
  <c r="H4" i="52"/>
  <c r="D14" i="74"/>
  <c r="H101" i="9"/>
  <c r="I118" i="9"/>
  <c r="C104" i="9"/>
  <c r="H119" i="9"/>
  <c r="H5" i="52" s="1"/>
  <c r="F119" i="9"/>
  <c r="F5" i="52" s="1"/>
  <c r="B53" i="72" s="1"/>
  <c r="C105" i="9" l="1"/>
  <c r="H102" i="9"/>
  <c r="D7" i="53" s="1"/>
  <c r="B21" i="72" s="1"/>
  <c r="I4" i="52"/>
  <c r="E118" i="9"/>
  <c r="E4" i="52" s="1"/>
  <c r="B48" i="72" s="1"/>
  <c r="E14" i="74"/>
  <c r="B5" i="74"/>
  <c r="F14" i="74"/>
  <c r="M48" i="9"/>
  <c r="D5" i="53"/>
  <c r="H107" i="9"/>
  <c r="D45" i="9"/>
  <c r="D5" i="74" l="1"/>
  <c r="C5" i="74"/>
  <c r="H108" i="9"/>
  <c r="D15" i="53" s="1"/>
  <c r="B31" i="72" s="1"/>
  <c r="D122" i="9"/>
  <c r="M49" i="9"/>
  <c r="D13" i="53"/>
  <c r="D53" i="9"/>
  <c r="C93" i="9"/>
  <c r="C86" i="9" s="1"/>
  <c r="C78" i="9"/>
  <c r="C73" i="9" s="1"/>
  <c r="C72" i="9"/>
  <c r="C64" i="9"/>
  <c r="C63" i="9" s="1"/>
  <c r="C67" i="9" s="1"/>
  <c r="C85" i="9"/>
  <c r="D52" i="9"/>
  <c r="D55" i="9"/>
  <c r="M53" i="9" s="1"/>
  <c r="B20" i="72"/>
  <c r="D6" i="53"/>
  <c r="B22" i="72" s="1"/>
  <c r="C95" i="9" l="1"/>
  <c r="C96" i="9" s="1"/>
  <c r="E96" i="9" s="1"/>
  <c r="E97" i="9" s="1"/>
  <c r="C79" i="9"/>
  <c r="B30" i="72"/>
  <c r="D14" i="53"/>
  <c r="B32" i="72" s="1"/>
  <c r="D8" i="52"/>
  <c r="G14" i="74"/>
  <c r="B6" i="74" s="1"/>
  <c r="D123" i="9"/>
  <c r="D9" i="52" s="1"/>
  <c r="D59" i="9"/>
  <c r="M55" i="9" s="1"/>
  <c r="C68" i="9"/>
  <c r="D54" i="9" s="1"/>
  <c r="L65" i="9"/>
  <c r="M65" i="9" s="1"/>
  <c r="L67" i="9"/>
  <c r="M67" i="9" s="1"/>
  <c r="L64" i="9"/>
  <c r="M64" i="9" s="1"/>
  <c r="L68" i="9"/>
  <c r="M68" i="9" s="1"/>
  <c r="L66" i="9"/>
  <c r="M66" i="9" s="1"/>
  <c r="L63" i="9"/>
  <c r="M63" i="9" s="1"/>
  <c r="M69" i="9" l="1"/>
  <c r="N69" i="9" s="1"/>
  <c r="D6" i="74"/>
  <c r="C6" i="74"/>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<sst xmlns="http://schemas.openxmlformats.org/spreadsheetml/2006/main" count="7427" uniqueCount="3210">
  <si>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</si>
  <si>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</si>
  <si>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</si>
  <si>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</si>
  <si>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</si>
  <si>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</si>
  <si>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</si>
  <si>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</si>
  <si>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</si>
  <si>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</si>
  <si>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</si>
  <si>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</si>
  <si>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</si>
  <si>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</si>
  <si>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</si>
  <si>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</si>
  <si>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</si>
  <si>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</si>
  <si>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</si>
  <si>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</si>
  <si>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</si>
  <si>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</si>
  <si>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</si>
  <si>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</si>
  <si>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</si>
  <si>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</si>
  <si>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</si>
  <si>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</si>
  <si>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</si>
  <si>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</si>
  <si>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</si>
  <si>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</si>
  <si>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</si>
  <si>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</si>
  <si>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</si>
  <si>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</si>
  <si>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</si>
  <si>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</si>
  <si>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</si>
  <si>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</si>
  <si>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</si>
  <si>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</si>
  <si>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</si>
  <si>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</si>
  <si>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</si>
  <si>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</si>
  <si>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</si>
  <si>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</si>
  <si>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</si>
  <si>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</si>
  <si>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</si>
  <si>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</si>
  <si>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</si>
  <si>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</si>
  <si>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</si>
  <si>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</si>
  <si>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</si>
  <si>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</si>
  <si>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</si>
  <si>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</si>
  <si>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</si>
  <si>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</si>
  <si>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</si>
  <si>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</si>
  <si>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</si>
  <si>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</si>
  <si>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</si>
  <si>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</si>
  <si>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</si>
  <si>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</si>
  <si>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</si>
  <si>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</si>
  <si>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</si>
  <si>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</si>
  <si>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</si>
  <si>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</si>
  <si>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</si>
  <si>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</si>
  <si>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</si>
  <si>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</si>
  <si>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</si>
  <si>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</si>
  <si>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</si>
  <si>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</si>
  <si>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</si>
  <si>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</si>
  <si>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</si>
  <si>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</si>
  <si>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</si>
  <si>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</si>
  <si>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</si>
  <si>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</si>
  <si>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</si>
  <si>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</si>
  <si>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</si>
  <si>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</si>
  <si>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</si>
  <si>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</si>
  <si>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</si>
  <si>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</si>
  <si>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</si>
  <si>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</si>
  <si>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</si>
  <si>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</si>
  <si>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</si>
  <si>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</si>
  <si>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</si>
  <si>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</si>
  <si>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</si>
  <si>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</si>
  <si>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</si>
  <si>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</si>
  <si>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</si>
  <si>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</si>
  <si>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</si>
  <si>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</si>
  <si>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</si>
  <si>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</si>
  <si>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</si>
  <si>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</si>
  <si>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</si>
  <si>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</si>
  <si>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</si>
  <si>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</si>
  <si>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</si>
  <si>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</si>
  <si>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</si>
  <si>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</si>
  <si>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</si>
  <si>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</si>
  <si>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</si>
  <si>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</si>
  <si>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</si>
  <si>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</si>
  <si>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</si>
  <si>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</si>
  <si>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</si>
  <si>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</si>
  <si>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</si>
  <si>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</si>
  <si>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</si>
  <si>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</si>
  <si>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</si>
  <si>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</si>
  <si>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</si>
  <si>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</si>
  <si>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</si>
  <si>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</si>
  <si>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</si>
  <si>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</si>
  <si>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</si>
  <si>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</si>
  <si>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</si>
  <si>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</si>
  <si>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</si>
  <si>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</si>
  <si>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</si>
  <si>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</si>
  <si>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</si>
  <si>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</si>
  <si>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</si>
  <si>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</si>
  <si>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</si>
  <si>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</si>
  <si>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</si>
  <si>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</si>
  <si>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</si>
  <si>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</si>
  <si>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</si>
  <si>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</si>
  <si>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</si>
  <si>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</si>
  <si>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</si>
  <si>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</si>
  <si>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</si>
  <si>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</si>
  <si>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</si>
  <si>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</si>
  <si>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</si>
  <si>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</si>
  <si>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</si>
  <si>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</si>
  <si>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</si>
  <si>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</si>
  <si>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</si>
  <si>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</si>
  <si>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</si>
  <si>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</si>
  <si>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</si>
  <si>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</si>
  <si>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</si>
  <si>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</si>
  <si>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</si>
  <si>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</si>
  <si>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</si>
  <si>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</si>
  <si>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</si>
  <si>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</si>
  <si>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</si>
  <si>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</si>
  <si>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</si>
  <si>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</si>
  <si>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</si>
  <si>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</si>
  <si>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</si>
  <si>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</si>
  <si>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</si>
  <si>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</si>
  <si>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</si>
  <si>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</si>
  <si>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</si>
  <si>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</si>
  <si>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</si>
  <si>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</si>
  <si>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</si>
  <si>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</si>
  <si>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</si>
  <si>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</si>
  <si>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</si>
  <si>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</si>
  <si>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</si>
  <si>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</si>
  <si>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</si>
  <si>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</si>
  <si>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</si>
  <si>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</si>
  <si>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</si>
  <si>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</si>
  <si>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</si>
  <si>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</si>
  <si>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</si>
  <si>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</si>
  <si>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</si>
  <si>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</si>
  <si>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</si>
  <si>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</si>
  <si>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</si>
  <si>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</si>
  <si>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</si>
  <si>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</si>
  <si>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</si>
  <si>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</si>
  <si>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</si>
  <si>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</si>
  <si>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</si>
  <si>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</si>
  <si>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</si>
  <si>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</si>
  <si>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</si>
  <si>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</si>
  <si>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</si>
  <si>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</si>
  <si>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</si>
  <si>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</si>
  <si>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</si>
  <si>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</si>
  <si>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</si>
  <si>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</si>
  <si>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</si>
  <si>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</si>
  <si>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</si>
  <si>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</si>
  <si>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</si>
  <si>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</si>
  <si>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</si>
  <si>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</si>
  <si>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</si>
  <si>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</si>
  <si>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</si>
  <si>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</si>
  <si>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</si>
  <si>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</si>
  <si>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</si>
  <si>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</si>
  <si>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</si>
  <si>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</si>
  <si>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</si>
  <si>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</si>
  <si>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</si>
  <si>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</si>
  <si>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</si>
  <si>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</si>
  <si>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</si>
  <si>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</si>
  <si>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</si>
  <si>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</si>
  <si>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</si>
  <si>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</si>
  <si>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</si>
  <si>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</si>
  <si>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</si>
  <si>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</si>
  <si>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</si>
  <si>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</si>
  <si>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</si>
  <si>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</si>
  <si>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</si>
  <si>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</si>
  <si>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</si>
  <si>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</si>
  <si>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</si>
  <si>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</si>
  <si>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</si>
  <si>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</si>
  <si>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</si>
  <si>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</si>
  <si>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</si>
  <si>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</si>
  <si>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</si>
  <si>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</si>
  <si>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</si>
  <si>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</si>
  <si>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</si>
  <si>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</si>
  <si>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</si>
  <si>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</si>
  <si>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</si>
  <si>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</si>
  <si>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</si>
  <si>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</si>
  <si>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</si>
  <si>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</si>
  <si>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</si>
  <si>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</si>
  <si>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</si>
  <si>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</si>
  <si>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</si>
  <si>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</si>
  <si>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</si>
  <si>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</si>
  <si>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</si>
  <si>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</si>
  <si>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</si>
  <si>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</si>
  <si>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</si>
  <si>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</si>
  <si>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</si>
  <si>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</si>
  <si>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</si>
  <si>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</si>
  <si>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</si>
  <si>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</si>
  <si>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</si>
  <si>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</si>
  <si>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</si>
  <si>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</si>
  <si>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</si>
  <si>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</si>
  <si>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</si>
  <si>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</si>
  <si>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</si>
  <si>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</si>
  <si>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</si>
  <si>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</si>
  <si>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</si>
  <si>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</si>
  <si>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</si>
  <si>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</si>
  <si>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</si>
  <si>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</si>
  <si>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</si>
  <si>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</si>
  <si>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</si>
  <si>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</si>
  <si>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</si>
  <si>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</si>
  <si>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</si>
  <si>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</si>
  <si>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</si>
  <si>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</si>
  <si>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</si>
  <si>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</si>
  <si>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</si>
  <si>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</si>
  <si>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</si>
  <si>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</si>
  <si>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</si>
  <si>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</si>
  <si>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</si>
  <si>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</si>
  <si>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</si>
  <si>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</si>
  <si>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</si>
  <si>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</si>
  <si>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</si>
  <si>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</si>
  <si>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</si>
  <si>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</si>
  <si>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</si>
  <si>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</si>
  <si>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</si>
  <si>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</si>
  <si>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</si>
  <si>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</si>
  <si>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</si>
  <si>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</si>
  <si>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</si>
  <si>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</si>
  <si>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</si>
  <si>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</si>
  <si>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</si>
  <si>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</si>
  <si>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</si>
  <si>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</si>
  <si>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</si>
  <si>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</si>
  <si>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</si>
  <si>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</si>
  <si>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</si>
  <si>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</si>
  <si>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</si>
  <si>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</si>
  <si>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</si>
  <si>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</si>
  <si>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</si>
  <si>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</si>
  <si>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</si>
  <si>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</si>
  <si>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</si>
  <si>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</si>
  <si>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</si>
  <si>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</si>
  <si>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</si>
  <si>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</si>
  <si>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</si>
  <si>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</si>
  <si>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</si>
  <si>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</si>
  <si>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</si>
  <si>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</si>
  <si>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</si>
  <si>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</si>
  <si>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</si>
  <si>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</si>
  <si>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</si>
  <si>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</si>
  <si>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</si>
  <si>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</si>
  <si>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</si>
  <si>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</si>
  <si>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</si>
  <si>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</si>
  <si>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</si>
  <si>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</si>
  <si>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</si>
  <si>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</si>
  <si>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</si>
  <si>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</si>
  <si>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</si>
  <si>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</si>
  <si>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</si>
  <si>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</si>
  <si>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</si>
  <si>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</si>
  <si>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</si>
  <si>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</si>
  <si>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</si>
  <si>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</si>
  <si>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</si>
  <si>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</si>
  <si>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</si>
  <si>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</si>
  <si>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</si>
  <si>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</si>
  <si>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</si>
  <si>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</si>
  <si>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</si>
  <si>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</si>
  <si>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</si>
  <si>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</si>
  <si>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</si>
  <si>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</si>
  <si>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</si>
  <si>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</si>
  <si>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</si>
  <si>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</si>
  <si>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</si>
  <si>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</si>
  <si>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</si>
  <si>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</si>
  <si>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</si>
  <si>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</si>
  <si>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</si>
  <si>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</si>
  <si>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</si>
  <si>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</si>
  <si>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</si>
  <si>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</si>
  <si>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</si>
  <si>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</si>
  <si>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</si>
  <si>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</si>
  <si>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</si>
  <si>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</si>
  <si>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</si>
  <si>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</si>
  <si>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</si>
  <si>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</si>
  <si>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</si>
  <si>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</si>
  <si>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</si>
  <si>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</si>
  <si>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</si>
  <si>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</si>
  <si>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</si>
  <si>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</si>
  <si>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</si>
  <si>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</si>
  <si>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</si>
  <si>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</si>
  <si>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</si>
  <si>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</si>
  <si>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</si>
  <si>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</si>
  <si>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</si>
  <si>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</si>
  <si>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</si>
  <si>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</si>
  <si>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</si>
  <si>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</si>
  <si>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</si>
  <si>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</si>
  <si>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</si>
  <si>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</si>
  <si>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</si>
  <si>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</si>
  <si>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</si>
  <si>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</si>
  <si>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</si>
  <si>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</si>
  <si>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</si>
  <si>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</si>
  <si>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</si>
  <si>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</si>
  <si>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</si>
  <si>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</si>
  <si>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</si>
  <si>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</si>
  <si>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</si>
  <si>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</si>
  <si>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</si>
  <si>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</si>
  <si>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</si>
  <si>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</si>
  <si>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</si>
  <si>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</si>
  <si>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</si>
  <si>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</si>
  <si>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</si>
  <si>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</si>
  <si>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</si>
  <si>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</si>
  <si>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</si>
  <si>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</si>
  <si>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</si>
  <si>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</si>
  <si>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</si>
  <si>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</si>
  <si>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</si>
  <si>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</si>
  <si>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</si>
  <si>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</si>
  <si>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</si>
  <si>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</si>
  <si>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</si>
  <si>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</si>
  <si>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</si>
  <si>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</si>
  <si>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</si>
  <si>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</si>
  <si>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</si>
  <si>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</si>
  <si>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</si>
  <si>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</si>
  <si>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</si>
  <si>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</si>
  <si>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</si>
  <si>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</si>
  <si>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</si>
  <si>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</si>
  <si>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</si>
  <si>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</si>
  <si>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</si>
  <si>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</si>
  <si>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</si>
  <si>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</si>
  <si>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</si>
  <si>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</si>
  <si>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</si>
  <si>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</si>
  <si>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</si>
  <si>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</si>
  <si>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</si>
  <si>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</si>
  <si>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</si>
  <si>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</si>
  <si>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</si>
  <si>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</si>
  <si>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</si>
  <si>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</si>
  <si>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</si>
  <si>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</si>
  <si>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</si>
  <si>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</si>
  <si>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</si>
  <si>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</si>
  <si>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</si>
  <si>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</si>
  <si>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</si>
  <si>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</si>
  <si>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</si>
  <si>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</si>
  <si>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</si>
  <si>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</si>
  <si>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</si>
  <si>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</si>
  <si>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</si>
  <si>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</si>
  <si>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</si>
  <si>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</si>
  <si>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</si>
  <si>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</si>
  <si>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</si>
  <si>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</si>
  <si>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</si>
  <si>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</si>
  <si>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</si>
  <si>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</si>
  <si>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</si>
  <si>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</si>
  <si>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</si>
  <si>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</si>
  <si>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</si>
  <si>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</si>
  <si>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</si>
  <si>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</si>
  <si>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</si>
  <si>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</si>
  <si>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</si>
  <si>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</si>
  <si>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</si>
  <si>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</si>
  <si>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</si>
  <si>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</si>
  <si>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</si>
  <si>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</si>
  <si>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</si>
  <si>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</si>
  <si>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</si>
  <si>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</si>
  <si>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</si>
  <si>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</si>
  <si>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</si>
  <si>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</si>
  <si>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</si>
  <si>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</si>
  <si>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</si>
  <si>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</si>
  <si>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</si>
  <si>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</si>
  <si>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</si>
  <si>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</si>
  <si>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</si>
  <si>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</si>
  <si>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</si>
  <si>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</si>
  <si>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</si>
  <si>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</si>
  <si>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</si>
  <si>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</si>
  <si>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</si>
  <si>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</si>
  <si>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</si>
  <si>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</si>
  <si>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</si>
  <si>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</si>
  <si>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</si>
  <si>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</si>
  <si>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</si>
  <si>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</si>
  <si>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</si>
  <si>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</si>
  <si>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</si>
  <si>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</si>
  <si>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</si>
  <si>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</si>
  <si>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</si>
  <si>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</si>
  <si>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</si>
  <si>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</si>
  <si>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</si>
  <si>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</si>
  <si>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</si>
  <si>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</si>
  <si>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</si>
  <si>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</si>
  <si>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</si>
  <si>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</si>
  <si>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</si>
  <si>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</si>
  <si>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</si>
  <si>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</si>
  <si>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</si>
  <si>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</si>
  <si>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</si>
  <si>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</si>
  <si>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</si>
  <si>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</si>
  <si>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</si>
  <si>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</si>
  <si>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</si>
  <si>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</si>
  <si>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</si>
  <si>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</si>
  <si>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</si>
  <si>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</si>
  <si>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</si>
  <si>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</si>
  <si>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</si>
  <si>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</si>
  <si>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</si>
  <si>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</si>
  <si>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</si>
  <si>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</si>
  <si>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</si>
  <si>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</si>
  <si>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</si>
  <si>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</si>
  <si>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</si>
  <si>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</si>
  <si>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</si>
  <si>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</si>
  <si>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</si>
  <si>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</si>
  <si>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</si>
  <si>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</si>
  <si>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</si>
  <si>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</si>
  <si>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</si>
  <si>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</si>
  <si>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</si>
  <si>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</si>
  <si>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</si>
  <si>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</si>
  <si>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</si>
  <si>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</si>
  <si>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</si>
  <si>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</si>
  <si>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</si>
  <si>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</si>
  <si>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</si>
  <si>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</si>
  <si>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</si>
  <si>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</si>
  <si>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</si>
  <si>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</si>
  <si>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</si>
  <si>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</si>
  <si>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</si>
  <si>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</si>
  <si>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</si>
  <si>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</si>
  <si>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</si>
  <si>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</si>
  <si>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</si>
  <si>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</si>
  <si>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</si>
  <si>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</si>
  <si>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</si>
  <si>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</si>
  <si>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</si>
  <si>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</si>
  <si>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</si>
  <si>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</si>
  <si>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</si>
  <si>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</si>
  <si>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</si>
  <si>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</si>
  <si>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</si>
  <si>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</si>
  <si>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</si>
  <si>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</si>
  <si>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</si>
  <si>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</si>
  <si>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</si>
  <si>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</si>
  <si>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</si>
  <si>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</si>
  <si>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</si>
  <si>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</si>
  <si>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</si>
  <si>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</si>
  <si>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</si>
  <si>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</si>
  <si>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</si>
  <si>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</si>
  <si>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</si>
  <si>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</si>
  <si>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</si>
  <si>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</si>
  <si>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</si>
  <si>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</si>
  <si>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</si>
  <si>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</si>
  <si>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</si>
  <si>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</si>
  <si>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</si>
  <si>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</si>
  <si>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</si>
  <si>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</si>
  <si>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</si>
  <si>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</si>
  <si>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</si>
  <si>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</si>
  <si>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</si>
  <si>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</si>
  <si>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</si>
  <si>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</si>
  <si>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</si>
  <si>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</si>
  <si>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</si>
  <si>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</si>
  <si>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</si>
  <si>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</si>
  <si>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</si>
  <si>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</si>
  <si>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</si>
  <si>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</si>
  <si>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</si>
  <si>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</si>
  <si>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</si>
  <si>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</si>
  <si>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</si>
  <si>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</si>
  <si>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</si>
  <si>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</si>
  <si>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</si>
  <si>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</si>
  <si>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</si>
  <si>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</si>
  <si>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</si>
  <si>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</si>
  <si>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</si>
  <si>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</si>
  <si>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</si>
  <si>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</si>
  <si>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</si>
  <si>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</si>
  <si>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</si>
  <si>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</si>
  <si>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</si>
  <si>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</si>
  <si>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</si>
  <si>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</si>
  <si>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</si>
  <si>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</si>
  <si>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</si>
  <si>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</si>
  <si>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</si>
  <si>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</si>
  <si>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</si>
  <si>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</si>
  <si>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</si>
  <si>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</si>
  <si>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</si>
  <si>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</si>
  <si>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</si>
  <si>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</si>
  <si>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</si>
  <si>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</si>
  <si>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</si>
  <si>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</si>
  <si>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</si>
  <si>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</si>
  <si>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</si>
  <si>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</si>
  <si>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</si>
  <si>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</si>
  <si>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</si>
  <si>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</si>
  <si>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</si>
  <si>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</si>
  <si>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</si>
  <si>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</si>
  <si>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</si>
  <si>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</si>
  <si>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</si>
  <si>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</si>
  <si>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</si>
  <si>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</si>
  <si>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</si>
  <si>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</si>
  <si>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</si>
  <si>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</si>
  <si>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</si>
  <si>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</si>
  <si>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</si>
  <si>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</si>
  <si>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</si>
  <si>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</si>
  <si>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</si>
  <si>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</si>
  <si>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</si>
  <si>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</si>
  <si>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</si>
  <si>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</si>
  <si>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</si>
  <si>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</si>
  <si>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</si>
  <si>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</si>
  <si>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</si>
  <si>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</si>
  <si>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</si>
  <si>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</si>
  <si>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</si>
  <si>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</si>
  <si>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</si>
  <si>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</si>
  <si>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</si>
  <si>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</si>
  <si>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</si>
  <si>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</si>
  <si>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</si>
  <si>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</si>
  <si>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</si>
  <si>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</si>
  <si>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</si>
  <si>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</si>
  <si>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</si>
  <si>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</si>
  <si>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</si>
  <si>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</si>
  <si>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</si>
  <si>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</si>
  <si>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</si>
  <si>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</si>
  <si>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</si>
  <si>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</si>
  <si>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</si>
  <si>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</si>
  <si>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</si>
  <si>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</si>
  <si>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</si>
  <si>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</si>
  <si>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</si>
  <si>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</si>
  <si>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</si>
  <si>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</si>
  <si>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</si>
  <si>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</si>
  <si>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</si>
  <si>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</si>
  <si>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</si>
  <si>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</si>
  <si>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</si>
  <si>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</si>
  <si>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</si>
  <si>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</si>
  <si>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</si>
  <si>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</si>
  <si>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</si>
  <si>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</si>
  <si>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</si>
  <si>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</si>
  <si>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</si>
  <si>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</si>
  <si>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</si>
  <si>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</si>
  <si>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</si>
  <si>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</si>
  <si>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</si>
  <si>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</si>
  <si>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</si>
  <si>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</si>
  <si>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</si>
  <si>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</si>
  <si>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</si>
  <si>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</si>
  <si>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</si>
  <si>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</si>
  <si>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</si>
  <si>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</si>
  <si>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</si>
  <si>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</si>
  <si>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</si>
  <si>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</si>
  <si>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</si>
  <si>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</si>
  <si>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</si>
  <si>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</si>
  <si>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</si>
  <si>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</si>
  <si>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</si>
  <si>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</si>
  <si>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</si>
  <si>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</si>
  <si>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</si>
  <si>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</si>
  <si>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</si>
  <si>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</si>
  <si>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</si>
  <si>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</si>
  <si>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</si>
  <si>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</si>
  <si>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</si>
  <si>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</si>
  <si>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</si>
  <si>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</si>
  <si>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</si>
  <si>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</si>
  <si>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</si>
  <si>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</si>
  <si>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</si>
  <si>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</si>
  <si>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</si>
  <si>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</si>
  <si>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</si>
  <si>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</si>
  <si>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</si>
  <si>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</si>
  <si>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</si>
  <si>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</si>
  <si>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</si>
  <si>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</si>
  <si>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</si>
  <si>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</si>
  <si>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</si>
  <si>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</si>
  <si>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</si>
  <si>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</si>
  <si>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</si>
  <si>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</si>
  <si>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</si>
  <si>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</si>
  <si>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</si>
  <si>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</si>
  <si>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</si>
  <si>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</si>
  <si>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</si>
  <si>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</si>
  <si>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</si>
  <si>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</si>
  <si>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</si>
  <si>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</si>
  <si>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</si>
  <si>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</si>
  <si>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</si>
  <si>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</si>
  <si>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</si>
  <si>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</si>
  <si>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</si>
  <si>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</si>
  <si>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</si>
  <si>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</si>
  <si>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</si>
  <si>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</si>
  <si>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</si>
  <si>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</si>
  <si>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</si>
  <si>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</si>
  <si>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</si>
  <si>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</si>
  <si>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</si>
  <si>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</si>
  <si>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</si>
  <si>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</si>
  <si>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</si>
  <si>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</si>
  <si>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</si>
  <si>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</si>
  <si>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</si>
  <si>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</si>
  <si>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</si>
  <si>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</si>
  <si>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</si>
  <si>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</si>
  <si>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</si>
  <si>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</si>
  <si>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</si>
  <si>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</si>
  <si>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</si>
  <si>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</si>
  <si>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</si>
  <si>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</si>
  <si>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</si>
  <si>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</si>
  <si>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</si>
  <si>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</si>
  <si>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</si>
  <si>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</si>
  <si>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</si>
  <si>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</si>
  <si>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</si>
  <si>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</si>
  <si>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</si>
  <si>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</si>
  <si>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</si>
  <si>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</si>
  <si>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</si>
  <si>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</si>
  <si>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</si>
  <si>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</si>
  <si>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</si>
  <si>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</si>
  <si>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</si>
  <si>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</si>
  <si>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</si>
  <si>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</si>
  <si>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</si>
  <si>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</si>
  <si>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</si>
  <si>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</si>
  <si>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</si>
  <si>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</si>
  <si>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</si>
  <si>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</si>
  <si>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</si>
  <si>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</si>
  <si>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</si>
  <si>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</si>
  <si>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</si>
  <si>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</si>
  <si>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</si>
  <si>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</si>
  <si>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</si>
  <si>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</si>
  <si>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</si>
  <si>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</si>
  <si>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</si>
  <si>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</si>
  <si>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</si>
  <si>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</si>
  <si>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</si>
  <si>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</si>
  <si>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</si>
  <si>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</si>
  <si>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</si>
  <si>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</si>
  <si>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</si>
  <si>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</si>
  <si>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</si>
  <si>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</si>
  <si>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</si>
  <si>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</si>
  <si>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</si>
  <si>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</si>
  <si>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</si>
  <si>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</si>
  <si>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</si>
  <si>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</si>
  <si>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</si>
  <si>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</si>
  <si>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</si>
  <si>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</si>
  <si>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</si>
  <si>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</si>
  <si>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</si>
  <si>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</si>
  <si>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</si>
  <si>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</si>
  <si>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</si>
  <si>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</si>
  <si>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</si>
  <si>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</si>
  <si>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</si>
  <si>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</si>
  <si>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</si>
  <si>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</si>
  <si>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</si>
  <si>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</si>
  <si>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</si>
  <si>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</si>
  <si>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</si>
  <si>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</si>
  <si>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</si>
  <si>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</si>
  <si>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</si>
  <si>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</si>
  <si>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</si>
  <si>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</si>
  <si>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</si>
  <si>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</si>
  <si>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</si>
  <si>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</si>
  <si>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</si>
  <si>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</si>
  <si>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</si>
  <si>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</si>
  <si>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</si>
  <si>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</si>
  <si>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</si>
  <si>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</si>
  <si>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</si>
  <si>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</si>
  <si>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</si>
  <si>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</si>
  <si>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</si>
  <si>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</si>
  <si>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</si>
  <si>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</si>
  <si>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</si>
  <si>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</si>
  <si>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</si>
  <si>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</si>
  <si>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</si>
  <si>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</si>
  <si>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</si>
  <si>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</si>
  <si>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</si>
  <si>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</si>
  <si>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</si>
  <si>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</si>
  <si>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</si>
  <si>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</si>
  <si>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</si>
  <si>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</si>
  <si>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</si>
  <si>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</si>
  <si>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</si>
  <si>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</si>
  <si>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</si>
  <si>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</si>
  <si>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</si>
  <si>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</si>
  <si>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</si>
  <si>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</si>
  <si>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</si>
  <si>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</si>
  <si>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</si>
  <si>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</si>
  <si>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</si>
  <si>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</si>
  <si>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</si>
  <si>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</si>
  <si>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</si>
  <si>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</si>
  <si>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</si>
  <si>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</si>
  <si>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</si>
  <si>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</si>
  <si>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</si>
  <si>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</si>
  <si>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</si>
  <si>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</si>
  <si>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</si>
  <si>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</si>
  <si>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</si>
  <si>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</si>
  <si>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</si>
  <si>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</si>
  <si>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</si>
  <si>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</si>
  <si>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</si>
  <si>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</si>
  <si>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</si>
  <si>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</si>
  <si>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</si>
  <si>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</si>
  <si>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</si>
  <si>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</si>
  <si>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</si>
  <si>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</si>
  <si>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</si>
  <si>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</si>
  <si>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</si>
  <si>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</si>
  <si>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</si>
  <si>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</si>
  <si>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</si>
  <si>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</si>
  <si>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</si>
  <si>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</si>
  <si>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</si>
  <si>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</si>
  <si>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</si>
  <si>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</si>
  <si>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</si>
  <si>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</si>
  <si>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</si>
  <si>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</si>
  <si>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</si>
  <si>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</si>
  <si>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</si>
  <si>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</si>
  <si>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</si>
  <si>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</si>
  <si>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</si>
  <si>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</si>
  <si>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</si>
  <si>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</si>
  <si>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</si>
  <si>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</si>
  <si>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</si>
  <si>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</si>
  <si>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</si>
  <si>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</si>
  <si>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</si>
  <si>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</si>
  <si>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</si>
  <si>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</si>
  <si>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</si>
  <si>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</si>
  <si>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</si>
  <si>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</si>
  <si>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</si>
  <si>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</si>
  <si>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</si>
  <si>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</si>
  <si>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</si>
  <si>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</si>
  <si>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</si>
  <si>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</si>
  <si>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</si>
  <si>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</si>
  <si>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</si>
  <si>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</si>
  <si>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</si>
  <si>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</si>
  <si>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</si>
  <si>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</si>
  <si>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</si>
  <si>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</si>
  <si>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</si>
  <si>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</si>
  <si>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</si>
  <si>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</si>
  <si>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</si>
  <si>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</si>
  <si>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</si>
  <si>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</si>
  <si>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</si>
  <si>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</si>
  <si>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</si>
  <si>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</si>
  <si>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</si>
  <si>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</si>
  <si>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</si>
  <si>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</si>
  <si>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</si>
  <si>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</si>
  <si>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</si>
  <si>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</si>
  <si>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</si>
  <si>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</si>
  <si>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</si>
  <si>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</si>
  <si>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</si>
  <si>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</si>
  <si>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</si>
  <si>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</si>
  <si>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</si>
  <si>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</si>
  <si>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</si>
  <si>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</si>
  <si>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</si>
  <si>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</si>
  <si>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</si>
  <si>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</si>
  <si>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</si>
  <si>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</si>
  <si>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</si>
  <si>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</si>
  <si>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</si>
  <si>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</si>
  <si>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</si>
  <si>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</si>
  <si>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</si>
  <si>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</si>
  <si>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</si>
  <si>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</si>
  <si>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</si>
  <si>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</si>
  <si>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</si>
  <si>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</si>
  <si>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</si>
  <si>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</si>
  <si>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</si>
  <si>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</si>
  <si>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</si>
  <si>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</si>
  <si>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</si>
  <si>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</si>
  <si>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</si>
  <si>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</si>
  <si>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</si>
  <si>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</si>
  <si>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</si>
  <si>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</si>
  <si>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</si>
  <si>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</si>
  <si>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</si>
  <si>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</si>
  <si>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</si>
  <si>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</si>
  <si>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</si>
  <si>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</si>
  <si>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</si>
  <si>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</si>
  <si>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</si>
  <si>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</si>
  <si>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</si>
  <si>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</si>
  <si>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</si>
  <si>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</si>
  <si>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</si>
  <si>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</si>
  <si>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</si>
  <si>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</si>
  <si>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</si>
  <si>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</si>
  <si>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</si>
  <si>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</si>
  <si>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</si>
  <si>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</si>
  <si>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</si>
  <si>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</si>
  <si>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</si>
  <si>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</si>
  <si>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</si>
  <si>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</si>
  <si>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</si>
  <si>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</si>
  <si>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</si>
  <si>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</si>
  <si>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</si>
  <si>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</si>
  <si>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</si>
  <si>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</si>
  <si>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</si>
  <si>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</si>
  <si>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</si>
  <si>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</si>
  <si>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</si>
  <si>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</si>
  <si>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</si>
  <si>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</si>
  <si>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</si>
  <si>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</si>
  <si>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</si>
  <si>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</si>
  <si>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</si>
  <si>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</si>
  <si>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</si>
  <si>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</si>
  <si>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</si>
  <si>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</si>
  <si>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</si>
  <si>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</si>
  <si>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</si>
  <si>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</si>
  <si>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</si>
  <si>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</si>
  <si>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</si>
  <si>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</si>
  <si>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</si>
  <si>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</si>
  <si>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</si>
  <si>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</si>
  <si>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</si>
  <si>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</si>
  <si>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</si>
  <si>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</si>
  <si>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</si>
  <si>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</si>
  <si>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</si>
  <si>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</si>
  <si>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</si>
  <si>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</si>
  <si>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</si>
  <si>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</si>
  <si>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</si>
  <si>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</si>
  <si>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</si>
  <si>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</si>
  <si>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</si>
  <si>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</si>
  <si>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</si>
  <si>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</si>
  <si>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</si>
  <si>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</si>
  <si>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</si>
  <si>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</si>
  <si>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</si>
  <si>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</si>
  <si>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</si>
  <si>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</si>
  <si>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</si>
  <si>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</si>
  <si>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</si>
  <si>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</si>
  <si>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</si>
  <si>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</si>
  <si>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</si>
  <si>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</si>
  <si>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</si>
  <si>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</si>
  <si>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</si>
  <si>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</si>
  <si>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</si>
  <si>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</si>
  <si>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</si>
  <si>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</si>
  <si>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</si>
  <si>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</si>
  <si>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</si>
  <si>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</si>
  <si>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</si>
  <si>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</si>
  <si>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</si>
  <si>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</si>
  <si>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</si>
  <si>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</si>
  <si>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</si>
  <si>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</si>
  <si>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</si>
  <si>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</si>
  <si>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</si>
  <si>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</si>
  <si>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</si>
  <si>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</si>
  <si>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</si>
  <si>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</si>
  <si>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</si>
  <si>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</si>
  <si>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</si>
  <si>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</si>
  <si>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</si>
  <si>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</si>
  <si>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</si>
  <si>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</si>
  <si>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</si>
  <si>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</si>
  <si>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</si>
  <si>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</si>
  <si>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</si>
  <si>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</si>
  <si>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</si>
  <si>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</si>
  <si>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</si>
  <si>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</si>
  <si>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</si>
  <si>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</si>
  <si>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</si>
  <si>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</si>
  <si>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</si>
  <si>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</si>
  <si>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</si>
  <si>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</si>
  <si>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</si>
  <si>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</si>
  <si>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</si>
  <si>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</si>
  <si>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</si>
  <si>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</si>
  <si>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</si>
  <si>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</si>
  <si>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</si>
  <si>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</si>
  <si>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</si>
  <si>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</si>
  <si>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</si>
  <si>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</si>
  <si>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</si>
  <si>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</si>
  <si>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</si>
  <si>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</si>
  <si>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</si>
  <si>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</si>
  <si>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</si>
  <si>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</si>
  <si>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</si>
  <si>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</si>
  <si>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</si>
  <si>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</si>
  <si>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</si>
  <si>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</si>
  <si>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</si>
  <si>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</si>
  <si>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</si>
  <si>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</si>
  <si>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</si>
  <si>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</si>
  <si>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</si>
  <si>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</si>
  <si>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</si>
  <si>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</si>
  <si>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</si>
  <si>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</si>
  <si>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</si>
  <si>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</si>
  <si>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</si>
  <si>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</si>
  <si>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</si>
  <si>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</si>
  <si>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</si>
  <si>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</si>
  <si>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</si>
  <si>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</si>
  <si>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</si>
  <si>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</si>
  <si>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</si>
  <si>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</si>
  <si>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</si>
  <si>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</si>
  <si>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</si>
  <si>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</si>
  <si>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</si>
  <si>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</si>
  <si>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</si>
  <si>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</si>
  <si>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</si>
  <si>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</si>
  <si>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</si>
  <si>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</si>
  <si>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</si>
  <si>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</si>
  <si>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</si>
  <si>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</si>
  <si>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</si>
  <si>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</si>
  <si>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</si>
  <si>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</si>
  <si>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</si>
  <si>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</si>
  <si>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</si>
  <si>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</si>
  <si>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</si>
  <si>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</si>
  <si>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</si>
  <si>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</si>
  <si>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</si>
  <si>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</si>
  <si>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</si>
  <si>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</si>
  <si>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</si>
  <si>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</si>
  <si>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</si>
  <si>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</si>
  <si>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</si>
  <si>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</si>
  <si>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</si>
  <si>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</si>
  <si>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</si>
  <si>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</si>
  <si>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</si>
  <si>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</si>
  <si>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</si>
  <si>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</si>
  <si>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</si>
  <si>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</si>
  <si>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</si>
  <si>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</si>
  <si>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</si>
  <si>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</si>
  <si>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</si>
  <si>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</si>
  <si>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</si>
  <si>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</si>
  <si>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</si>
  <si>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</si>
  <si>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</si>
  <si>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</si>
  <si>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</si>
  <si>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</si>
  <si>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</si>
  <si>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</si>
  <si>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</si>
  <si>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</si>
  <si>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</si>
  <si>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</si>
  <si>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</si>
  <si>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</si>
  <si>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</si>
  <si>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</si>
  <si>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</si>
  <si>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</si>
  <si>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</si>
  <si>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</si>
  <si>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</si>
  <si>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</si>
  <si>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</si>
  <si>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</si>
  <si>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</si>
  <si>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</si>
  <si>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</si>
  <si>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</si>
  <si>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</si>
  <si>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</si>
  <si>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</si>
  <si>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</si>
  <si>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</si>
  <si>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</si>
  <si>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</si>
  <si>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</si>
  <si>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</si>
  <si>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</si>
  <si>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</si>
  <si>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</si>
  <si>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</si>
  <si>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</si>
  <si>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</si>
  <si>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</si>
  <si>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</si>
  <si>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</si>
  <si>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</si>
  <si>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</si>
  <si>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</si>
  <si>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</si>
  <si>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</si>
  <si>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</si>
  <si>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</si>
  <si>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</si>
  <si>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</si>
  <si>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</si>
  <si>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</si>
  <si>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</si>
  <si>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</si>
  <si>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</si>
  <si>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</si>
  <si>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</si>
  <si>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</si>
  <si>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</si>
  <si>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</si>
  <si>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</si>
  <si>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</si>
  <si>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</si>
  <si>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</si>
  <si>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</si>
  <si>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</si>
  <si>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</si>
  <si>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</si>
  <si>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</si>
  <si>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</si>
  <si>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</si>
  <si>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</si>
  <si>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</si>
  <si>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</si>
  <si>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</si>
  <si>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</si>
  <si>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</si>
  <si>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</si>
  <si>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</si>
  <si>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</si>
  <si>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</si>
  <si>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</si>
  <si>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</si>
  <si>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</si>
  <si>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</si>
  <si>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</si>
  <si>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</si>
  <si>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</si>
  <si>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</si>
  <si>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</si>
  <si>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</si>
  <si>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</si>
  <si>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</si>
  <si>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</si>
  <si>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</si>
  <si>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</si>
  <si>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</si>
  <si>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</si>
  <si>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</si>
  <si>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</si>
  <si>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</si>
  <si>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</si>
  <si>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</si>
  <si>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</si>
  <si>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</si>
  <si>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</si>
  <si>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</si>
  <si>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</si>
  <si>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</si>
  <si>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</si>
  <si>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</si>
  <si>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</si>
  <si>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</si>
  <si>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</si>
  <si>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</si>
  <si>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</si>
  <si>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</si>
  <si>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</si>
  <si>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</si>
  <si>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</si>
  <si>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</si>
  <si>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</si>
  <si>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</si>
  <si>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</si>
  <si>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</si>
  <si>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</si>
  <si>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</si>
  <si>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</si>
  <si>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</si>
  <si>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</si>
  <si>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</si>
  <si>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</si>
  <si>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</si>
  <si>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</si>
  <si>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</si>
  <si>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</si>
  <si>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</si>
  <si>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</si>
  <si>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</si>
  <si>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</si>
  <si>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</si>
  <si>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</si>
  <si>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</si>
  <si>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</si>
  <si>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</si>
  <si>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</si>
  <si>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</si>
  <si>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</si>
  <si>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</si>
  <si>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</si>
  <si>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</si>
  <si>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</si>
  <si>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</si>
  <si>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</si>
  <si>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</si>
  <si>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</si>
  <si>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</si>
  <si>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</si>
  <si>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</si>
  <si>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</si>
  <si>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</si>
  <si>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</si>
  <si>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</si>
  <si>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</si>
  <si>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</si>
  <si>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</si>
  <si>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</si>
  <si>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</si>
  <si>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</si>
  <si>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</si>
  <si>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</si>
  <si>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</si>
  <si>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</si>
  <si>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</si>
  <si>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</si>
  <si>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</si>
  <si>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</si>
  <si>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</si>
  <si>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</si>
  <si>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</si>
  <si>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</si>
  <si>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</si>
  <si>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</si>
  <si>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</si>
  <si>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</si>
  <si>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</si>
  <si>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</si>
  <si>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</si>
  <si>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</si>
  <si>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</si>
  <si>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</si>
  <si>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</si>
  <si>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</si>
  <si>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</si>
  <si>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</si>
  <si>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</si>
  <si>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</si>
  <si>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</si>
  <si>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</si>
  <si>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</si>
  <si>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</si>
  <si>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</si>
  <si>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</si>
  <si>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</si>
  <si>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</si>
  <si>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</si>
  <si>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</si>
  <si>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</si>
  <si>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</si>
  <si>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</si>
  <si>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</si>
  <si>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</si>
  <si>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</si>
  <si>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</si>
  <si>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</si>
  <si>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</si>
  <si>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</si>
  <si>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</si>
  <si>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</si>
  <si>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</si>
  <si>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</si>
  <si>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</si>
  <si>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</si>
  <si>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</si>
  <si>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</si>
  <si>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</si>
  <si>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</si>
  <si>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</si>
  <si>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</si>
  <si>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</si>
  <si>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</si>
  <si>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</si>
  <si>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</si>
  <si>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</si>
  <si>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</si>
  <si>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</si>
  <si>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</si>
  <si>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</si>
  <si>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</si>
  <si>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</si>
  <si>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</si>
  <si>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</si>
  <si>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</si>
  <si>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</si>
  <si>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</si>
  <si>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</si>
  <si>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</si>
  <si>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</si>
  <si>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</si>
  <si>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</si>
  <si>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</si>
  <si>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</si>
  <si>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</si>
  <si>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</si>
  <si>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</si>
  <si>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</si>
  <si>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</si>
  <si>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</si>
  <si>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</si>
  <si>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</si>
  <si>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</si>
  <si>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</si>
  <si>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</si>
  <si>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</si>
  <si>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</si>
  <si>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</si>
  <si>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</si>
  <si>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</si>
  <si>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</si>
  <si>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</si>
  <si>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</si>
  <si>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</si>
  <si>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</si>
  <si>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</si>
  <si>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</si>
  <si>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</si>
  <si>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</si>
  <si>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</si>
  <si>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</si>
  <si>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</si>
  <si>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</si>
  <si>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</si>
  <si>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</si>
  <si>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</si>
  <si>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</si>
  <si>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</si>
  <si>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</si>
  <si>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</si>
  <si>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</si>
  <si>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</si>
  <si>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</si>
  <si>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</si>
  <si>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</si>
  <si>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</si>
  <si>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</si>
  <si>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</si>
  <si>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</si>
  <si>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</si>
  <si>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</si>
  <si>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</si>
  <si>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</si>
  <si>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</si>
  <si>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</si>
  <si>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</si>
  <si>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</si>
  <si>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</si>
  <si>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</si>
  <si>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</si>
  <si>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</si>
  <si>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</si>
  <si>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</si>
  <si>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</si>
  <si>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</si>
  <si>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</si>
  <si>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</si>
  <si>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</si>
  <si>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</si>
  <si>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</si>
  <si>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</si>
  <si>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</si>
  <si>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</si>
  <si>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</si>
  <si>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</si>
  <si>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</si>
  <si>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</si>
  <si>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</si>
  <si>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</si>
  <si>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</si>
  <si>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</si>
  <si>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</si>
  <si>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</si>
  <si>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</si>
  <si>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</si>
  <si>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</si>
  <si>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</si>
  <si>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</si>
  <si>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</si>
  <si>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</si>
  <si>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</si>
  <si>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</si>
  <si>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</si>
  <si>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</si>
  <si>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</si>
  <si>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</si>
  <si>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</si>
  <si>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</si>
  <si>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</si>
  <si>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</si>
  <si>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</si>
  <si>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</si>
  <si>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</si>
  <si>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</si>
  <si>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</si>
  <si>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</si>
  <si>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</si>
  <si>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</si>
  <si>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</si>
  <si>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</si>
  <si>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</si>
  <si>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</si>
  <si>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</si>
  <si>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</si>
  <si>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</si>
  <si>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</si>
  <si>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</si>
  <si>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</si>
  <si>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</si>
  <si>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</si>
  <si>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</si>
  <si>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</si>
  <si>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</si>
  <si>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</si>
  <si>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</si>
  <si>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</si>
  <si>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</si>
  <si>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</si>
  <si>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</si>
  <si>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</si>
  <si>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</si>
  <si>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</si>
  <si>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</si>
  <si>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</si>
  <si>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</si>
  <si>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</si>
  <si>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</si>
  <si>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</si>
  <si>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</si>
  <si>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</si>
  <si>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</si>
  <si>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</si>
  <si>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</si>
  <si>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</si>
  <si>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</si>
  <si>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</si>
  <si>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</si>
  <si>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</si>
  <si>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</si>
  <si>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</si>
  <si>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</si>
  <si>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</si>
  <si>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</si>
  <si>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</si>
  <si>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</si>
  <si>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</si>
  <si>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</si>
  <si>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</si>
  <si>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</si>
  <si>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</si>
  <si>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</si>
  <si>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</si>
  <si>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</si>
  <si>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</si>
  <si>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</si>
  <si>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</si>
  <si>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</si>
  <si>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</si>
  <si>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</si>
  <si>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</si>
  <si>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</si>
  <si>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</si>
  <si>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</si>
  <si>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</si>
  <si>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</si>
  <si>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</si>
  <si>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</si>
  <si>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</si>
  <si>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</si>
  <si>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</si>
  <si>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</si>
  <si>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</si>
  <si>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</si>
  <si>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</si>
  <si>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</si>
  <si>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</si>
  <si>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</si>
  <si>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</si>
  <si>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</si>
  <si>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</si>
  <si>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</si>
  <si>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</si>
  <si>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</si>
  <si>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</si>
  <si>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</si>
  <si>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</si>
  <si>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</si>
  <si>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</si>
  <si>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</si>
  <si>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</si>
  <si>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</si>
  <si>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</si>
  <si>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</si>
  <si>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</si>
  <si>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</si>
  <si>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</si>
  <si>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</si>
  <si>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</si>
  <si>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</si>
  <si>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</si>
  <si>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</si>
  <si>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</si>
  <si>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</si>
  <si>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</si>
  <si>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</si>
  <si>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</si>
  <si>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</si>
  <si>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</si>
  <si>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</si>
  <si>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</si>
  <si>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</si>
  <si>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</si>
  <si>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</si>
  <si>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</si>
  <si>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</si>
  <si>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</si>
  <si>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</si>
  <si>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</si>
  <si>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</si>
  <si>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</si>
  <si>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</si>
  <si>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</si>
  <si>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</si>
  <si>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</si>
  <si>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</si>
  <si>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</si>
  <si>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</si>
  <si>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</si>
  <si>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</si>
  <si>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</si>
  <si>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</si>
  <si>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</si>
  <si>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</si>
  <si>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</si>
  <si>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</si>
  <si>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</si>
  <si>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</si>
  <si>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</si>
  <si>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</si>
  <si>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</si>
  <si>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</si>
  <si>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</si>
  <si>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</si>
  <si>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</si>
  <si>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</si>
  <si>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</si>
  <si>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</si>
  <si>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</si>
  <si>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</si>
  <si>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</si>
  <si>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</si>
  <si>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</si>
  <si>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</si>
  <si>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</si>
  <si>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</si>
  <si>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</si>
  <si>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</si>
  <si>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</si>
  <si>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</si>
  <si>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</si>
  <si>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</si>
  <si>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</si>
  <si>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</si>
  <si>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</si>
  <si>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</si>
  <si>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</si>
  <si>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</si>
  <si>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</si>
  <si>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</si>
  <si>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</si>
  <si>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</si>
  <si>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</si>
  <si>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</si>
  <si>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</si>
  <si>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</si>
  <si>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</si>
  <si>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</si>
  <si>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</si>
  <si>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</si>
  <si>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</si>
  <si>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</si>
  <si>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</si>
  <si>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</si>
  <si>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</si>
  <si>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</si>
  <si>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</si>
  <si>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</si>
  <si>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</si>
  <si>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</si>
  <si>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</si>
  <si>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</si>
  <si>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</si>
  <si>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</si>
  <si>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</si>
  <si>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</si>
  <si>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</si>
  <si>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</si>
  <si>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</si>
  <si>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</si>
  <si>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</si>
  <si>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</si>
  <si>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</si>
  <si>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</si>
  <si>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</si>
  <si>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</si>
  <si>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</si>
  <si>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</si>
  <si>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</si>
  <si>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</si>
  <si>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</si>
  <si>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</si>
  <si>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</si>
  <si>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</si>
  <si>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</si>
  <si>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</si>
  <si>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</si>
  <si>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</si>
  <si>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</si>
  <si>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</si>
  <si>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</si>
  <si>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</si>
  <si>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</si>
  <si>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</si>
  <si>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</si>
  <si>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</si>
  <si>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</si>
  <si>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</si>
  <si>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</si>
  <si>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</si>
  <si>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</si>
  <si>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</si>
  <si>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</si>
  <si>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</si>
  <si>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</si>
  <si>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</si>
  <si>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</si>
  <si>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</si>
  <si>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</si>
  <si>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</si>
  <si>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</si>
  <si>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</si>
  <si>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</si>
  <si>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</si>
  <si>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</si>
  <si>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</si>
  <si>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</si>
  <si>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</si>
  <si>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</si>
  <si>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</si>
  <si>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</si>
  <si>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</si>
  <si>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</si>
  <si>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</si>
  <si>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</si>
  <si>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</si>
  <si>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</si>
  <si>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</si>
  <si>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</si>
  <si>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</si>
  <si>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</si>
  <si>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</si>
  <si>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</si>
  <si>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</si>
  <si>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</si>
  <si>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</si>
  <si>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</si>
  <si>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</si>
  <si>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</si>
  <si>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</si>
  <si>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</si>
  <si>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</si>
  <si>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</si>
  <si>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</si>
  <si>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</si>
  <si>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</si>
  <si>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</si>
  <si>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</si>
  <si>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</si>
  <si>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</si>
  <si>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</si>
  <si>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</si>
  <si>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</si>
  <si>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</si>
  <si>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</si>
  <si>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</si>
  <si>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</si>
  <si>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</si>
  <si>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</si>
  <si>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</si>
  <si>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</si>
  <si>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</si>
  <si>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</si>
  <si>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</si>
  <si>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</si>
  <si>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</si>
  <si>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</si>
  <si>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</si>
  <si>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</si>
  <si>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</si>
  <si>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</si>
  <si>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</si>
  <si>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</si>
  <si>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</si>
  <si>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</si>
  <si>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</si>
  <si>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</si>
  <si>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</si>
  <si>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</si>
  <si>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</si>
  <si>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</si>
  <si>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</si>
  <si>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</si>
  <si>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</si>
  <si>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</si>
  <si>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</si>
  <si>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</si>
  <si>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</si>
  <si>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</si>
  <si>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</si>
  <si>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</si>
  <si>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</si>
  <si>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</si>
  <si>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</si>
  <si>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</si>
  <si>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</si>
  <si>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</si>
  <si>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</si>
  <si>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</si>
  <si>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</si>
  <si>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</si>
  <si>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</si>
  <si>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</si>
  <si>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</si>
  <si>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</si>
  <si>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</si>
  <si>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</si>
  <si>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</si>
  <si>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</si>
  <si>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</si>
  <si>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</si>
  <si>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</si>
  <si>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</si>
  <si>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</si>
  <si>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</si>
  <si>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</si>
  <si>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</si>
  <si>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</si>
  <si>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</si>
  <si>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</si>
  <si>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</si>
  <si>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</si>
  <si>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</si>
  <si>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</si>
  <si>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</si>
  <si>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</si>
  <si>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</si>
  <si>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</si>
  <si>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</si>
  <si>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</si>
  <si>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</si>
  <si>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</si>
  <si>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</si>
  <si>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</si>
  <si>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</si>
  <si>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</si>
  <si>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</si>
  <si>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</si>
  <si>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</si>
  <si>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</si>
  <si>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</si>
  <si>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</si>
  <si>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</si>
  <si>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</si>
  <si>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</si>
  <si>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</si>
  <si>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</si>
  <si>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</si>
  <si>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</si>
  <si>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</si>
  <si>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</si>
  <si>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</si>
  <si>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</si>
  <si>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</si>
  <si>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</si>
  <si>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</si>
  <si>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</si>
  <si>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</si>
  <si>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</si>
  <si>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</si>
  <si>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</si>
  <si>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</si>
  <si>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</si>
  <si>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</si>
  <si>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</si>
  <si>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</si>
  <si>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</si>
  <si>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</si>
  <si>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</si>
  <si>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</si>
  <si>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</si>
  <si>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</si>
  <si>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</si>
  <si>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</si>
  <si>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</si>
  <si>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</si>
  <si>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</si>
  <si>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</si>
  <si>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</si>
  <si>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</si>
  <si>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</si>
  <si>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</si>
  <si>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</si>
  <si>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</si>
  <si>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</si>
  <si>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</si>
  <si>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</si>
  <si>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</si>
  <si>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</si>
  <si>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</si>
  <si>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</si>
  <si>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</si>
  <si>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</si>
  <si>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</si>
  <si>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</si>
  <si>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</si>
  <si>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</si>
  <si>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</si>
  <si>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</si>
  <si>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</si>
  <si>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</si>
  <si>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</si>
  <si>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</si>
  <si>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</si>
  <si>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</si>
  <si>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</si>
  <si>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</si>
  <si>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</si>
  <si>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</si>
  <si>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</si>
  <si>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</si>
  <si>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</si>
  <si>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</si>
  <si>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</si>
  <si>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</si>
  <si>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</si>
  <si>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</si>
  <si>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</si>
  <si>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</si>
  <si>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</si>
  <si>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</si>
  <si>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</si>
  <si>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</si>
  <si>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</si>
  <si>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</si>
  <si>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</si>
  <si>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</si>
  <si>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</si>
  <si>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</si>
  <si>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</si>
  <si>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</si>
  <si>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</si>
  <si>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</si>
  <si>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</si>
  <si>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</si>
  <si>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</si>
  <si>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</si>
  <si>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</si>
  <si>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</si>
  <si>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</si>
  <si>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</si>
  <si>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</si>
  <si>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</si>
  <si>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</si>
  <si>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</si>
  <si>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</si>
  <si>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</si>
  <si>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</si>
  <si>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</si>
  <si>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</si>
  <si>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</si>
  <si>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</si>
  <si>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</si>
  <si>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</si>
  <si>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</si>
  <si>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</si>
  <si>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</si>
  <si>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</si>
  <si>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</si>
  <si>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</si>
  <si>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</si>
  <si>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</si>
  <si>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</si>
  <si>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</si>
  <si>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</si>
  <si>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</si>
  <si>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</si>
  <si>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</si>
  <si>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</si>
  <si>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</si>
  <si>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</si>
  <si>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</si>
  <si>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</si>
  <si>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</si>
  <si>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</si>
  <si>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</si>
  <si>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</si>
  <si>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</si>
  <si>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</si>
  <si>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</si>
  <si>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</si>
  <si>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</si>
  <si>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</si>
  <si>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</si>
  <si>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</si>
  <si>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</si>
  <si>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</si>
  <si>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</si>
  <si>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</si>
  <si>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</si>
  <si>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</si>
  <si>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</si>
  <si>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</si>
  <si>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</si>
  <si>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</si>
  <si>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</si>
  <si>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</si>
  <si>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</si>
  <si>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</si>
  <si>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</si>
  <si>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</si>
  <si>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</si>
  <si>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</si>
  <si>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</si>
  <si>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</si>
  <si>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</si>
  <si>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</si>
  <si>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</si>
  <si>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</si>
  <si>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</si>
  <si>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</si>
  <si>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</si>
  <si>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</si>
  <si>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</si>
  <si>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</si>
  <si>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</si>
  <si>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</si>
  <si>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</si>
  <si>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</si>
  <si>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</si>
  <si>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</si>
  <si>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</si>
  <si>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</si>
  <si>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</si>
  <si>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</si>
  <si>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</si>
  <si>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</si>
  <si>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</si>
  <si>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</si>
  <si>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</si>
  <si>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</si>
  <si>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</si>
  <si>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</si>
  <si>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</si>
  <si>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</si>
  <si>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</si>
  <si>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</si>
  <si>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</si>
  <si>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</si>
  <si>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</si>
  <si>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</si>
  <si>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</si>
  <si>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</si>
  <si>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</si>
  <si>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</si>
  <si>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</si>
  <si>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</si>
  <si>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</si>
  <si>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</si>
  <si>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</si>
  <si>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</si>
  <si>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</si>
  <si>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</si>
  <si>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</si>
  <si>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</si>
  <si>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</si>
  <si>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</si>
  <si>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</si>
  <si>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</si>
  <si>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</si>
  <si>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</si>
  <si>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</si>
  <si>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</si>
  <si>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</si>
  <si>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</si>
  <si>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</si>
  <si>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</si>
  <si>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</si>
  <si>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</si>
  <si>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</si>
  <si>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</si>
  <si>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</si>
  <si>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</si>
  <si>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</si>
  <si>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</si>
  <si>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</si>
  <si>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</si>
  <si>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</si>
  <si>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</si>
  <si>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</si>
  <si>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</si>
  <si>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</si>
  <si>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</si>
  <si>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</si>
  <si>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</si>
  <si>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</si>
  <si>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</si>
  <si>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</si>
  <si>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</si>
  <si>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</si>
  <si>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</si>
  <si>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</si>
  <si>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</si>
  <si>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</si>
  <si>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</si>
  <si>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</si>
  <si>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</si>
  <si>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</si>
  <si>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</si>
  <si>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</si>
  <si>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</si>
  <si>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</si>
  <si>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</si>
  <si>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</si>
  <si>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</si>
  <si>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</si>
  <si>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</si>
  <si>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</si>
  <si>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</si>
  <si>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</si>
  <si>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</si>
  <si>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</si>
  <si>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</si>
  <si>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</si>
  <si>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</si>
  <si>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</si>
  <si>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</si>
  <si>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</si>
  <si>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</si>
  <si>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</si>
  <si>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</si>
  <si>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</si>
  <si>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</si>
  <si>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</si>
  <si>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</si>
  <si>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</si>
  <si>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</si>
  <si>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</si>
  <si>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</si>
  <si>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</si>
  <si>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</si>
  <si>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</si>
  <si>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</si>
  <si>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</si>
  <si>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</si>
  <si>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</si>
  <si>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</si>
  <si>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</si>
  <si>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</si>
  <si>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</si>
  <si>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</si>
  <si>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</si>
  <si>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</si>
  <si>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</si>
  <si>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</si>
  <si>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</si>
  <si>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</si>
  <si>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</si>
  <si>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</si>
  <si>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</si>
  <si>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</si>
  <si>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</si>
  <si>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</si>
  <si>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</si>
  <si>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</si>
  <si>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</si>
  <si>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</si>
  <si>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</si>
  <si>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</si>
  <si>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</si>
  <si>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</si>
  <si>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</si>
  <si>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</si>
  <si>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</si>
  <si>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</si>
  <si>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</si>
  <si>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</si>
  <si>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</si>
  <si>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</si>
  <si>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</si>
  <si>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</si>
  <si>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</si>
  <si>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</si>
  <si>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</si>
  <si>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</si>
  <si>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</si>
  <si>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</si>
  <si>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</si>
  <si>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</si>
  <si>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</si>
  <si>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</si>
  <si>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</si>
  <si>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</si>
  <si>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</si>
  <si>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</si>
  <si>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</si>
  <si>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</si>
  <si>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</si>
  <si>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</si>
  <si>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</si>
  <si>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</si>
  <si>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</si>
  <si>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</si>
  <si>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</si>
  <si>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</si>
  <si>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</si>
  <si>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</si>
  <si>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</si>
  <si>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</si>
  <si>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</si>
  <si>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</si>
  <si>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</si>
  <si>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</si>
  <si>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</si>
  <si>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</si>
  <si>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</si>
  <si>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</si>
  <si>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</si>
  <si>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</si>
  <si>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</si>
  <si>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</si>
  <si>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</si>
  <si>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</si>
  <si>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</si>
  <si>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</si>
  <si>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</si>
  <si>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</si>
  <si>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</si>
  <si>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</si>
  <si>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</si>
  <si>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</si>
  <si>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</si>
  <si>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</si>
  <si>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</si>
  <si>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</si>
  <si>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</si>
  <si>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</si>
  <si>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</si>
  <si>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</si>
  <si>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</si>
  <si>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</si>
  <si>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</si>
  <si>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</si>
  <si>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</si>
  <si>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</si>
  <si>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</si>
  <si>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</si>
  <si>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</si>
  <si>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</si>
  <si>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</si>
  <si>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</si>
  <si>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</si>
  <si>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</si>
  <si>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</si>
  <si>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</si>
  <si>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</si>
  <si>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</si>
  <si>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</si>
  <si>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</si>
  <si>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</si>
  <si>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</si>
  <si>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</si>
  <si>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</si>
  <si>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</si>
  <si>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</si>
  <si>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</si>
  <si>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</si>
  <si>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</si>
  <si>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</si>
  <si>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</si>
  <si>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</si>
  <si>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</si>
  <si>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</si>
  <si>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</si>
  <si>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</si>
  <si>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</si>
  <si>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</si>
  <si>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</si>
  <si>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</si>
  <si>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</si>
  <si>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</si>
  <si>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</si>
  <si>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</si>
  <si>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</si>
  <si>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</si>
  <si>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</si>
  <si>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</si>
  <si>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</si>
  <si>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</si>
  <si>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</si>
  <si>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</si>
  <si>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</si>
  <si>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</si>
  <si>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</si>
  <si>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</si>
  <si>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</si>
  <si>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</si>
  <si>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</si>
  <si>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</si>
  <si>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</si>
  <si>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</si>
  <si>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</si>
  <si>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</si>
  <si>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</si>
  <si>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</si>
  <si>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</si>
  <si>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</si>
  <si>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</si>
  <si>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</si>
  <si>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</si>
  <si>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</si>
  <si>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</si>
  <si>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</si>
  <si>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</si>
  <si>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</si>
  <si>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</si>
  <si>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</si>
  <si>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</si>
  <si>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</si>
  <si>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</si>
  <si>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</si>
  <si>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</si>
  <si>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</si>
  <si>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</si>
  <si>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</si>
  <si>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</si>
  <si>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</si>
  <si>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</si>
  <si>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</si>
  <si>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</si>
  <si>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</si>
  <si>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</si>
  <si>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</si>
  <si>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</si>
  <si>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</si>
  <si>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</si>
  <si>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</si>
  <si>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</si>
  <si>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</si>
  <si>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</si>
  <si>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</si>
  <si>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</si>
  <si>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</si>
  <si>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</si>
  <si>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</si>
  <si>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</si>
  <si>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</si>
  <si>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</si>
  <si>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</si>
  <si>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</si>
  <si>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</si>
  <si>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</si>
  <si>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</si>
  <si>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</si>
  <si>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</si>
  <si>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</si>
  <si>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</si>
  <si>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</si>
  <si>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</si>
  <si>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</si>
  <si>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</si>
  <si>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</si>
  <si>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</si>
  <si>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</si>
  <si>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</si>
  <si>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</si>
  <si>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</si>
  <si>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</si>
  <si>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</si>
  <si>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</si>
  <si>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</si>
  <si>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</si>
  <si>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</si>
  <si>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</si>
  <si>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</si>
  <si>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</si>
  <si>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</si>
  <si>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</si>
  <si>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</si>
  <si>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</si>
  <si>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</si>
  <si>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</si>
  <si>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</si>
  <si>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</si>
  <si>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</si>
  <si>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</si>
  <si>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</si>
  <si>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</si>
  <si>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</si>
  <si>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</si>
  <si>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</si>
  <si>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</si>
  <si>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</si>
  <si>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</si>
  <si>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</si>
  <si>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</si>
  <si>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</si>
  <si>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</si>
  <si>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</si>
  <si>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</si>
  <si>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</si>
  <si>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</si>
  <si>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</si>
  <si>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</si>
  <si>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</si>
  <si>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</si>
  <si>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</si>
  <si>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</si>
  <si>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</si>
  <si>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</si>
  <si>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</si>
  <si>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</si>
  <si>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</si>
  <si>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</si>
  <si>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</si>
  <si>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</si>
  <si>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</si>
  <si>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</si>
  <si>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</si>
  <si>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</si>
  <si>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</si>
  <si>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</si>
  <si>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</si>
  <si>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</si>
  <si>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</si>
  <si>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</si>
  <si>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</si>
  <si>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</si>
  <si>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</si>
  <si>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</si>
  <si>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</si>
  <si>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</si>
  <si>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</si>
  <si>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</si>
  <si>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</si>
  <si>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</si>
  <si>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</si>
  <si>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</si>
  <si>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</si>
  <si>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</si>
  <si>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</si>
  <si>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</si>
  <si>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</si>
  <si>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</si>
  <si>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</si>
  <si>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</si>
  <si>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</si>
  <si>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</si>
  <si>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</si>
  <si>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</si>
  <si>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</si>
  <si>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</si>
  <si>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</si>
  <si>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</si>
  <si>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</si>
  <si>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</si>
  <si>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</si>
  <si>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</si>
  <si>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</si>
  <si>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</si>
  <si>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</si>
  <si>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</si>
  <si>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</si>
  <si>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</si>
  <si>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</si>
  <si>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</si>
  <si>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</si>
  <si>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</si>
  <si>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</si>
  <si>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</si>
  <si>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</si>
  <si>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</si>
  <si>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</si>
  <si>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</si>
  <si>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</si>
  <si>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</si>
  <si>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</si>
  <si>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</si>
  <si>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</si>
  <si>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</si>
  <si>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</si>
  <si>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</si>
  <si>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</si>
  <si>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</si>
  <si>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</si>
  <si>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</si>
  <si>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</si>
  <si>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</si>
  <si>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</si>
  <si>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</si>
  <si>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</si>
  <si>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</si>
  <si>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</si>
  <si>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</si>
  <si>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</si>
  <si>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</si>
  <si>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</si>
  <si>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</si>
  <si>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</si>
  <si>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</si>
  <si>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</si>
  <si>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</si>
  <si>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</si>
  <si>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</si>
  <si>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</si>
  <si>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</si>
  <si>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</si>
  <si>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</si>
  <si>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</si>
  <si>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</si>
  <si>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</si>
  <si>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</si>
  <si>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</si>
  <si>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</si>
  <si>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</si>
  <si>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</si>
  <si>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</si>
  <si>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</si>
  <si>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</si>
  <si>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</si>
  <si>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</si>
  <si>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</si>
  <si>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</si>
  <si>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</si>
  <si>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</si>
  <si>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</si>
  <si>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</si>
  <si>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</si>
  <si>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</si>
  <si>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</si>
  <si>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</si>
  <si>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</si>
  <si>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</si>
  <si>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</si>
  <si>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</si>
  <si>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</si>
  <si>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</si>
  <si>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</si>
  <si>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</si>
  <si>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</si>
  <si>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</si>
  <si>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</si>
  <si>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</si>
  <si>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</si>
  <si>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</si>
  <si>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</si>
  <si>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</si>
  <si>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</si>
  <si>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</si>
  <si>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</si>
  <si>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</si>
  <si>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</si>
  <si>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</si>
  <si>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</si>
  <si>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</si>
  <si>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</si>
  <si>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</si>
  <si>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</si>
  <si>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</si>
  <si>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</si>
  <si>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</si>
  <si>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</si>
  <si>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</si>
  <si>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</si>
  <si>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</si>
  <si>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</si>
  <si>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</si>
  <si>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</si>
  <si>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</si>
  <si>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</si>
  <si>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</si>
  <si>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</si>
  <si>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</si>
  <si>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</si>
  <si>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</si>
  <si>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</si>
  <si>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</si>
  <si>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</si>
  <si>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</si>
  <si>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</si>
  <si>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</si>
  <si>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</si>
  <si>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</si>
  <si>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</si>
  <si>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</si>
  <si>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</si>
  <si>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</si>
  <si>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</si>
  <si>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</si>
  <si>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</si>
  <si>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</si>
  <si>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</si>
  <si>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</si>
  <si>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</si>
  <si>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</si>
  <si>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</si>
  <si>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</si>
  <si>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</si>
  <si>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</si>
  <si>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</si>
  <si>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</si>
  <si>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</si>
  <si>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</si>
  <si>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</si>
  <si>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</si>
  <si>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</si>
  <si>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</si>
  <si>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</si>
  <si>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</si>
  <si>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</si>
  <si>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</si>
  <si>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</si>
  <si>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</si>
  <si>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</si>
  <si>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</si>
  <si>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</si>
  <si>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</si>
  <si>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</si>
  <si>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</si>
  <si>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</si>
  <si>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</si>
  <si>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</si>
  <si>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</si>
  <si>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</si>
  <si>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</si>
  <si>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</si>
  <si>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</si>
  <si>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</si>
  <si>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</si>
  <si>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</si>
  <si>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</si>
  <si>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</si>
  <si>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</si>
  <si>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</si>
  <si>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</si>
  <si>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</si>
  <si>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</si>
  <si>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</si>
  <si>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</si>
  <si>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</si>
  <si>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</si>
  <si>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是</t>
  </si>
  <si>
    <t>商业</t>
    <phoneticPr fontId="7" type="noConversion"/>
  </si>
  <si>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</si>
  <si>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</si>
  <si>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</si>
  <si>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</si>
  <si>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</si>
  <si>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</si>
  <si>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</si>
  <si>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</si>
  <si>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</si>
  <si>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</si>
  <si>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</si>
  <si>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</si>
  <si>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</si>
  <si>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北京鑫福海工贸集团</t>
    <phoneticPr fontId="6" type="noConversion"/>
  </si>
  <si>
    <r>
      <rPr>
        <sz val="10"/>
        <color theme="9" tint="-0.249977111117893"/>
        <rFont val="宋体"/>
        <family val="3"/>
        <charset val="134"/>
      </rPr>
      <t>丰台区角门路</t>
    </r>
    <r>
      <rPr>
        <sz val="10"/>
        <color theme="9" tint="-0.249977111117893"/>
        <rFont val="Arial"/>
        <family val="2"/>
      </rPr>
      <t>2</t>
    </r>
    <r>
      <rPr>
        <sz val="10"/>
        <color theme="9" tint="-0.249977111117893"/>
        <rFont val="宋体"/>
        <family val="3"/>
        <charset val="134"/>
      </rPr>
      <t>号院综合楼</t>
    </r>
    <phoneticPr fontId="6" type="noConversion"/>
  </si>
  <si>
    <t>通路</t>
  </si>
  <si>
    <t>通电</t>
  </si>
  <si>
    <t>通讯</t>
  </si>
  <si>
    <t>通上水</t>
  </si>
  <si>
    <t>通下水</t>
  </si>
  <si>
    <t>通热</t>
  </si>
  <si>
    <t>成本比率</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</si>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</sst>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49" fillId="18" borderId="1" xfId="1" applyNumberFormat="1" applyFont="1" applyFill="1" applyBorder="1" applyAlignment="1" applyProtection="1">
      <alignment horizontal="center" vertical="center"/>
      <protection locked="0"/>
    </xf>
    <xf numFmtId="0" fontId="46" fillId="18" borderId="23" xfId="0" applyFont="1" applyFill="1" applyBorder="1" applyAlignment="1" applyProtection="1">
      <alignment vertical="center"/>
      <protection locked="0"/>
    </xf>
    <xf numFmtId="183" fontId="46" fillId="18" borderId="1" xfId="0" applyNumberFormat="1" applyFont="1" applyFill="1" applyBorder="1" applyAlignment="1" applyProtection="1">
      <alignment horizontal="center" vertical="center"/>
      <protection locked="0"/>
    </xf>
    <xf numFmtId="10" fontId="55" fillId="18" borderId="49"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5282;&#38376;&#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16695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北京市丰台区角门路2号院综合楼房地产抵押价值预评估</v>
      </c>
    </row>
    <row r="3" spans="1:2" s="1318" customFormat="1">
      <c r="A3" s="1316" t="s">
        <v>948</v>
      </c>
      <c r="B3" s="1317" t="str">
        <f>'预评函-封皮'!B40</f>
        <v>北京鑫福海工贸集团</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受贵公司委托，我公司对北京市丰台区角门路2号院综合楼房地产抵押价值进行了预评估。</v>
      </c>
    </row>
    <row r="7" spans="1:2" s="1318" customFormat="1">
      <c r="A7" s="1316" t="s">
        <v>991</v>
      </c>
      <c r="B7" s="1317" t="str">
        <f>'预评函-1'!A7</f>
        <v>估价对象为北京市丰台区角门路2号院综合楼房地产，为北京鑫福海工贸集团所有。根据《国有土地使用证》[]，估价对象（分摊）出让国有建设用地使用权面积为5682.86平方米，建筑面积为10298.76平方米。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2022年8月9日（评估专业人员实地查勘之日）</v>
      </c>
    </row>
    <row r="13" spans="1:2" s="1318" customFormat="1">
      <c r="A13" s="1316" t="s">
        <v>954</v>
      </c>
      <c r="B13" s="1317"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23508</v>
      </c>
    </row>
    <row r="21" spans="1:2" s="1318" customFormat="1">
      <c r="A21" s="1316" t="s">
        <v>962</v>
      </c>
      <c r="B21" s="1317">
        <f ca="1">'预评函-2'!D7</f>
        <v>22826</v>
      </c>
    </row>
    <row r="22" spans="1:2" s="1318" customFormat="1">
      <c r="A22" s="1316" t="s">
        <v>963</v>
      </c>
      <c r="B22" s="1317" t="str">
        <f ca="1">'预评函-2'!D6</f>
        <v>贰亿叁仟伍佰零捌万元整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23508</v>
      </c>
    </row>
    <row r="31" spans="1:2" s="1318" customFormat="1">
      <c r="A31" s="1316" t="s">
        <v>1001</v>
      </c>
      <c r="B31" s="1317">
        <f ca="1">'预评函-2'!D15</f>
        <v>22826</v>
      </c>
    </row>
    <row r="32" spans="1:2" s="1318" customFormat="1">
      <c r="A32" s="1316" t="s">
        <v>968</v>
      </c>
      <c r="B32" s="1317" t="str">
        <f ca="1">'预评函-2'!D14</f>
        <v>贰亿叁仟伍佰零捌万元整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北京市丰台区角门路2号院综合楼房地产</v>
      </c>
    </row>
    <row r="42" spans="1:2" s="1318" customFormat="1" ht="31.2">
      <c r="A42" s="1316" t="s">
        <v>1015</v>
      </c>
      <c r="B42" s="1317" t="str">
        <f>'预评函-3'!B2</f>
        <v>建筑面积</v>
      </c>
    </row>
    <row r="43" spans="1:2" s="1318" customFormat="1">
      <c r="A43" s="1316" t="s">
        <v>1016</v>
      </c>
      <c r="B43" s="1317">
        <f>'预评函-3'!B4</f>
        <v>10298.76</v>
      </c>
    </row>
    <row r="44" spans="1:2" s="1318" customFormat="1" ht="31.2">
      <c r="A44" s="1316" t="s">
        <v>1000</v>
      </c>
      <c r="B44" s="1317" t="str">
        <f>'预评函-3'!C2</f>
        <v>(分摊)土地面积</v>
      </c>
    </row>
    <row r="45" spans="1:2" s="1318" customFormat="1">
      <c r="A45" s="1316" t="s">
        <v>972</v>
      </c>
      <c r="B45" s="1317">
        <f>'预评函-3'!C4</f>
        <v>5682.86</v>
      </c>
    </row>
    <row r="46" spans="1:2" s="1318" customFormat="1">
      <c r="A46" s="1316" t="s">
        <v>998</v>
      </c>
      <c r="B46" s="1317" t="str">
        <f>'预评函-3'!D2</f>
        <v>出让国有建设用地使用权价值</v>
      </c>
    </row>
    <row r="47" spans="1:2" s="1318" customFormat="1">
      <c r="A47" s="1316" t="s">
        <v>973</v>
      </c>
      <c r="B47" s="1317">
        <f ca="1">'预评函-3'!D4</f>
        <v>20640</v>
      </c>
    </row>
    <row r="48" spans="1:2" s="1318" customFormat="1">
      <c r="A48" s="1316" t="s">
        <v>974</v>
      </c>
      <c r="B48" s="1317">
        <f ca="1">'预评函-3'!E4</f>
        <v>20041</v>
      </c>
    </row>
    <row r="49" spans="1:2" s="1318" customFormat="1">
      <c r="A49" s="1316" t="s">
        <v>975</v>
      </c>
      <c r="B49" s="1317" t="str">
        <f ca="1">'预评函-3'!D5</f>
        <v>贰亿零陆佰肆拾万元整</v>
      </c>
    </row>
    <row r="50" spans="1:2" s="1318" customFormat="1">
      <c r="A50" s="1316" t="s">
        <v>999</v>
      </c>
      <c r="B50" s="1317" t="str">
        <f>'预评函-3'!F2</f>
        <v>在建建筑物价值</v>
      </c>
    </row>
    <row r="51" spans="1:2" s="1318" customFormat="1">
      <c r="A51" s="1316" t="s">
        <v>976</v>
      </c>
      <c r="B51" s="1317">
        <f ca="1">'预评函-3'!F4</f>
        <v>2868</v>
      </c>
    </row>
    <row r="52" spans="1:2" s="1318" customFormat="1">
      <c r="A52" s="1316" t="s">
        <v>977</v>
      </c>
      <c r="B52" s="1317">
        <f ca="1">'预评函-3'!G4</f>
        <v>2785</v>
      </c>
    </row>
    <row r="53" spans="1:2" s="1318" customFormat="1">
      <c r="A53" s="1316" t="s">
        <v>1005</v>
      </c>
      <c r="B53" s="1317" t="str">
        <f ca="1">'预评函-3'!F5</f>
        <v>贰仟捌佰陆拾捌万元整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鑫福海工贸集团拟使用北京市丰台区角门路2号院综合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2669</v>
      </c>
      <c r="B1" s="3283" t="str">
        <f>IF(B10="北京市","北京市",C10)&amp;F10&amp;IF(结果表!G1="在建","出让国有建设用地使用权及在建建筑物",IF(结果表!G1="土地","出让国有建设用地使用权",))&amp;B9&amp;"预评估"</f>
        <v>北京市丰台区角门路2号院综合楼房地产抵押价值预评估</v>
      </c>
      <c r="C1" s="3284"/>
      <c r="D1" s="3284"/>
      <c r="E1" s="3284"/>
      <c r="F1" s="3284"/>
      <c r="G1" s="3284"/>
      <c r="H1" s="3284"/>
      <c r="I1" s="3285"/>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北京市丰台区角门路2号院综合楼房地产抵押价值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北京市丰台区角门路2号院综合楼房地产</v>
      </c>
      <c r="T2" s="1882"/>
      <c r="U2" s="1882"/>
      <c r="V2" s="1882"/>
      <c r="W2" s="1882"/>
      <c r="X2" s="1882"/>
      <c r="Y2" s="1882"/>
      <c r="Z2" s="1882"/>
      <c r="AA2" s="1882"/>
      <c r="AB2" s="1882"/>
    </row>
    <row r="3" spans="1:28">
      <c r="A3" s="308" t="s">
        <v>2671</v>
      </c>
      <c r="B3" s="2547">
        <v>44782</v>
      </c>
      <c r="C3" s="2548" t="s">
        <v>2672</v>
      </c>
      <c r="D3" s="2547">
        <f>B3</f>
        <v>44782</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8"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2674</v>
      </c>
      <c r="B5" s="3231" t="s">
        <v>3196</v>
      </c>
      <c r="C5" s="2554"/>
      <c r="D5" s="2555"/>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ht="39.6">
      <c r="A7" s="2556" t="s">
        <v>2676</v>
      </c>
      <c r="B7" s="2560" t="str">
        <f>B5</f>
        <v>北京鑫福海工贸集团</v>
      </c>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86" t="s">
        <v>2678</v>
      </c>
      <c r="E8" s="2564" t="s">
        <v>3176</v>
      </c>
      <c r="F8" s="2565"/>
      <c r="G8" s="2839"/>
      <c r="H8" s="2839"/>
      <c r="I8" s="2839"/>
      <c r="J8" s="2614"/>
      <c r="K8" s="2789"/>
      <c r="L8" s="2788"/>
      <c r="M8" s="2788"/>
      <c r="N8" s="2614"/>
      <c r="O8" s="2625"/>
      <c r="P8" s="2614"/>
      <c r="Q8" s="2614"/>
      <c r="R8" s="2614"/>
    </row>
    <row r="9" spans="1:28" ht="13.8" thickBot="1">
      <c r="A9" s="2566" t="s">
        <v>2679</v>
      </c>
      <c r="B9" s="2567" t="s">
        <v>3176</v>
      </c>
      <c r="C9" s="2568"/>
      <c r="D9" s="3287"/>
      <c r="E9" s="2567" t="s">
        <v>70</v>
      </c>
      <c r="F9" s="2569"/>
      <c r="G9" s="2841"/>
      <c r="H9" s="2841"/>
      <c r="I9" s="2841"/>
      <c r="J9" s="2614"/>
      <c r="K9" s="2791"/>
      <c r="L9" s="2788"/>
      <c r="M9" s="2788"/>
      <c r="N9" s="2614"/>
      <c r="O9" s="2625"/>
      <c r="P9" s="2614"/>
      <c r="Q9" s="2614"/>
      <c r="R9" s="2614"/>
    </row>
    <row r="10" spans="1:28" ht="13.8" thickTop="1">
      <c r="A10" s="2570" t="s">
        <v>2680</v>
      </c>
      <c r="B10" s="2571" t="s">
        <v>3177</v>
      </c>
      <c r="C10" s="2572"/>
      <c r="D10" s="2555"/>
      <c r="E10" s="2573" t="s">
        <v>2681</v>
      </c>
      <c r="F10" s="2842" t="s">
        <v>3197</v>
      </c>
      <c r="G10" s="2843"/>
      <c r="H10" s="2844"/>
      <c r="I10" s="2845"/>
      <c r="J10" s="2614"/>
      <c r="K10" s="2791"/>
      <c r="L10" s="2788"/>
      <c r="M10" s="2788"/>
      <c r="N10" s="2614"/>
      <c r="O10" s="2625"/>
      <c r="P10" s="2614"/>
      <c r="Q10" s="2614"/>
      <c r="R10" s="2614"/>
    </row>
    <row r="11" spans="1:28" ht="26.4">
      <c r="A11" s="2574" t="s">
        <v>2682</v>
      </c>
      <c r="B11" s="2575" t="s">
        <v>3178</v>
      </c>
      <c r="C11" s="2576" t="str">
        <f>B5</f>
        <v>北京鑫福海工贸集团</v>
      </c>
      <c r="D11" s="2577"/>
      <c r="E11" s="2544"/>
      <c r="F11" s="2544"/>
      <c r="G11" s="2544"/>
      <c r="H11" s="2544"/>
      <c r="I11" s="2544"/>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c r="F13" s="946">
        <v>56879</v>
      </c>
      <c r="G13" s="946"/>
      <c r="H13" s="946"/>
      <c r="I13" s="946"/>
      <c r="J13" s="2614"/>
      <c r="K13" s="2791"/>
      <c r="L13" s="2788"/>
      <c r="M13" s="2788"/>
      <c r="N13" s="2614"/>
      <c r="O13" s="2625"/>
      <c r="P13" s="2614"/>
      <c r="Q13" s="2614"/>
      <c r="R13" s="2614"/>
    </row>
    <row r="14" spans="1:28">
      <c r="A14" s="1194"/>
      <c r="B14" s="2580"/>
      <c r="C14" s="2581" t="s">
        <v>2692</v>
      </c>
      <c r="D14" s="2582"/>
      <c r="E14" s="2582"/>
      <c r="F14" s="2582">
        <v>50</v>
      </c>
      <c r="G14" s="2582"/>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f>IF(B12="出让",IF(F13="","",ROUNDDOWN(MIN((F13-$D$3)/365,F14),2)),F14)</f>
        <v>33.14</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293"/>
      <c r="C16" s="3294"/>
      <c r="D16" s="3295"/>
      <c r="E16" s="2588" t="s">
        <v>2695</v>
      </c>
      <c r="F16" s="3296"/>
      <c r="G16" s="3297"/>
      <c r="H16" s="3297"/>
      <c r="I16" s="3298"/>
      <c r="J16" s="2614"/>
      <c r="K16" s="2793"/>
      <c r="L16" s="2626"/>
      <c r="M16" s="2626"/>
      <c r="N16" s="2684"/>
      <c r="O16" s="2626"/>
      <c r="P16" s="2684"/>
      <c r="Q16" s="2614"/>
      <c r="R16" s="2614"/>
    </row>
    <row r="17" spans="1:28">
      <c r="A17" s="319" t="s">
        <v>2696</v>
      </c>
      <c r="B17" s="308" t="s">
        <v>2697</v>
      </c>
      <c r="C17" s="11">
        <f>'数据-汇总表'!E3</f>
        <v>10298.76</v>
      </c>
      <c r="D17" s="2496" t="s">
        <v>2698</v>
      </c>
      <c r="E17" s="3299" t="s">
        <v>2699</v>
      </c>
      <c r="F17" s="3300"/>
      <c r="G17" s="3300"/>
      <c r="H17" s="3300"/>
      <c r="I17" s="3301"/>
      <c r="J17" s="2614"/>
      <c r="K17" s="2794"/>
      <c r="L17" s="2626"/>
      <c r="M17" s="2626"/>
      <c r="N17" s="2684"/>
      <c r="O17" s="2626"/>
      <c r="P17" s="2684"/>
      <c r="Q17" s="2614"/>
      <c r="R17" s="2614"/>
      <c r="S17" s="2614"/>
      <c r="T17" s="2614"/>
      <c r="U17" s="2614"/>
      <c r="V17" s="2614"/>
    </row>
    <row r="18" spans="1:28" ht="24.6" thickBot="1">
      <c r="A18" s="2589" t="s">
        <v>2700</v>
      </c>
      <c r="B18" s="1203" t="s">
        <v>2701</v>
      </c>
      <c r="C18" s="2590">
        <f>'数据-汇总表'!D3</f>
        <v>5682.86</v>
      </c>
      <c r="D18" s="1205" t="s">
        <v>2702</v>
      </c>
      <c r="E18" s="3302" t="s">
        <v>2703</v>
      </c>
      <c r="F18" s="3303"/>
      <c r="G18" s="3303"/>
      <c r="H18" s="3303"/>
      <c r="I18" s="3304"/>
      <c r="J18" s="2614"/>
      <c r="K18" s="2794"/>
      <c r="L18" s="2626"/>
      <c r="M18" s="2626"/>
      <c r="N18" s="2684"/>
      <c r="O18" s="2626"/>
      <c r="P18" s="2684"/>
      <c r="Q18" s="2614"/>
      <c r="R18" s="2614"/>
      <c r="S18" s="2614"/>
      <c r="T18" s="2614"/>
      <c r="U18" s="2614"/>
      <c r="V18" s="2614"/>
    </row>
    <row r="19" spans="1:28" ht="37.200000000000003"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289" t="s">
        <v>2707</v>
      </c>
      <c r="C20" s="3290"/>
      <c r="D20" s="3291" t="s">
        <v>2708</v>
      </c>
      <c r="E20" s="3292"/>
      <c r="F20" s="2823" t="s">
        <v>1501</v>
      </c>
      <c r="G20" s="2840"/>
      <c r="H20" s="2840"/>
      <c r="I20" s="2840"/>
      <c r="J20" s="2614"/>
      <c r="K20" s="328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36.6" thickBot="1">
      <c r="A21" s="2808"/>
      <c r="B21" s="2809" t="s">
        <v>2710</v>
      </c>
      <c r="C21" s="2810" t="s">
        <v>1502</v>
      </c>
      <c r="D21" s="1704" t="s">
        <v>2711</v>
      </c>
      <c r="E21" s="2811" t="s">
        <v>1502</v>
      </c>
      <c r="F21" s="2824"/>
      <c r="G21" s="2840"/>
      <c r="H21" s="2840"/>
      <c r="I21" s="2840"/>
      <c r="J21" s="2614"/>
      <c r="K21" s="328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36.6" thickBot="1">
      <c r="A22" s="2808"/>
      <c r="B22" s="2812" t="s">
        <v>2712</v>
      </c>
      <c r="C22" s="2810" t="s">
        <v>1503</v>
      </c>
      <c r="D22" s="2839"/>
      <c r="E22" s="2839"/>
      <c r="F22" s="2839"/>
      <c r="G22" s="2840"/>
      <c r="H22" s="2840"/>
      <c r="I22" s="2840"/>
      <c r="J22" s="2614"/>
      <c r="K22" s="328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8"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8" thickTop="1">
      <c r="A27" s="3276"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76"/>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76"/>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77"/>
      <c r="B30" s="308" t="s">
        <v>2719</v>
      </c>
      <c r="C30" s="3278"/>
      <c r="D30" s="3279"/>
      <c r="E30" s="2840"/>
      <c r="F30" s="2840"/>
      <c r="G30" s="2840"/>
      <c r="H30" s="2840"/>
      <c r="I30" s="2840"/>
      <c r="J30" s="2614"/>
      <c r="K30" s="2791"/>
      <c r="L30" s="2788"/>
      <c r="M30" s="2788"/>
      <c r="N30" s="2614"/>
      <c r="O30" s="2625"/>
      <c r="P30" s="2614"/>
      <c r="Q30" s="2614"/>
      <c r="R30" s="2614"/>
      <c r="S30" s="2614"/>
      <c r="T30" s="2614"/>
      <c r="U30" s="2614"/>
      <c r="V30" s="2614"/>
    </row>
    <row r="31" spans="1:28">
      <c r="A31" s="3280" t="s">
        <v>2720</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1"/>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1"/>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3198</v>
      </c>
      <c r="C34" s="2165" t="s">
        <v>3199</v>
      </c>
      <c r="D34" s="2165" t="s">
        <v>3200</v>
      </c>
      <c r="E34" s="2165" t="s">
        <v>3201</v>
      </c>
      <c r="F34" s="2165" t="s">
        <v>3202</v>
      </c>
      <c r="G34" s="2165" t="s">
        <v>3203</v>
      </c>
      <c r="H34" s="2165"/>
      <c r="I34" s="2840"/>
      <c r="J34" s="2614"/>
      <c r="K34" s="2602">
        <f>COUNTIF(B34:H34,"——")</f>
        <v>0</v>
      </c>
      <c r="L34" s="329" t="s">
        <v>2722</v>
      </c>
      <c r="M34" s="329" t="s">
        <v>2723</v>
      </c>
      <c r="N34" s="329" t="s">
        <v>2724</v>
      </c>
      <c r="O34" s="329" t="s">
        <v>2725</v>
      </c>
      <c r="P34" s="329" t="s">
        <v>2726</v>
      </c>
      <c r="Q34" s="329" t="s">
        <v>2727</v>
      </c>
      <c r="R34" s="329" t="s">
        <v>2728</v>
      </c>
      <c r="S34" s="3275" t="s">
        <v>2729</v>
      </c>
      <c r="T34" s="2603" t="str">
        <f>NUMBERSTRING(7-K34,1)&amp;"通"</f>
        <v>七通</v>
      </c>
      <c r="U34" s="2614"/>
      <c r="V34" s="2614"/>
    </row>
    <row r="35" spans="1:30">
      <c r="A35" s="2604"/>
      <c r="B35" s="3282" t="s">
        <v>2730</v>
      </c>
      <c r="C35" s="3282"/>
      <c r="D35" s="3282"/>
      <c r="E35" s="3282"/>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275"/>
      <c r="T35" s="335" t="str">
        <f>IF(T34="一通",L35,IF(T34="二通",M35,IF(T34="三通",N35,IF(T34="四通",O35,IF(T34="五通",P35,IF(T34="六通",Q35,R35))))))</f>
        <v>通路、通电、通讯、通上水、通下水、通热、</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8"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4"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2">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5682.86</v>
      </c>
      <c r="B3" s="14">
        <f>IF(C3="否",G5-AT5,G5)</f>
        <v>10298.76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10298.76</v>
      </c>
      <c r="H5" s="16">
        <f t="shared" ref="H5:AT5" si="0">SUM(H13:H656)</f>
        <v>10298.76</v>
      </c>
      <c r="I5" s="16">
        <f t="shared" si="0"/>
        <v>10298.76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10298.76</v>
      </c>
      <c r="BA5" s="18">
        <f t="shared" si="1"/>
        <v>10298.76</v>
      </c>
      <c r="BB5" s="18">
        <f t="shared" si="1"/>
        <v>10298.76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5682.86</v>
      </c>
      <c r="F6" s="16" t="s">
        <v>1</v>
      </c>
      <c r="G6" s="16" t="s">
        <v>2</v>
      </c>
      <c r="H6" s="20">
        <f>SUMIF(I$12:AB$12,"总值",I6:AB6)</f>
        <v>5682.86</v>
      </c>
      <c r="I6" s="16">
        <f t="shared" ref="I6:AB6" si="2">ROUND($A$3*I5/$B$3,2)</f>
        <v>5682.86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5682.86</v>
      </c>
      <c r="AZ6" s="16" t="s">
        <v>3</v>
      </c>
      <c r="BA6" s="16">
        <f>ROUND($AY$6*BA5/$AZ$5,2)</f>
        <v>5682.86</v>
      </c>
      <c r="BB6" s="16">
        <f>ROUND($AY$6*BB5/$AZ$5,2)</f>
        <v>5682.86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3181</v>
      </c>
      <c r="E13" s="16">
        <f>IF($C$3="是",ROUND($A$3*G13/$B$3,2),ROUND($A$3*(G13-AT13)/$B$3,2))</f>
        <v>5682.86</v>
      </c>
      <c r="F13" s="32"/>
      <c r="G13" s="33">
        <f>H13+AC13+AT13</f>
        <v>10298.76</v>
      </c>
      <c r="H13" s="20">
        <f>SUMIF(I$12:AB$12,"总值",I13:AB13)</f>
        <v>10298.76</v>
      </c>
      <c r="I13" s="1762">
        <v>10298.76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5682.86</v>
      </c>
      <c r="AZ13" s="16">
        <f>BA13+BL13</f>
        <v>10298.76</v>
      </c>
      <c r="BA13" s="16">
        <f>SUM(BB13:BK13)</f>
        <v>10298.76</v>
      </c>
      <c r="BB13" s="16">
        <f>IF($D13="是",I13-J13,0)</f>
        <v>10298.76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46.8">
      <c r="A3" s="3305"/>
      <c r="B3" s="3305"/>
      <c r="C3" s="3305"/>
      <c r="D3" s="3306"/>
      <c r="E3" s="330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9" sqref="D49"/>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5"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16" t="s">
        <v>1576</v>
      </c>
      <c r="B2" s="3316"/>
      <c r="C2" s="3316"/>
      <c r="D2" s="885" t="s">
        <v>1552</v>
      </c>
      <c r="E2" s="1775" t="s">
        <v>1553</v>
      </c>
      <c r="F2" s="2835"/>
      <c r="G2" s="2826"/>
      <c r="H2" s="2827"/>
      <c r="I2" s="2499" t="s">
        <v>1577</v>
      </c>
      <c r="J2" s="2835"/>
      <c r="K2" s="2835"/>
      <c r="L2" s="2835"/>
      <c r="M2" s="2835"/>
      <c r="N2" s="2837"/>
      <c r="O2" s="2835"/>
      <c r="P2" s="2835"/>
    </row>
    <row r="3" spans="1:16" ht="15" thickBot="1">
      <c r="A3" s="3317" t="s">
        <v>1550</v>
      </c>
      <c r="B3" s="3317"/>
      <c r="C3" s="3317"/>
      <c r="D3" s="46">
        <f>'数据-基础表'!AY6</f>
        <v>5682.86</v>
      </c>
      <c r="E3" s="46">
        <f>'数据-基础表'!AZ5</f>
        <v>10298.76</v>
      </c>
      <c r="F3" s="2835"/>
      <c r="G3" s="1260"/>
      <c r="H3" s="1138" t="s">
        <v>1551</v>
      </c>
      <c r="I3" s="945">
        <f>ROUND('数据-基础表'!B3/'数据-基础表'!A3,2)</f>
        <v>1.81</v>
      </c>
      <c r="J3" s="2835"/>
      <c r="K3" s="2835"/>
      <c r="L3" s="2835"/>
      <c r="M3" s="2835"/>
      <c r="N3" s="2837"/>
      <c r="O3" s="2835"/>
      <c r="P3" s="2835"/>
    </row>
    <row r="4" spans="1:16" ht="14.4">
      <c r="A4" s="3318"/>
      <c r="B4" s="3319"/>
      <c r="C4" s="3320"/>
      <c r="D4" s="1777" t="s">
        <v>1552</v>
      </c>
      <c r="E4" s="1778" t="s">
        <v>1553</v>
      </c>
      <c r="F4" s="2835"/>
      <c r="G4" s="2828" t="s">
        <v>1578</v>
      </c>
      <c r="H4" s="1138" t="s">
        <v>1558</v>
      </c>
      <c r="I4" s="945">
        <f>ROUND(SUMIF('数据-基础表'!I9:AS9,"地上",'数据-基础表'!I5:AS5)/'数据-基础表'!A3,2)</f>
        <v>1.81</v>
      </c>
      <c r="J4" s="2835"/>
      <c r="K4" s="2835"/>
      <c r="L4" s="2835"/>
      <c r="M4" s="2835"/>
      <c r="N4" s="2837"/>
      <c r="O4" s="2835"/>
      <c r="P4" s="2835"/>
    </row>
    <row r="5" spans="1:16" ht="14.4">
      <c r="A5" s="47" t="s">
        <v>1554</v>
      </c>
      <c r="B5" s="3321" t="s">
        <v>1555</v>
      </c>
      <c r="C5" s="3321"/>
      <c r="D5" s="48">
        <f>ROUND($D$3*E5/$E$3,2)</f>
        <v>0</v>
      </c>
      <c r="E5" s="49">
        <f>SUMIF('数据-基础表'!$11:$11,"住宅",'数据-基础表'!$5:$5)</f>
        <v>0</v>
      </c>
      <c r="F5" s="2835"/>
      <c r="G5" s="1260"/>
      <c r="H5" s="1138" t="s">
        <v>1551</v>
      </c>
      <c r="I5" s="945">
        <f>ROUND(E31/D31,2)</f>
        <v>1.81</v>
      </c>
      <c r="J5" s="2835"/>
      <c r="K5" s="2835"/>
      <c r="L5" s="2835"/>
      <c r="M5" s="2835"/>
      <c r="N5" s="2835"/>
      <c r="O5" s="2835"/>
      <c r="P5" s="2835"/>
    </row>
    <row r="6" spans="1:16" ht="15" thickBot="1">
      <c r="A6" s="1780"/>
      <c r="B6" s="3321" t="s">
        <v>1556</v>
      </c>
      <c r="C6" s="3321"/>
      <c r="D6" s="48">
        <f>ROUND($D$3*E6/$E$3,2)</f>
        <v>5682.86</v>
      </c>
      <c r="E6" s="49">
        <f>E3-E5</f>
        <v>10298.76</v>
      </c>
      <c r="F6" s="2835"/>
      <c r="G6" s="2829" t="s">
        <v>1557</v>
      </c>
      <c r="H6" s="1261" t="s">
        <v>1558</v>
      </c>
      <c r="I6" s="2830">
        <f>ROUND(F31/D31,2)</f>
        <v>1.81</v>
      </c>
      <c r="J6" s="2835"/>
      <c r="K6" s="2835"/>
      <c r="L6" s="2835"/>
      <c r="M6" s="2835"/>
      <c r="N6" s="2835"/>
      <c r="O6" s="2835"/>
      <c r="P6" s="2835"/>
    </row>
    <row r="7" spans="1:16" ht="15" thickBot="1">
      <c r="A7" s="3313"/>
      <c r="B7" s="3314"/>
      <c r="C7" s="3315"/>
      <c r="D7" s="1777" t="s">
        <v>1552</v>
      </c>
      <c r="E7" s="1781" t="s">
        <v>1559</v>
      </c>
      <c r="F7" s="2835"/>
      <c r="G7" s="2831" t="s">
        <v>1560</v>
      </c>
      <c r="H7" s="2832"/>
      <c r="I7" s="2833"/>
      <c r="J7" s="2835"/>
      <c r="K7" s="2835"/>
      <c r="L7" s="2835"/>
      <c r="M7" s="2835"/>
      <c r="N7" s="2835"/>
      <c r="O7" s="2835"/>
      <c r="P7" s="2835"/>
    </row>
    <row r="8" spans="1:16" ht="14.4">
      <c r="A8" s="47" t="s">
        <v>1561</v>
      </c>
      <c r="B8" s="50" t="s">
        <v>1562</v>
      </c>
      <c r="C8" s="48" t="s">
        <v>1563</v>
      </c>
      <c r="D8" s="48">
        <f t="shared" ref="D8:D15" si="0">ROUND($D$3*E8/$E$3,2)</f>
        <v>5682.86</v>
      </c>
      <c r="E8" s="51">
        <f>SUMIF('数据-基础表'!BB10:BK10,"地上",'数据-基础表'!BB5:BK5)</f>
        <v>10298.76</v>
      </c>
      <c r="F8" s="2835"/>
      <c r="G8" s="2836"/>
      <c r="H8" s="2836"/>
      <c r="I8" s="2835"/>
      <c r="J8" s="2835"/>
      <c r="K8" s="2835"/>
      <c r="L8" s="2835"/>
      <c r="M8" s="2835"/>
      <c r="N8" s="2835"/>
      <c r="O8" s="2835"/>
      <c r="P8" s="2835"/>
    </row>
    <row r="9" spans="1:16" ht="14.4">
      <c r="A9" s="1782"/>
      <c r="B9" s="1783"/>
      <c r="C9" s="48" t="s">
        <v>1564</v>
      </c>
      <c r="D9" s="48">
        <f t="shared" si="0"/>
        <v>0</v>
      </c>
      <c r="E9" s="52">
        <v>0</v>
      </c>
      <c r="F9" s="2835"/>
      <c r="G9" s="2836"/>
      <c r="H9" s="2836"/>
      <c r="I9" s="2835"/>
      <c r="J9" s="2835"/>
      <c r="K9" s="2835"/>
      <c r="L9" s="2835"/>
      <c r="M9" s="2835"/>
      <c r="N9" s="2835"/>
      <c r="O9" s="2835"/>
      <c r="P9" s="2835"/>
    </row>
    <row r="10" spans="1:16" ht="14.4">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ht="14.4">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ht="14.4">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ht="14.4">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ht="14.4">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c r="A16" s="1780"/>
      <c r="B16" s="1783"/>
      <c r="C16" s="50" t="s">
        <v>1568</v>
      </c>
      <c r="D16" s="50">
        <f>SUM(D8:D15)</f>
        <v>5682.86</v>
      </c>
      <c r="E16" s="53">
        <f>SUM(E8:E15)</f>
        <v>10298.76</v>
      </c>
      <c r="F16" s="2835"/>
      <c r="G16" s="2836"/>
      <c r="H16" s="1784" t="s">
        <v>1580</v>
      </c>
      <c r="I16" s="1785"/>
      <c r="J16" s="1254"/>
      <c r="K16" s="3310" t="s">
        <v>1580</v>
      </c>
      <c r="L16" s="3311"/>
      <c r="M16" s="3311"/>
      <c r="N16" s="3311"/>
      <c r="O16" s="3311"/>
      <c r="P16" s="3312"/>
    </row>
    <row r="17" spans="1:19" ht="14.4">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0" t="s">
        <v>3182</v>
      </c>
      <c r="D19" s="48">
        <f>ROUND($D$3*E19/$E$3,2)</f>
        <v>5682.86</v>
      </c>
      <c r="E19" s="56">
        <f t="shared" ref="E19:E26" si="1">SUM(F19:G19)</f>
        <v>10298.76</v>
      </c>
      <c r="F19" s="2975">
        <f>'数据-基础表'!I13</f>
        <v>10298.76</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5682.86</v>
      </c>
      <c r="S19" s="1139">
        <f t="shared" si="5"/>
        <v>10298.76</v>
      </c>
    </row>
    <row r="20" spans="1:19" ht="14.4">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5682.86</v>
      </c>
      <c r="E27" s="1256">
        <f>IF(SUM(E19:E26)='数据-基础表'!BA5,SUM(E19:E26),IF(F27="地上面积有误","面积有误","地下面积有误"))</f>
        <v>10298.76</v>
      </c>
      <c r="F27" s="1255">
        <f>IF(SUM(F19:F26)=E8,SUM(F19:F26),"地上面积有误")</f>
        <v>10298.76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5682.86</v>
      </c>
      <c r="S27" s="1138">
        <f>IF(SUM(S19:S26)=$E$3,SUM(S19:S26),SUM(S19:S26)&amp;"误差"&amp;ROUND(SUM(S19:S26)-E3,2))</f>
        <v>10298.76</v>
      </c>
    </row>
    <row r="28" spans="1:19" ht="14.4">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ht="14.4">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4.4">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 thickBot="1">
      <c r="A31" s="1813"/>
      <c r="B31" s="1814"/>
      <c r="C31" s="925" t="s">
        <v>1603</v>
      </c>
      <c r="D31" s="685">
        <f>D27+D30</f>
        <v>5682.86</v>
      </c>
      <c r="E31" s="685">
        <f>E27+E30</f>
        <v>10298.76</v>
      </c>
      <c r="F31" s="686">
        <f>F27+F30</f>
        <v>10298.76</v>
      </c>
      <c r="G31" s="687">
        <f>G27+G30</f>
        <v>0</v>
      </c>
      <c r="H31" s="2835"/>
      <c r="I31" s="2835"/>
      <c r="J31" s="2835"/>
      <c r="K31" s="2835"/>
      <c r="L31" s="2835"/>
      <c r="M31" s="2835"/>
      <c r="N31" s="2835"/>
      <c r="O31" s="2835"/>
      <c r="P31" s="2835"/>
    </row>
    <row r="32" spans="1:19" ht="14.4">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Z28" sqref="Z28"/>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9.2187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 thickBot="1">
      <c r="A2" s="1820" t="s">
        <v>1606</v>
      </c>
      <c r="B2" s="1157">
        <f>项目基本情况!D3</f>
        <v>44782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商业</v>
      </c>
      <c r="B6" s="1850" t="str">
        <f>IF(A6=0,"","经营性")</f>
        <v>经营性</v>
      </c>
      <c r="C6" s="1851" t="s">
        <v>27</v>
      </c>
      <c r="D6" s="948">
        <f>SUMIF(项目基本情况!D$12:I$12,C6,项目基本情况!D$14:I$14)</f>
        <v>50</v>
      </c>
      <c r="E6" s="947">
        <f>IF(B6="","",SUMIF(项目基本情况!D$12:I$12,C6,项目基本情况!D$13:I$13))</f>
        <v>56879</v>
      </c>
      <c r="F6" s="68">
        <f>SUMIF(项目基本情况!D$12:I$12,C6,项目基本情况!D$15:I$15)</f>
        <v>33.14</v>
      </c>
      <c r="G6" s="69">
        <f>IF(ISERROR(ROUND(POWER(1+H6,D6-F6)*(POWER(1+H6,F6)-1)/(POWER(1+H6,D6)-1),3)),0,ROUND(POWER(1+H6,D6-F6)*(POWER(1+H6,F6)-1)/(POWER(1+H6,D6)-1),3))</f>
        <v>0.878</v>
      </c>
      <c r="H6" s="741">
        <v>0.05</v>
      </c>
      <c r="I6" s="741">
        <v>5.5E-2</v>
      </c>
      <c r="J6" s="70">
        <v>7.4999999999999997E-2</v>
      </c>
      <c r="K6" s="1142">
        <f>SUMIF('数据-汇总表'!C$19:C$33,A6,'数据-汇总表'!E$19:E$33)</f>
        <v>10298.76</v>
      </c>
      <c r="L6" s="3579">
        <v>3000</v>
      </c>
      <c r="M6" s="71">
        <f t="shared" ref="M6:M14" si="0">ROUND(K6*L6/10000,0)</f>
        <v>3090</v>
      </c>
      <c r="N6" s="740">
        <f>ROUND(((1-(2022-2000)/60)+80%)/2,2)</f>
        <v>0.72</v>
      </c>
      <c r="O6" s="71" t="str">
        <f>IF($N$5="成新度","——",ROUND(M6*N6,0))</f>
        <v>——</v>
      </c>
      <c r="P6" s="72" t="str">
        <f>IF($N$5="成新度","——",M6-O6)</f>
        <v>——</v>
      </c>
      <c r="Q6" s="743">
        <v>0.15</v>
      </c>
      <c r="R6" s="73">
        <f ca="1">SUMIF('数据-汇总表'!C$19:C$33,A6,'数据-汇总表'!R$19:R$27)</f>
        <v>5682.86</v>
      </c>
      <c r="S6" s="54">
        <f>IF('数据-汇总表'!$I$17="按面积比例",SUMIF('数据-汇总表'!C$19:C$33,A6,'数据-汇总表'!K$19:K$33),SUMIF('数据-汇总表'!C$19:C$33,A6,'数据-汇总表'!N$19:N$33))</f>
        <v>0</v>
      </c>
      <c r="T6" s="1287">
        <f>ROUND($L$14*S6/10000,0)</f>
        <v>0</v>
      </c>
      <c r="U6" s="3580">
        <v>3.5</v>
      </c>
      <c r="V6" s="75">
        <v>0.03</v>
      </c>
      <c r="W6" s="75">
        <v>0.1</v>
      </c>
      <c r="X6" s="1152"/>
      <c r="Y6" s="76">
        <f>N6</f>
        <v>0.72</v>
      </c>
      <c r="Z6" s="77"/>
      <c r="AA6" s="70"/>
      <c r="AB6" s="70"/>
      <c r="AC6" s="1152"/>
      <c r="AD6" s="78"/>
      <c r="AE6" s="1153">
        <f ca="1">IF(AN6="",0,SUMIF(INDIRECT("'"&amp;AN6&amp;"'"&amp;"!E:E"),$AE$5,INDIRECT("'"&amp;AN6&amp;"'"&amp;"!F:F")))</f>
        <v>33.14</v>
      </c>
      <c r="AF6" s="1483"/>
      <c r="AG6" s="143">
        <f>IF(AF6="",0,AE6-AF6)</f>
        <v>0</v>
      </c>
      <c r="AH6" s="79"/>
      <c r="AI6" s="81">
        <v>365</v>
      </c>
      <c r="AJ6" s="82"/>
      <c r="AK6" s="83">
        <v>0.01</v>
      </c>
      <c r="AL6" s="3581">
        <v>1E-3</v>
      </c>
      <c r="AM6" s="85">
        <v>0.01</v>
      </c>
      <c r="AN6" s="1852" t="s">
        <v>3185</v>
      </c>
      <c r="AO6" s="55">
        <f ca="1">SUMIF(INDIRECT("'"&amp;AN6&amp;"'"&amp;"!A:A"),"总价",INDIRECT("'"&amp;AN6&amp;"'"&amp;"!B:B"))</f>
        <v>20451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10298.76</v>
      </c>
      <c r="L16" s="98">
        <f>ROUND(M16*10000/SUM(K6:K14),0)</f>
        <v>3000</v>
      </c>
      <c r="M16" s="98">
        <f>SUM(M6:M14)</f>
        <v>3090</v>
      </c>
      <c r="N16" s="99">
        <f>ROUND(SUMPRODUCT(M6:M14,N6:N14)/M16,3)</f>
        <v>0.72</v>
      </c>
      <c r="O16" s="98">
        <f>SUM(O6:O14)</f>
        <v>0</v>
      </c>
      <c r="P16" s="98">
        <f>SUM(P6:P14)</f>
        <v>0</v>
      </c>
      <c r="Q16" s="100">
        <f>ROUND(SUMPRODUCT(Q6:Q13,K6:K13)/SUMPRODUCT((Q6:Q13&gt;0)*(K6:K13)),2)</f>
        <v>0.15</v>
      </c>
      <c r="R16" s="1146">
        <f ca="1">SUM(R6:R13)</f>
        <v>5682.86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4">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4">
      <c r="A20" s="1860" t="s">
        <v>1657</v>
      </c>
      <c r="B20" s="109">
        <v>1.5</v>
      </c>
      <c r="C20" s="2980" t="s">
        <v>2804</v>
      </c>
      <c r="D20" s="2854"/>
      <c r="E20" s="2851"/>
      <c r="F20" s="2851"/>
      <c r="G20" s="2851"/>
      <c r="H20" s="2851"/>
      <c r="I20" s="2851"/>
      <c r="J20" s="2851"/>
      <c r="K20" s="2850"/>
      <c r="L20" s="2850"/>
      <c r="M20" s="2849"/>
      <c r="N20" s="2849"/>
      <c r="O20" s="2849"/>
      <c r="P20" s="2849"/>
      <c r="Q20" s="2849"/>
      <c r="R20" s="2849"/>
      <c r="S20" s="2849"/>
      <c r="T20" s="2849" t="s">
        <v>3205</v>
      </c>
      <c r="U20" s="2853">
        <f>U23-U21-U22</f>
        <v>1885.7600000000002</v>
      </c>
      <c r="V20" s="2849">
        <v>6</v>
      </c>
      <c r="W20" s="2849">
        <f>V20*U20</f>
        <v>11314.560000000001</v>
      </c>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4">
      <c r="A21" s="1861" t="s">
        <v>1658</v>
      </c>
      <c r="B21" s="109">
        <v>1.5</v>
      </c>
      <c r="C21" s="2851"/>
      <c r="D21" s="2854"/>
      <c r="E21" s="2851"/>
      <c r="F21" s="2851"/>
      <c r="G21" s="2851"/>
      <c r="H21" s="2851"/>
      <c r="I21" s="2851"/>
      <c r="J21" s="2851"/>
      <c r="K21" s="2850"/>
      <c r="L21" s="2850"/>
      <c r="M21" s="2849"/>
      <c r="N21" s="2849"/>
      <c r="O21" s="2849"/>
      <c r="P21" s="2849"/>
      <c r="Q21" s="2849"/>
      <c r="R21" s="2849"/>
      <c r="S21" s="2849"/>
      <c r="T21" s="2849" t="s">
        <v>3206</v>
      </c>
      <c r="U21" s="2849">
        <v>5737</v>
      </c>
      <c r="V21" s="2849">
        <v>3.1</v>
      </c>
      <c r="W21" s="2849">
        <f t="shared" ref="W21:W22" si="12">V21*U21</f>
        <v>17784.7</v>
      </c>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4">
      <c r="A22" s="1860" t="s">
        <v>1659</v>
      </c>
      <c r="B22" s="110">
        <f>B19+B20</f>
        <v>1.5</v>
      </c>
      <c r="C22" s="2851"/>
      <c r="D22" s="2854"/>
      <c r="E22" s="2851"/>
      <c r="F22" s="2851"/>
      <c r="G22" s="2851"/>
      <c r="H22" s="2851"/>
      <c r="I22" s="2851"/>
      <c r="J22" s="2851"/>
      <c r="K22" s="2850"/>
      <c r="L22" s="2850"/>
      <c r="M22" s="2849"/>
      <c r="N22" s="2849"/>
      <c r="O22" s="2849"/>
      <c r="P22" s="2849"/>
      <c r="Q22" s="2849"/>
      <c r="R22" s="2849"/>
      <c r="S22" s="2849"/>
      <c r="T22" s="2849" t="s">
        <v>3207</v>
      </c>
      <c r="U22" s="2849">
        <v>2676</v>
      </c>
      <c r="V22" s="2849">
        <v>3.1</v>
      </c>
      <c r="W22" s="2849">
        <f t="shared" si="12"/>
        <v>8295.6</v>
      </c>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4">
      <c r="A23" s="1861" t="s">
        <v>1660</v>
      </c>
      <c r="B23" s="110">
        <f>B19+B21</f>
        <v>1.5</v>
      </c>
      <c r="C23" s="2851"/>
      <c r="D23" s="2854"/>
      <c r="E23" s="2851"/>
      <c r="F23" s="2851"/>
      <c r="G23" s="2851"/>
      <c r="H23" s="2851"/>
      <c r="I23" s="2851"/>
      <c r="J23" s="2851"/>
      <c r="K23" s="2850"/>
      <c r="L23" s="2850"/>
      <c r="M23" s="2849"/>
      <c r="N23" s="2849"/>
      <c r="O23" s="2849"/>
      <c r="P23" s="2849"/>
      <c r="Q23" s="2849"/>
      <c r="R23" s="2849"/>
      <c r="S23" s="2849"/>
      <c r="T23" s="2849"/>
      <c r="U23" s="2853">
        <f>K6</f>
        <v>10298.76</v>
      </c>
      <c r="V23" s="2849">
        <f>W23/U23</f>
        <v>3.6310060628658207</v>
      </c>
      <c r="W23" s="2849">
        <f>SUM(W20:W22)</f>
        <v>37394.86</v>
      </c>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4.4"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8.8">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206</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4">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4">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4">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8.2" thickBot="1">
      <c r="A40" s="2995" t="s">
        <v>3183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4">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4">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4">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4">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4">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4">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v>0</v>
      </c>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4">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4">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4">
      <c r="A52" s="1874" t="s">
        <v>1689</v>
      </c>
      <c r="B52" s="129">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8.8">
      <c r="A53" s="1866" t="s">
        <v>1690</v>
      </c>
      <c r="B53" s="1875" t="s">
        <v>522</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4">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4">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4">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4">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4">
      <c r="A58" s="1876" t="s">
        <v>1696</v>
      </c>
      <c r="B58" s="80">
        <f>C58</f>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4">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4">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4">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4">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5" customWidth="1"/>
    <col min="4" max="4" width="2.6640625" style="2685" customWidth="1"/>
    <col min="5" max="5" width="5.88671875" style="2685" customWidth="1"/>
    <col min="6" max="6" width="27" style="1708" customWidth="1"/>
    <col min="7" max="7" width="27" style="2686" customWidth="1"/>
    <col min="8" max="8" width="11.88671875" style="2666" customWidth="1"/>
    <col min="9" max="9" width="16.77734375" style="2667" customWidth="1"/>
    <col min="10" max="10" width="2.6640625" style="2666" customWidth="1"/>
    <col min="11" max="11" width="11.88671875" style="2666" customWidth="1"/>
    <col min="12" max="12" width="16.77734375" style="2667" customWidth="1"/>
    <col min="13" max="13" width="2.6640625" style="2666" customWidth="1"/>
    <col min="14" max="14" width="11.88671875" style="2666" customWidth="1"/>
    <col min="15" max="15" width="16.77734375" style="2667" customWidth="1"/>
    <col min="16" max="16" width="2.6640625" style="2666" customWidth="1"/>
    <col min="17" max="17" width="11.88671875" style="2666" customWidth="1"/>
    <col min="18" max="18" width="16.77734375" style="2668" customWidth="1"/>
    <col min="19" max="29" width="9" style="888"/>
    <col min="30" max="16384" width="9" style="1823"/>
  </cols>
  <sheetData>
    <row r="1" spans="1:29" s="2632" customFormat="1" ht="18" thickBot="1">
      <c r="A1" s="3322" t="s">
        <v>2787</v>
      </c>
      <c r="B1" s="3323"/>
      <c r="C1" s="3323"/>
      <c r="D1" s="3323"/>
      <c r="E1" s="3323"/>
      <c r="F1" s="3323"/>
      <c r="G1" s="3323"/>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7.200000000000003">
      <c r="A4" s="2617"/>
      <c r="B4" s="329" t="s">
        <v>2755</v>
      </c>
      <c r="C4" s="2643" t="s">
        <v>2756</v>
      </c>
      <c r="D4" s="2640"/>
      <c r="E4" s="2644"/>
      <c r="F4" s="1508" t="s">
        <v>2757</v>
      </c>
      <c r="G4" s="2645" t="s">
        <v>2758</v>
      </c>
      <c r="H4" s="888"/>
      <c r="I4" s="888"/>
      <c r="J4" s="888"/>
      <c r="K4" s="888"/>
      <c r="L4" s="888"/>
      <c r="M4" s="888"/>
      <c r="N4" s="888"/>
      <c r="O4" s="888"/>
      <c r="P4" s="888"/>
      <c r="Q4" s="888"/>
      <c r="R4" s="888"/>
    </row>
    <row r="5" spans="1:29" ht="37.200000000000003">
      <c r="A5" s="2617"/>
      <c r="B5" s="329" t="s">
        <v>2759</v>
      </c>
      <c r="C5" s="2643" t="s">
        <v>2760</v>
      </c>
      <c r="D5" s="2640"/>
      <c r="E5" s="2644"/>
      <c r="F5" s="329" t="s">
        <v>2761</v>
      </c>
      <c r="G5" s="2645" t="s">
        <v>2762</v>
      </c>
      <c r="H5" s="888"/>
      <c r="I5" s="888"/>
      <c r="J5" s="888"/>
      <c r="K5" s="888"/>
      <c r="L5" s="888"/>
      <c r="M5" s="888"/>
      <c r="N5" s="888"/>
      <c r="O5" s="888"/>
      <c r="P5" s="888"/>
      <c r="Q5" s="888"/>
      <c r="R5" s="888"/>
    </row>
    <row r="6" spans="1:29" ht="48">
      <c r="A6" s="2617"/>
      <c r="B6" s="329" t="s">
        <v>2763</v>
      </c>
      <c r="C6" s="2645" t="s">
        <v>2758</v>
      </c>
      <c r="D6" s="2640"/>
      <c r="E6" s="2644"/>
      <c r="F6" s="329" t="s">
        <v>2764</v>
      </c>
      <c r="G6" s="2645" t="s">
        <v>2765</v>
      </c>
      <c r="H6" s="888"/>
      <c r="I6" s="888"/>
      <c r="J6" s="888"/>
      <c r="K6" s="888"/>
      <c r="L6" s="888"/>
      <c r="M6" s="888"/>
      <c r="N6" s="888"/>
      <c r="O6" s="888"/>
      <c r="P6" s="888"/>
      <c r="Q6" s="888"/>
      <c r="R6" s="888"/>
    </row>
    <row r="7" spans="1:29" ht="36.6"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ht="24">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4.4"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7.399999999999999">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2788</v>
      </c>
      <c r="B13" s="2659"/>
      <c r="C13" s="2659"/>
      <c r="D13" s="2657"/>
      <c r="E13" s="2659"/>
      <c r="F13" s="2659"/>
      <c r="G13" s="2659"/>
    </row>
    <row r="14" spans="1:29" ht="14.4" thickBot="1">
      <c r="A14" s="2669"/>
      <c r="B14" s="2669"/>
      <c r="C14" s="2670" t="s">
        <v>2771</v>
      </c>
      <c r="D14" s="2640"/>
      <c r="E14" s="2671"/>
      <c r="F14" s="2671"/>
      <c r="G14" s="2635" t="s">
        <v>2772</v>
      </c>
    </row>
    <row r="15" spans="1:29" ht="52.8">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9.6">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9.6">
      <c r="A17" s="2621"/>
      <c r="B17" s="2675" t="s">
        <v>2759</v>
      </c>
      <c r="C17" s="2676" t="str">
        <f>C5</f>
        <v>估价对象位于XX商圈，周边办公楼项目较多，入驻率高，办公集聚程度较好</v>
      </c>
      <c r="D17" s="2646"/>
      <c r="E17" s="2622"/>
      <c r="F17" s="2677" t="s">
        <v>2776</v>
      </c>
      <c r="G17" s="2679"/>
    </row>
    <row r="18" spans="1:18" ht="52.8">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6.4">
      <c r="A19" s="2621"/>
      <c r="B19" s="2677" t="s">
        <v>2777</v>
      </c>
      <c r="C19" s="2679"/>
      <c r="D19" s="2640"/>
      <c r="E19" s="2622"/>
      <c r="F19" s="329" t="s">
        <v>2761</v>
      </c>
      <c r="G19" s="2678" t="str">
        <f>G5</f>
        <v>估价对象所在区域公共配套设施齐备情况</v>
      </c>
    </row>
    <row r="20" spans="1:18" ht="26.4">
      <c r="A20" s="2621"/>
      <c r="B20" s="2677" t="s">
        <v>2778</v>
      </c>
      <c r="C20" s="2676" t="str">
        <f>C9</f>
        <v>区域自然环境：；人文环境；综合评价环境状况一般</v>
      </c>
      <c r="D20" s="2646"/>
      <c r="E20" s="2622"/>
      <c r="F20" s="329" t="s">
        <v>2764</v>
      </c>
      <c r="G20" s="2678" t="str">
        <f>G6</f>
        <v>估价对象所在区域基础设施水平</v>
      </c>
    </row>
    <row r="21" spans="1:18" ht="26.4">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4.4"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4.4"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688" customWidth="1"/>
    <col min="2" max="9" width="15.77734375" style="2688" customWidth="1"/>
    <col min="10" max="16384" width="9" style="2688"/>
  </cols>
  <sheetData>
    <row r="1" spans="1:11" ht="16.2">
      <c r="A1" s="2687" t="s">
        <v>1090</v>
      </c>
      <c r="B1" s="2687">
        <f>SUM(B14:B23)</f>
        <v>10298.76</v>
      </c>
      <c r="C1" s="2864"/>
      <c r="D1" s="2864"/>
      <c r="E1" s="2864"/>
      <c r="F1" s="2864"/>
      <c r="G1" s="2865"/>
      <c r="H1" s="2866"/>
      <c r="I1" s="2866"/>
      <c r="J1" s="2866"/>
      <c r="K1" s="2866"/>
    </row>
    <row r="2" spans="1:11" ht="16.2">
      <c r="A2" s="2687" t="s">
        <v>1078</v>
      </c>
      <c r="B2" s="2687">
        <f>SUM(C14:C23)</f>
        <v>5682.86</v>
      </c>
      <c r="C2" s="2864"/>
      <c r="D2" s="2864"/>
      <c r="E2" s="2864"/>
      <c r="F2" s="2864"/>
      <c r="G2" s="2865"/>
      <c r="H2" s="2866"/>
      <c r="I2" s="2866"/>
      <c r="J2" s="2866"/>
      <c r="K2" s="2866"/>
    </row>
    <row r="3" spans="1:11" ht="15.6">
      <c r="A3" s="2687" t="s">
        <v>1087</v>
      </c>
      <c r="B3" s="2689">
        <f>项目基本情况!D3</f>
        <v>44782</v>
      </c>
      <c r="C3" s="2864"/>
      <c r="D3" s="2864"/>
      <c r="E3" s="2864"/>
      <c r="F3" s="2864"/>
      <c r="G3" s="2865"/>
      <c r="H3" s="2866"/>
      <c r="I3" s="2866"/>
      <c r="J3" s="2866"/>
      <c r="K3" s="2866"/>
    </row>
    <row r="4" spans="1:11" ht="31.2">
      <c r="A4" s="2687" t="s">
        <v>1086</v>
      </c>
      <c r="B4" s="2687" t="s">
        <v>1085</v>
      </c>
      <c r="C4" s="2687" t="s">
        <v>1084</v>
      </c>
      <c r="D4" s="2687" t="s">
        <v>1083</v>
      </c>
      <c r="E4" s="2864"/>
      <c r="F4" s="2865"/>
      <c r="G4" s="2865"/>
      <c r="H4" s="2866"/>
      <c r="I4" s="2866"/>
      <c r="J4" s="2866"/>
      <c r="K4" s="2866"/>
    </row>
    <row r="5" spans="1:11" ht="15.6">
      <c r="A5" s="2687" t="s">
        <v>1082</v>
      </c>
      <c r="B5" s="2687">
        <f ca="1">SUM(D14:D23)</f>
        <v>23508</v>
      </c>
      <c r="C5" s="2687">
        <f ca="1">ROUND(B5*10000/$B$1,0)</f>
        <v>22826</v>
      </c>
      <c r="D5" s="2687">
        <f ca="1">ROUND(B5*10000/$B$2,0)</f>
        <v>41366</v>
      </c>
      <c r="E5" s="2864"/>
      <c r="F5" s="2865"/>
      <c r="G5" s="2865"/>
      <c r="H5" s="2866"/>
      <c r="I5" s="2866"/>
      <c r="J5" s="2866"/>
      <c r="K5" s="2866"/>
    </row>
    <row r="6" spans="1:11" ht="15.6">
      <c r="A6" s="2687" t="s">
        <v>1081</v>
      </c>
      <c r="B6" s="2687">
        <f ca="1">SUM(G14:G23)</f>
        <v>23508</v>
      </c>
      <c r="C6" s="2687">
        <f ca="1">ROUND(B6*10000/$B$1,0)</f>
        <v>22826</v>
      </c>
      <c r="D6" s="2687">
        <f ca="1">ROUND(B6*10000/$B$2,0)</f>
        <v>41366</v>
      </c>
      <c r="E6" s="2864"/>
      <c r="F6" s="2865"/>
      <c r="G6" s="2865"/>
      <c r="H6" s="2866"/>
      <c r="I6" s="2866"/>
      <c r="J6" s="2866"/>
      <c r="K6" s="2866"/>
    </row>
    <row r="7" spans="1:11" ht="15.6">
      <c r="A7" s="2687" t="s">
        <v>1089</v>
      </c>
      <c r="B7" s="2687">
        <f>SUM(H14:H23)</f>
        <v>0</v>
      </c>
      <c r="C7" s="2687">
        <f>ROUND(B7*10000/$B$1,0)</f>
        <v>0</v>
      </c>
      <c r="D7" s="2687">
        <f>ROUND(B7*10000/$B$2,0)</f>
        <v>0</v>
      </c>
      <c r="E7" s="2864"/>
      <c r="F7" s="2865"/>
      <c r="G7" s="2865"/>
      <c r="H7" s="2866"/>
      <c r="I7" s="2866"/>
      <c r="J7" s="2866"/>
      <c r="K7" s="2866"/>
    </row>
    <row r="8" spans="1:11" ht="15.6">
      <c r="A8" s="2687" t="s">
        <v>1012</v>
      </c>
      <c r="B8" s="2687">
        <f>SUM(I14:I23)</f>
        <v>0</v>
      </c>
      <c r="C8" s="2687">
        <f>ROUND(B8*10000/$B$1,0)</f>
        <v>0</v>
      </c>
      <c r="D8" s="2687">
        <f>ROUND(B8*10000/$B$2,0)</f>
        <v>0</v>
      </c>
      <c r="E8" s="2864"/>
      <c r="F8" s="2865"/>
      <c r="G8" s="2865"/>
      <c r="H8" s="2866"/>
      <c r="I8" s="2866"/>
      <c r="J8" s="2866"/>
      <c r="K8" s="2866"/>
    </row>
    <row r="9" spans="1:11" ht="15.6">
      <c r="A9" s="2687" t="s">
        <v>1080</v>
      </c>
      <c r="B9" s="2695"/>
      <c r="C9" s="2864"/>
      <c r="D9" s="2864"/>
      <c r="E9" s="2864"/>
      <c r="F9" s="2865"/>
      <c r="G9" s="2865"/>
      <c r="H9" s="2866"/>
      <c r="I9" s="2866"/>
      <c r="J9" s="2866"/>
      <c r="K9" s="2866"/>
    </row>
    <row r="10" spans="1:11" ht="15.6">
      <c r="A10" s="2687" t="s">
        <v>1079</v>
      </c>
      <c r="B10" s="2695"/>
      <c r="C10" s="2864"/>
      <c r="D10" s="2864"/>
      <c r="E10" s="2864"/>
      <c r="F10" s="2865"/>
      <c r="G10" s="2865"/>
      <c r="H10" s="2866"/>
      <c r="I10" s="2866"/>
      <c r="J10" s="2866"/>
      <c r="K10" s="2866"/>
    </row>
    <row r="11" spans="1:11" ht="15.6">
      <c r="A11" s="2687" t="s">
        <v>1095</v>
      </c>
      <c r="B11" s="2695"/>
      <c r="C11" s="2864"/>
      <c r="D11" s="2864"/>
      <c r="E11" s="2864"/>
      <c r="F11" s="2865"/>
      <c r="G11" s="2865"/>
      <c r="H11" s="2866"/>
      <c r="I11" s="2866"/>
      <c r="J11" s="2866"/>
      <c r="K11" s="2866"/>
    </row>
    <row r="12" spans="1:11" ht="15.6">
      <c r="A12" s="2864"/>
      <c r="B12" s="2864"/>
      <c r="C12" s="2864"/>
      <c r="D12" s="2864"/>
      <c r="E12" s="2864"/>
      <c r="F12" s="2865"/>
      <c r="G12" s="2865"/>
      <c r="H12" s="2866"/>
      <c r="I12" s="2866"/>
      <c r="J12" s="2866"/>
      <c r="K12" s="2866"/>
    </row>
    <row r="13" spans="1:11" ht="31.8">
      <c r="A13" s="2690" t="s">
        <v>1094</v>
      </c>
      <c r="B13" s="2691" t="s">
        <v>1091</v>
      </c>
      <c r="C13" s="2691" t="s">
        <v>1093</v>
      </c>
      <c r="D13" s="2691" t="s">
        <v>1092</v>
      </c>
      <c r="E13" s="2687" t="s">
        <v>1084</v>
      </c>
      <c r="F13" s="2687" t="s">
        <v>1083</v>
      </c>
      <c r="G13" s="2691" t="s">
        <v>1077</v>
      </c>
      <c r="H13" s="2691" t="s">
        <v>1088</v>
      </c>
      <c r="I13" s="2691" t="s">
        <v>1076</v>
      </c>
      <c r="J13" s="2865"/>
      <c r="K13" s="2866"/>
    </row>
    <row r="14" spans="1:11" ht="15.6">
      <c r="A14" s="2692" t="s">
        <v>1075</v>
      </c>
      <c r="B14" s="2693">
        <f>结果表!B118</f>
        <v>10298.76</v>
      </c>
      <c r="C14" s="2693">
        <f>结果表!C118</f>
        <v>5682.86</v>
      </c>
      <c r="D14" s="2693">
        <f ca="1">结果表!H118</f>
        <v>23508</v>
      </c>
      <c r="E14" s="2693">
        <f ca="1">ROUND(D14*10000/B14,0)</f>
        <v>22826</v>
      </c>
      <c r="F14" s="2693">
        <f ca="1">ROUND(D14*10000/C14,0)</f>
        <v>41366</v>
      </c>
      <c r="G14" s="2693">
        <f ca="1">结果表!D122</f>
        <v>23508</v>
      </c>
      <c r="H14" s="2693" t="str">
        <f>结果表!D124</f>
        <v>——</v>
      </c>
      <c r="I14" s="2693" t="str">
        <f>结果表!D126</f>
        <v>——</v>
      </c>
      <c r="J14" s="2865"/>
      <c r="K14" s="2866"/>
    </row>
    <row r="15" spans="1:11" ht="15.6">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5.6">
      <c r="A16" s="2692" t="s">
        <v>1073</v>
      </c>
      <c r="B16" s="2694"/>
      <c r="C16" s="2694"/>
      <c r="D16" s="2694"/>
      <c r="E16" s="2693" t="e">
        <f t="shared" si="0"/>
        <v>#DIV/0!</v>
      </c>
      <c r="F16" s="2693" t="e">
        <f t="shared" si="1"/>
        <v>#DIV/0!</v>
      </c>
      <c r="G16" s="1452"/>
      <c r="H16" s="1452"/>
      <c r="I16" s="2694"/>
      <c r="J16" s="2866"/>
      <c r="K16" s="2866"/>
    </row>
    <row r="17" spans="1:11" ht="15.6">
      <c r="A17" s="2692" t="s">
        <v>1072</v>
      </c>
      <c r="B17" s="2694"/>
      <c r="C17" s="2694"/>
      <c r="D17" s="2694"/>
      <c r="E17" s="2693" t="e">
        <f t="shared" si="0"/>
        <v>#DIV/0!</v>
      </c>
      <c r="F17" s="2693" t="e">
        <f t="shared" si="1"/>
        <v>#DIV/0!</v>
      </c>
      <c r="G17" s="1452"/>
      <c r="H17" s="1452"/>
      <c r="I17" s="2694"/>
      <c r="J17" s="2866"/>
      <c r="K17" s="2866"/>
    </row>
    <row r="18" spans="1:11" ht="15.6">
      <c r="A18" s="2692" t="s">
        <v>1071</v>
      </c>
      <c r="B18" s="2694"/>
      <c r="C18" s="2694"/>
      <c r="D18" s="2694"/>
      <c r="E18" s="2693" t="e">
        <f t="shared" si="0"/>
        <v>#DIV/0!</v>
      </c>
      <c r="F18" s="2693" t="e">
        <f t="shared" si="1"/>
        <v>#DIV/0!</v>
      </c>
      <c r="G18" s="2694"/>
      <c r="H18" s="2694"/>
      <c r="I18" s="2694"/>
      <c r="J18" s="2866"/>
      <c r="K18" s="2866"/>
    </row>
    <row r="19" spans="1:11" ht="15.6">
      <c r="A19" s="2692" t="s">
        <v>1070</v>
      </c>
      <c r="B19" s="2694"/>
      <c r="C19" s="2694"/>
      <c r="D19" s="2694"/>
      <c r="E19" s="2693" t="e">
        <f t="shared" si="0"/>
        <v>#DIV/0!</v>
      </c>
      <c r="F19" s="2693" t="e">
        <f t="shared" si="1"/>
        <v>#DIV/0!</v>
      </c>
      <c r="G19" s="2694"/>
      <c r="H19" s="2694"/>
      <c r="I19" s="2694"/>
      <c r="J19" s="2866"/>
      <c r="K19" s="2866"/>
    </row>
    <row r="20" spans="1:11" ht="15.6">
      <c r="A20" s="2692" t="s">
        <v>1069</v>
      </c>
      <c r="B20" s="2694"/>
      <c r="C20" s="2694"/>
      <c r="D20" s="2694"/>
      <c r="E20" s="2693" t="e">
        <f t="shared" si="0"/>
        <v>#DIV/0!</v>
      </c>
      <c r="F20" s="2693" t="e">
        <f t="shared" si="1"/>
        <v>#DIV/0!</v>
      </c>
      <c r="G20" s="2694"/>
      <c r="H20" s="2694"/>
      <c r="I20" s="2694"/>
      <c r="J20" s="2866"/>
      <c r="K20" s="2866"/>
    </row>
    <row r="21" spans="1:11" ht="15.6">
      <c r="A21" s="2692" t="s">
        <v>1068</v>
      </c>
      <c r="B21" s="2694"/>
      <c r="C21" s="2694"/>
      <c r="D21" s="2694"/>
      <c r="E21" s="2693" t="e">
        <f t="shared" si="0"/>
        <v>#DIV/0!</v>
      </c>
      <c r="F21" s="2693" t="e">
        <f t="shared" si="1"/>
        <v>#DIV/0!</v>
      </c>
      <c r="G21" s="2694"/>
      <c r="H21" s="2694"/>
      <c r="I21" s="2694"/>
      <c r="J21" s="2866"/>
      <c r="K21" s="2866"/>
    </row>
    <row r="22" spans="1:11" ht="15.6">
      <c r="A22" s="2692" t="s">
        <v>1067</v>
      </c>
      <c r="B22" s="2694"/>
      <c r="C22" s="2694"/>
      <c r="D22" s="2694"/>
      <c r="E22" s="2693" t="e">
        <f t="shared" si="0"/>
        <v>#DIV/0!</v>
      </c>
      <c r="F22" s="2693" t="e">
        <f t="shared" si="1"/>
        <v>#DIV/0!</v>
      </c>
      <c r="G22" s="2694"/>
      <c r="H22" s="2694"/>
      <c r="I22" s="2694"/>
      <c r="J22" s="2866"/>
      <c r="K22" s="2866"/>
    </row>
    <row r="23" spans="1:11" ht="15.6">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3" zoomScale="85" zoomScaleNormal="100" zoomScaleSheetLayoutView="85" zoomScalePageLayoutView="80" workbookViewId="0">
      <selection activeCell="D119" sqref="D119:I119"/>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t="s">
        <v>1102</v>
      </c>
      <c r="D1" s="1884"/>
      <c r="E1" s="1884"/>
      <c r="F1" s="1886" t="s">
        <v>1708</v>
      </c>
      <c r="G1" s="1697" t="s">
        <v>3208</v>
      </c>
      <c r="H1" s="1887" t="str">
        <f>IF(G1="现房","——","估价对象范围")</f>
        <v>——</v>
      </c>
      <c r="I1" s="1888" t="s">
        <v>3209</v>
      </c>
    </row>
    <row r="2" spans="1:12" ht="21.75" customHeight="1" thickBot="1">
      <c r="A2" s="3358" t="str">
        <f>项目基本情况!S2</f>
        <v>北京市丰台区角门路2号院综合楼房地产</v>
      </c>
      <c r="B2" s="3359"/>
      <c r="C2" s="3359"/>
      <c r="D2" s="3359"/>
      <c r="E2" s="3359"/>
      <c r="F2" s="3359"/>
      <c r="G2" s="3359"/>
      <c r="H2" s="3359"/>
      <c r="I2" s="3360"/>
    </row>
    <row r="3" spans="1:12" ht="13.2">
      <c r="A3" s="3362" t="s">
        <v>1709</v>
      </c>
      <c r="B3" s="3363"/>
      <c r="C3" s="3363"/>
      <c r="D3" s="3363"/>
      <c r="E3" s="3363"/>
      <c r="F3" s="3363"/>
      <c r="G3" s="3363"/>
      <c r="H3" s="3363"/>
      <c r="I3" s="3363"/>
    </row>
    <row r="4" spans="1:12" ht="14.4">
      <c r="A4" s="1891" t="s">
        <v>1710</v>
      </c>
      <c r="B4" s="1892" t="s">
        <v>1711</v>
      </c>
      <c r="C4" s="1893" t="s">
        <v>3194</v>
      </c>
      <c r="D4" s="1893" t="s">
        <v>3185</v>
      </c>
      <c r="E4" s="3364" t="s">
        <v>1712</v>
      </c>
      <c r="F4" s="3365"/>
      <c r="G4" s="3365"/>
      <c r="H4" s="3365"/>
      <c r="I4" s="336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38" t="s">
        <v>1713</v>
      </c>
      <c r="B5" s="3325">
        <v>25</v>
      </c>
      <c r="C5" s="3341"/>
      <c r="D5" s="3361"/>
      <c r="E5" s="136" t="s">
        <v>1714</v>
      </c>
      <c r="F5" s="1894"/>
      <c r="G5" s="1894"/>
      <c r="H5" s="1894"/>
      <c r="I5" s="1508"/>
    </row>
    <row r="6" spans="1:12" ht="13.2">
      <c r="A6" s="3338"/>
      <c r="B6" s="3325"/>
      <c r="C6" s="3342"/>
      <c r="D6" s="3361"/>
      <c r="E6" s="136" t="s">
        <v>1715</v>
      </c>
      <c r="F6" s="1894"/>
      <c r="G6" s="1894"/>
      <c r="H6" s="1894"/>
      <c r="I6" s="1508"/>
    </row>
    <row r="7" spans="1:12" ht="13.2">
      <c r="A7" s="3338"/>
      <c r="B7" s="3325"/>
      <c r="C7" s="3343"/>
      <c r="D7" s="3361"/>
      <c r="E7" s="136" t="s">
        <v>1716</v>
      </c>
      <c r="F7" s="1894"/>
      <c r="G7" s="1894"/>
      <c r="H7" s="1894"/>
      <c r="I7" s="1508"/>
    </row>
    <row r="8" spans="1:12" ht="13.2">
      <c r="A8" s="3338" t="s">
        <v>1717</v>
      </c>
      <c r="B8" s="3325">
        <v>15</v>
      </c>
      <c r="C8" s="3341"/>
      <c r="D8" s="3361"/>
      <c r="E8" s="136" t="s">
        <v>1718</v>
      </c>
      <c r="F8" s="1894"/>
      <c r="G8" s="1894"/>
      <c r="H8" s="1894"/>
      <c r="I8" s="1508"/>
    </row>
    <row r="9" spans="1:12" ht="13.2">
      <c r="A9" s="3338"/>
      <c r="B9" s="3325"/>
      <c r="C9" s="3343"/>
      <c r="D9" s="3361"/>
      <c r="E9" s="136" t="s">
        <v>1719</v>
      </c>
      <c r="F9" s="1894"/>
      <c r="G9" s="1894"/>
      <c r="H9" s="1894"/>
      <c r="I9" s="1508"/>
    </row>
    <row r="10" spans="1:12" ht="13.2">
      <c r="A10" s="3338" t="s">
        <v>1720</v>
      </c>
      <c r="B10" s="3325">
        <v>15</v>
      </c>
      <c r="C10" s="3341"/>
      <c r="D10" s="3361"/>
      <c r="E10" s="136" t="s">
        <v>1721</v>
      </c>
      <c r="F10" s="1894"/>
      <c r="G10" s="1894"/>
      <c r="H10" s="1894"/>
      <c r="I10" s="1508"/>
    </row>
    <row r="11" spans="1:12" ht="13.2">
      <c r="A11" s="3338"/>
      <c r="B11" s="3325"/>
      <c r="C11" s="3343"/>
      <c r="D11" s="3361"/>
      <c r="E11" s="136" t="s">
        <v>1722</v>
      </c>
      <c r="F11" s="1894"/>
      <c r="G11" s="1894"/>
      <c r="H11" s="1894"/>
      <c r="I11" s="1508"/>
    </row>
    <row r="12" spans="1:12" ht="13.2">
      <c r="A12" s="3338" t="s">
        <v>1723</v>
      </c>
      <c r="B12" s="3325">
        <v>15</v>
      </c>
      <c r="C12" s="3341"/>
      <c r="D12" s="3361"/>
      <c r="E12" s="136" t="s">
        <v>1724</v>
      </c>
      <c r="F12" s="1894"/>
      <c r="G12" s="1894"/>
      <c r="H12" s="1894"/>
      <c r="I12" s="1508"/>
    </row>
    <row r="13" spans="1:12" ht="13.2">
      <c r="A13" s="3338"/>
      <c r="B13" s="3325"/>
      <c r="C13" s="3343"/>
      <c r="D13" s="3361"/>
      <c r="E13" s="136" t="s">
        <v>1725</v>
      </c>
      <c r="F13" s="1894"/>
      <c r="G13" s="1894"/>
      <c r="H13" s="1894"/>
      <c r="I13" s="1508"/>
    </row>
    <row r="14" spans="1:12" ht="13.2">
      <c r="A14" s="3338" t="s">
        <v>1726</v>
      </c>
      <c r="B14" s="3325">
        <v>30</v>
      </c>
      <c r="C14" s="3341">
        <v>5</v>
      </c>
      <c r="D14" s="3361">
        <v>5</v>
      </c>
      <c r="E14" s="136" t="s">
        <v>1727</v>
      </c>
      <c r="F14" s="1894"/>
      <c r="G14" s="1894"/>
      <c r="H14" s="1894"/>
      <c r="I14" s="1508"/>
    </row>
    <row r="15" spans="1:12" ht="13.2">
      <c r="A15" s="3338"/>
      <c r="B15" s="3325"/>
      <c r="C15" s="3342"/>
      <c r="D15" s="3361"/>
      <c r="E15" s="136" t="s">
        <v>1728</v>
      </c>
      <c r="F15" s="1894"/>
      <c r="G15" s="1894"/>
      <c r="H15" s="1894"/>
      <c r="I15" s="1508"/>
    </row>
    <row r="16" spans="1:12" ht="13.2">
      <c r="A16" s="3338"/>
      <c r="B16" s="3325"/>
      <c r="C16" s="3343"/>
      <c r="D16" s="3361"/>
      <c r="E16" s="136" t="s">
        <v>1729</v>
      </c>
      <c r="F16" s="1894"/>
      <c r="G16" s="1894"/>
      <c r="H16" s="1894"/>
      <c r="I16" s="1508"/>
    </row>
    <row r="17" spans="1:36" ht="14.4">
      <c r="A17" s="1895" t="s">
        <v>1730</v>
      </c>
      <c r="B17" s="60"/>
      <c r="C17" s="137">
        <f>SUM(C5:C16)</f>
        <v>5</v>
      </c>
      <c r="D17" s="137">
        <f>SUM(D5:D16)</f>
        <v>5</v>
      </c>
      <c r="E17" s="134"/>
      <c r="F17" s="134"/>
      <c r="G17" s="134"/>
      <c r="H17" s="134"/>
      <c r="I17" s="134"/>
      <c r="K17" s="308"/>
      <c r="L17" s="308" t="s">
        <v>1731</v>
      </c>
      <c r="M17" s="308" t="s">
        <v>1732</v>
      </c>
    </row>
    <row r="18" spans="1:36" ht="31.95" customHeight="1" thickBot="1">
      <c r="A18" s="1896" t="s">
        <v>1733</v>
      </c>
      <c r="B18" s="1897"/>
      <c r="C18" s="138">
        <f>ROUND(C17/SUM(C17:D17),2)</f>
        <v>0.5</v>
      </c>
      <c r="D18" s="138">
        <f>1-C18</f>
        <v>0.5</v>
      </c>
      <c r="E18" s="3348" t="s">
        <v>2632</v>
      </c>
      <c r="F18" s="3349"/>
      <c r="G18" s="3349"/>
      <c r="H18" s="3349"/>
      <c r="I18" s="3349"/>
      <c r="K18" s="308" t="s">
        <v>1734</v>
      </c>
      <c r="L18" s="308">
        <f>IF(C1="",'数据-汇总表'!E3,SUMIF(项目类型,C1,'数据-汇总表'!E17:E26)+SUMIF(项目类型,C1,'数据-汇总表'!I17:I26))</f>
        <v>10298.76</v>
      </c>
      <c r="M18" s="308">
        <f>IF(C1="",'数据-汇总表'!E3,SUMIF(项目类型,C1,'数据-汇总表'!E17:E26))</f>
        <v>10298.76</v>
      </c>
    </row>
    <row r="19" spans="1:36" ht="14.4">
      <c r="A19" s="1898" t="s">
        <v>1735</v>
      </c>
      <c r="B19" s="1899" t="s">
        <v>1736</v>
      </c>
      <c r="C19" s="139">
        <f ca="1">SUMIF(INDIRECT("'"&amp;C4&amp;"'"&amp;"!A:A"),结果表!B19,INDIRECT("'"&amp;C4&amp;"'"&amp;"!B:B"))</f>
        <v>26564</v>
      </c>
      <c r="D19" s="140">
        <f ca="1">SUMIF(INDIRECT("'"&amp;D4&amp;"'"&amp;"!A:A"),结果表!B19,INDIRECT("'"&amp;D4&amp;"'"&amp;"!B:B"))</f>
        <v>20451</v>
      </c>
      <c r="E19" s="1898" t="s">
        <v>1737</v>
      </c>
      <c r="F19" s="1899" t="s">
        <v>1736</v>
      </c>
      <c r="G19" s="141">
        <f ca="1">ROUND(C19*$C$18+D19*$D$18,0)</f>
        <v>23508</v>
      </c>
      <c r="H19" s="1900" t="s">
        <v>1738</v>
      </c>
      <c r="I19" s="134"/>
      <c r="K19" s="308" t="s">
        <v>1739</v>
      </c>
      <c r="L19" s="308">
        <f>IF(C1="",'数据-汇总表'!D3,SUMIF(项目类型,C1,'数据-汇总表'!D17:D26)+SUMIF(项目类型,C1,'数据-汇总表'!H17:H27))</f>
        <v>5682.86</v>
      </c>
      <c r="M19" s="308">
        <f>IF(C1="",'数据-汇总表'!D3,SUMIF(项目类型,C1,'数据-汇总表'!D17:D26))</f>
        <v>5682.86</v>
      </c>
    </row>
    <row r="20" spans="1:36" ht="14.4">
      <c r="A20" s="1901"/>
      <c r="B20" s="1138" t="s">
        <v>1740</v>
      </c>
      <c r="C20" s="142">
        <f ca="1">SUMIF(INDIRECT("'"&amp;C4&amp;"'"&amp;"!A:A"),结果表!B20,INDIRECT("'"&amp;C4&amp;"'"&amp;"!B:B"))</f>
        <v>25793</v>
      </c>
      <c r="D20" s="143">
        <f ca="1">SUMIF(INDIRECT("'"&amp;D4&amp;"'"&amp;"!A:A"),结果表!B20,INDIRECT("'"&amp;D4&amp;"'"&amp;"!B:B"))</f>
        <v>19858</v>
      </c>
      <c r="E20" s="1901"/>
      <c r="F20" s="1138" t="s">
        <v>1740</v>
      </c>
      <c r="G20" s="144">
        <f ca="1">ROUND(C20*$C$18+D20*$D$18,0)</f>
        <v>22826</v>
      </c>
      <c r="H20" s="898" t="s">
        <v>1741</v>
      </c>
      <c r="I20" s="134"/>
    </row>
    <row r="21" spans="1:36" ht="15" customHeight="1" thickBot="1">
      <c r="A21" s="918"/>
      <c r="B21" s="1902" t="s">
        <v>1742</v>
      </c>
      <c r="C21" s="728">
        <f ca="1">ROUND(C19*10000/L19,0)</f>
        <v>46744</v>
      </c>
      <c r="D21" s="729">
        <f ca="1">ROUND(D19*10000/L19,0)</f>
        <v>35987</v>
      </c>
      <c r="E21" s="918"/>
      <c r="F21" s="1902" t="s">
        <v>1742</v>
      </c>
      <c r="G21" s="145">
        <f ca="1">ROUND(G19*10000/L19,0)</f>
        <v>41366</v>
      </c>
      <c r="H21" s="1903" t="s">
        <v>1741</v>
      </c>
      <c r="I21" s="134"/>
    </row>
    <row r="22" spans="1:36" ht="15" thickBot="1">
      <c r="A22" s="1825" t="s">
        <v>1743</v>
      </c>
      <c r="B22" s="1904"/>
      <c r="C22" s="1905"/>
      <c r="D22" s="730">
        <f ca="1">IF(C19&lt;D19,D19/C19-1,C19/D19-1)</f>
        <v>0.2989095887731652</v>
      </c>
      <c r="E22" s="134"/>
      <c r="F22" s="134"/>
      <c r="G22" s="134"/>
      <c r="H22" s="134"/>
      <c r="I22" s="134"/>
    </row>
    <row r="23" spans="1:36" ht="13.8" thickBot="1">
      <c r="A23" s="1884"/>
      <c r="B23" s="1884"/>
      <c r="C23" s="1884"/>
      <c r="D23" s="1884"/>
      <c r="E23" s="134"/>
      <c r="F23" s="134"/>
      <c r="G23" s="134"/>
      <c r="H23" s="134"/>
      <c r="I23" s="134"/>
    </row>
    <row r="24" spans="1:36" ht="14.4">
      <c r="A24" s="3332" t="s">
        <v>1744</v>
      </c>
      <c r="B24" s="1899" t="s">
        <v>1736</v>
      </c>
      <c r="C24" s="141">
        <f>IF(B30=0,0,D30)</f>
        <v>0</v>
      </c>
      <c r="D24" s="1906"/>
      <c r="E24" s="134"/>
      <c r="F24" s="134"/>
      <c r="G24" s="134"/>
      <c r="H24" s="134"/>
      <c r="I24" s="134"/>
    </row>
    <row r="25" spans="1:36" ht="14.4">
      <c r="A25" s="333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23508</v>
      </c>
      <c r="D32" s="1912" t="s">
        <v>3195</v>
      </c>
      <c r="E32" s="134"/>
      <c r="F32" s="134"/>
      <c r="G32" s="134"/>
      <c r="H32" s="134"/>
      <c r="I32" s="134"/>
    </row>
    <row r="33" spans="1:15" ht="14.4">
      <c r="A33" s="875" t="s">
        <v>1751</v>
      </c>
      <c r="B33" s="1913"/>
      <c r="C33" s="1914" t="s">
        <v>3204</v>
      </c>
      <c r="D33" s="1915" t="s">
        <v>3194</v>
      </c>
      <c r="E33" s="1916" t="s">
        <v>1752</v>
      </c>
      <c r="F33" s="1917" t="str">
        <f>IF(D32="楼面单价","取值（单价）","取值（总价）")</f>
        <v>取值（总价）</v>
      </c>
      <c r="G33" s="134"/>
      <c r="H33" s="134"/>
      <c r="I33" s="134"/>
    </row>
    <row r="34" spans="1:15" ht="14.4">
      <c r="A34" s="1918"/>
      <c r="B34" s="1919" t="s">
        <v>1753</v>
      </c>
      <c r="C34" s="153">
        <f ca="1">IF(C33="自定义",F34,C32-C35)</f>
        <v>20640</v>
      </c>
      <c r="D34" s="951">
        <f ca="1">IF(C33="自定义",ROUND(C34/C32,3),IF(C33="收益比率",SUMIF(INDIRECT("'"&amp;D33&amp;"'"&amp;"!b:b"),"土地收益比率",INDIRECT("'"&amp;D33&amp;"'"&amp;"!c:c")),SUMIF(INDIRECT("'"&amp;D33&amp;"'"&amp;"!b:b"),"土地成本比率",INDIRECT("'"&amp;D33&amp;"'"&amp;"!c:c"))))</f>
        <v>0.878</v>
      </c>
      <c r="E34" s="1920" t="s">
        <v>1754</v>
      </c>
      <c r="F34" s="1451"/>
      <c r="G34" s="134"/>
      <c r="H34" s="134"/>
      <c r="I34" s="134"/>
    </row>
    <row r="35" spans="1:15" ht="15" thickBot="1">
      <c r="A35" s="1921"/>
      <c r="B35" s="1922" t="s">
        <v>1755</v>
      </c>
      <c r="C35" s="1285">
        <f ca="1">IF(C33="自定义",F35,ROUND(C32*D35,0))</f>
        <v>2868</v>
      </c>
      <c r="D35" s="1286">
        <f ca="1">IF(C33="自定义",ROUND(C35/C32,3),IF(C33="收益比率",SUMIF(INDIRECT("'"&amp;D33&amp;"'"&amp;"!b:b"),"建筑物收益比率",INDIRECT("'"&amp;D33&amp;"'"&amp;"!c:c")),SUMIF(INDIRECT("'"&amp;D33&amp;"'"&amp;"!b:b"),"建筑物成本比率",INDIRECT("'"&amp;D33&amp;"'"&amp;"!c:c"))))</f>
        <v>0.122</v>
      </c>
      <c r="E35" s="1923" t="s">
        <v>1756</v>
      </c>
      <c r="F35" s="159"/>
      <c r="G35" s="134"/>
      <c r="H35" s="134"/>
      <c r="I35" s="134"/>
    </row>
    <row r="36" spans="1:15" ht="15" thickBot="1">
      <c r="A36" s="3352" t="s">
        <v>1757</v>
      </c>
      <c r="B36" s="1924" t="s">
        <v>1758</v>
      </c>
      <c r="C36" s="150"/>
      <c r="D36" s="1925"/>
      <c r="E36" s="1926"/>
      <c r="F36" s="1927"/>
      <c r="G36" s="134"/>
      <c r="H36" s="134"/>
      <c r="I36" s="134"/>
    </row>
    <row r="37" spans="1:15" ht="15" thickBot="1">
      <c r="A37" s="3353"/>
      <c r="B37" s="1811" t="s">
        <v>1759</v>
      </c>
      <c r="C37" s="152"/>
      <c r="D37" s="1254"/>
      <c r="E37" s="1254"/>
      <c r="F37" s="1927"/>
      <c r="G37" s="134"/>
      <c r="H37" s="134"/>
      <c r="I37" s="134"/>
    </row>
    <row r="38" spans="1:15" ht="15" thickBot="1">
      <c r="A38" s="3354"/>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9" t="s">
        <v>1771</v>
      </c>
      <c r="B45" s="3330"/>
      <c r="C45" s="3331"/>
      <c r="D45" s="160">
        <f ca="1">ROUND(H101*F45,0)</f>
        <v>23508</v>
      </c>
      <c r="E45" s="161" t="s">
        <v>1772</v>
      </c>
      <c r="F45" s="162">
        <v>1</v>
      </c>
      <c r="G45" s="163" t="s">
        <v>1773</v>
      </c>
      <c r="H45" s="134"/>
      <c r="I45" s="134"/>
      <c r="J45" s="3410" t="s">
        <v>1774</v>
      </c>
      <c r="K45" s="3410"/>
      <c r="L45" s="3410"/>
      <c r="M45" s="3410"/>
      <c r="N45" s="3410"/>
      <c r="O45" s="3410"/>
    </row>
    <row r="46" spans="1:15" ht="14.25" customHeight="1">
      <c r="A46" s="3326" t="s">
        <v>1775</v>
      </c>
      <c r="B46" s="3327"/>
      <c r="C46" s="3327"/>
      <c r="D46" s="3327"/>
      <c r="E46" s="3327"/>
      <c r="F46" s="3327"/>
      <c r="G46" s="3328"/>
      <c r="H46" s="1943"/>
      <c r="I46" s="164"/>
      <c r="J46" s="2698">
        <v>1</v>
      </c>
      <c r="K46" s="3391" t="s">
        <v>1776</v>
      </c>
      <c r="L46" s="3391"/>
      <c r="M46" s="3411"/>
      <c r="N46" s="3411"/>
      <c r="O46" s="3411"/>
    </row>
    <row r="47" spans="1:15" ht="12" customHeight="1">
      <c r="A47" s="165" t="s">
        <v>1777</v>
      </c>
      <c r="B47" s="166"/>
      <c r="C47" s="167"/>
      <c r="D47" s="1200" t="s">
        <v>1778</v>
      </c>
      <c r="E47" s="308" t="s">
        <v>1779</v>
      </c>
      <c r="F47" s="168" t="s">
        <v>1780</v>
      </c>
      <c r="G47" s="2721" t="s">
        <v>1781</v>
      </c>
      <c r="H47" s="2722"/>
      <c r="I47" s="164"/>
      <c r="J47" s="2698">
        <v>2</v>
      </c>
      <c r="K47" s="3391" t="s">
        <v>1782</v>
      </c>
      <c r="L47" s="3391"/>
      <c r="M47" s="3412">
        <f>'数据-取费表'!B2</f>
        <v>44782</v>
      </c>
      <c r="N47" s="3412"/>
      <c r="O47" s="3412"/>
    </row>
    <row r="48" spans="1:15" ht="26.4">
      <c r="A48" s="3357" t="s">
        <v>1783</v>
      </c>
      <c r="B48" s="3340"/>
      <c r="C48" s="3340"/>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91" t="s">
        <v>1785</v>
      </c>
      <c r="L48" s="3391"/>
      <c r="M48" s="3413">
        <f ca="1">H101</f>
        <v>23508</v>
      </c>
      <c r="N48" s="3413"/>
      <c r="O48" s="3413"/>
    </row>
    <row r="49" spans="1:35" ht="25.5" customHeight="1">
      <c r="A49" s="2507" t="s">
        <v>1786</v>
      </c>
      <c r="B49" s="3324" t="s">
        <v>1787</v>
      </c>
      <c r="C49" s="3324"/>
      <c r="D49" s="1726">
        <v>0</v>
      </c>
      <c r="E49" s="330" t="s">
        <v>1788</v>
      </c>
      <c r="F49" s="2599" t="s">
        <v>34</v>
      </c>
      <c r="G49" s="3397"/>
      <c r="H49" s="2479" t="s">
        <v>2635</v>
      </c>
      <c r="I49" s="2480"/>
      <c r="J49" s="2698">
        <v>4</v>
      </c>
      <c r="K49" s="3391" t="str">
        <f>IF(项目基本情况!E8="房地产抵押价值","房地产抵押价值","抵押担保权已注销时的房地产抵押价值")</f>
        <v>房地产抵押价值</v>
      </c>
      <c r="L49" s="3391"/>
      <c r="M49" s="3413">
        <f ca="1">IF(项目基本情况!E8="房地产抵押价值",H107,H109)</f>
        <v>23508</v>
      </c>
      <c r="N49" s="3413"/>
      <c r="O49" s="3413"/>
    </row>
    <row r="50" spans="1:35" ht="25.5" customHeight="1">
      <c r="A50" s="2726"/>
      <c r="B50" s="3324" t="s">
        <v>1789</v>
      </c>
      <c r="C50" s="3324"/>
      <c r="D50" s="2727"/>
      <c r="E50" s="338"/>
      <c r="F50" s="2599"/>
      <c r="G50" s="3398"/>
      <c r="H50" s="2481" t="s">
        <v>2636</v>
      </c>
      <c r="I50" s="2480"/>
      <c r="J50" s="3410" t="s">
        <v>1790</v>
      </c>
      <c r="K50" s="3410"/>
      <c r="L50" s="3410"/>
      <c r="M50" s="3410"/>
      <c r="N50" s="3410"/>
      <c r="O50" s="3410"/>
    </row>
    <row r="51" spans="1:35" ht="20.399999999999999" customHeight="1">
      <c r="A51" s="2728"/>
      <c r="B51" s="3324" t="s">
        <v>1791</v>
      </c>
      <c r="C51" s="3324"/>
      <c r="D51" s="1200"/>
      <c r="E51" s="333"/>
      <c r="F51" s="2599"/>
      <c r="G51" s="3399"/>
      <c r="H51" s="2481" t="s">
        <v>2637</v>
      </c>
      <c r="I51" s="2480"/>
      <c r="J51" s="2699" t="s">
        <v>1792</v>
      </c>
      <c r="K51" s="3391" t="s">
        <v>1793</v>
      </c>
      <c r="L51" s="3391"/>
      <c r="M51" s="2699" t="s">
        <v>1794</v>
      </c>
      <c r="N51" s="2699" t="s">
        <v>1795</v>
      </c>
      <c r="O51" s="2699" t="s">
        <v>1796</v>
      </c>
    </row>
    <row r="52" spans="1:35" ht="24" customHeight="1">
      <c r="A52" s="2509" t="s">
        <v>1797</v>
      </c>
      <c r="B52" s="3324" t="s">
        <v>1798</v>
      </c>
      <c r="C52" s="3324"/>
      <c r="D52" s="1200">
        <f ca="1">ROUND(D45*'数据-取费表'!B41/(1+'数据-取费表'!C42),0)</f>
        <v>1254</v>
      </c>
      <c r="E52" s="2508" t="s">
        <v>1799</v>
      </c>
      <c r="F52" s="2729">
        <f>'数据-取费表'!B41</f>
        <v>5.6000000000000001E-2</v>
      </c>
      <c r="G52" s="2730"/>
      <c r="H52" s="2719"/>
      <c r="I52" s="1944"/>
      <c r="J52" s="2698">
        <v>1</v>
      </c>
      <c r="K52" s="3392" t="s">
        <v>1800</v>
      </c>
      <c r="L52" s="3392"/>
      <c r="M52" s="2700" t="b">
        <f>D48</f>
        <v>0</v>
      </c>
      <c r="N52" s="2698" t="str">
        <f>E48</f>
        <v>销售额×税（费）率</v>
      </c>
      <c r="O52" s="2701">
        <f>F48</f>
        <v>5.6000000000000001E-2</v>
      </c>
    </row>
    <row r="53" spans="1:35" ht="12" customHeight="1">
      <c r="A53" s="2509" t="s">
        <v>1801</v>
      </c>
      <c r="B53" s="3350" t="s">
        <v>2792</v>
      </c>
      <c r="C53" s="3351"/>
      <c r="D53" s="1200">
        <f ca="1">ROUND(D45*'数据-取费表'!B41/(1+'数据-取费表'!C42),0)</f>
        <v>1254</v>
      </c>
      <c r="E53" s="2508" t="s">
        <v>1799</v>
      </c>
      <c r="F53" s="2729">
        <f>'数据-取费表'!B41</f>
        <v>5.6000000000000001E-2</v>
      </c>
      <c r="G53" s="2730"/>
      <c r="H53" s="2719"/>
      <c r="I53" s="1944"/>
      <c r="J53" s="2698">
        <v>2</v>
      </c>
      <c r="K53" s="3392" t="s">
        <v>1802</v>
      </c>
      <c r="L53" s="3392"/>
      <c r="M53" s="2700">
        <f t="shared" ref="M53:O54" ca="1" si="0">D55</f>
        <v>12</v>
      </c>
      <c r="N53" s="2698" t="str">
        <f t="shared" si="0"/>
        <v>销售额×税（费）率</v>
      </c>
      <c r="O53" s="2701" t="str">
        <f t="shared" si="0"/>
        <v>免征</v>
      </c>
    </row>
    <row r="54" spans="1:35" ht="12" customHeight="1">
      <c r="A54" s="2509" t="s">
        <v>1803</v>
      </c>
      <c r="B54" s="3350" t="s">
        <v>2793</v>
      </c>
      <c r="C54" s="3351"/>
      <c r="D54" s="1200">
        <f ca="1">C68</f>
        <v>1254</v>
      </c>
      <c r="E54" s="333" t="s">
        <v>1804</v>
      </c>
      <c r="F54" s="2729">
        <f>'数据-取费表'!B41</f>
        <v>5.6000000000000001E-2</v>
      </c>
      <c r="G54" s="2730"/>
      <c r="H54" s="2731"/>
      <c r="I54" s="1944"/>
      <c r="J54" s="2698">
        <v>3</v>
      </c>
      <c r="K54" s="3392" t="s">
        <v>1805</v>
      </c>
      <c r="L54" s="3392"/>
      <c r="M54" s="2700">
        <f t="shared" ca="1" si="0"/>
        <v>13306</v>
      </c>
      <c r="N54" s="2698" t="str">
        <f t="shared" si="0"/>
        <v>增值额×税（费）率</v>
      </c>
      <c r="O54" s="2702" t="str">
        <f t="shared" si="0"/>
        <v>免征</v>
      </c>
    </row>
    <row r="55" spans="1:35" ht="24" customHeight="1">
      <c r="A55" s="3339" t="s">
        <v>1806</v>
      </c>
      <c r="B55" s="3340"/>
      <c r="C55" s="3340"/>
      <c r="D55" s="2498">
        <f ca="1">IF(H55="个人住宅",0,ROUND(D45*I55,0))</f>
        <v>12</v>
      </c>
      <c r="E55" s="2508" t="s">
        <v>1807</v>
      </c>
      <c r="F55" s="2729" t="str">
        <f>IF(H55="正常",I55,"免征")</f>
        <v>免征</v>
      </c>
      <c r="G55" s="2730"/>
      <c r="H55" s="2725"/>
      <c r="I55" s="170">
        <f>'数据-取费表'!B49</f>
        <v>5.0000000000000001E-4</v>
      </c>
      <c r="J55" s="2698">
        <f>IF(H59="非个人房产","",4)</f>
        <v>4</v>
      </c>
      <c r="K55" s="3392" t="str">
        <f>IF(H59="非个人房产","——","个人所得税")</f>
        <v>个人所得税</v>
      </c>
      <c r="L55" s="3392"/>
      <c r="M55" s="2703">
        <f ca="1">D59</f>
        <v>224</v>
      </c>
      <c r="N55" s="2179" t="str">
        <f>E59</f>
        <v>差额计税</v>
      </c>
      <c r="O55" s="2704">
        <f>F59</f>
        <v>0.01</v>
      </c>
    </row>
    <row r="56" spans="1:35" ht="25.2">
      <c r="A56" s="3339" t="s">
        <v>1808</v>
      </c>
      <c r="B56" s="3340"/>
      <c r="C56" s="3340"/>
      <c r="D56" s="2498">
        <f ca="1">IF(H56="个人住宅",D57,D58)</f>
        <v>13306</v>
      </c>
      <c r="E56" s="2508" t="s">
        <v>1809</v>
      </c>
      <c r="F56" s="2729" t="str">
        <f>IF(H56="正常",F58,"免征")</f>
        <v>免征</v>
      </c>
      <c r="G56" s="2732" t="s">
        <v>1810</v>
      </c>
      <c r="H56" s="2733"/>
      <c r="I56" s="1945"/>
      <c r="J56" s="2698" t="str">
        <f>IF(项目基本情况!K6="上海银行",IF(J55="",4,J55+1),"")</f>
        <v/>
      </c>
      <c r="K56" s="3415" t="str">
        <f>IF(项目基本情况!K6="上海银行","其他处置费用","")</f>
        <v/>
      </c>
      <c r="L56" s="3416"/>
      <c r="M56" s="2700" t="str">
        <f>IF(项目基本情况!K6="上海银行",M69,"")</f>
        <v/>
      </c>
      <c r="N56" s="3415" t="str">
        <f>IF(项目基本情况!K6="上海银行","包含处置中涉及的律师、诉讼、拍卖、评估等费用","")</f>
        <v/>
      </c>
      <c r="O56" s="3418"/>
    </row>
    <row r="57" spans="1:35" ht="13.2">
      <c r="A57" s="2509" t="s">
        <v>1786</v>
      </c>
      <c r="B57" s="3350" t="s">
        <v>1811</v>
      </c>
      <c r="C57" s="3351"/>
      <c r="D57" s="1726">
        <v>0</v>
      </c>
      <c r="E57" s="330" t="s">
        <v>1788</v>
      </c>
      <c r="F57" s="308"/>
      <c r="G57" s="2730"/>
      <c r="H57" s="2734"/>
      <c r="I57" s="1945"/>
      <c r="J57" s="3392">
        <f>IF(AND(J55="",J56=""),4,IF(项目基本情况!K6="上海银行",结果表!J56+1,结果表!J55+1))</f>
        <v>5</v>
      </c>
      <c r="K57" s="3392" t="s">
        <v>1812</v>
      </c>
      <c r="L57" s="2705" t="s">
        <v>1813</v>
      </c>
      <c r="M57" s="2706"/>
      <c r="N57" s="2707">
        <f ca="1">SUMIF(M52:M56,"&lt;9e307")</f>
        <v>13542</v>
      </c>
      <c r="O57" s="2708"/>
      <c r="P57" s="2868">
        <f ca="1">N57/M49</f>
        <v>0.57605921388463499</v>
      </c>
    </row>
    <row r="58" spans="1:35" ht="25.2">
      <c r="A58" s="2509" t="s">
        <v>1797</v>
      </c>
      <c r="B58" s="3350" t="s">
        <v>1814</v>
      </c>
      <c r="C58" s="3324"/>
      <c r="D58" s="2498">
        <f ca="1">IF(H58="转让取得",C81,C97)</f>
        <v>13306</v>
      </c>
      <c r="E58" s="2508" t="s">
        <v>1809</v>
      </c>
      <c r="F58" s="308" t="s">
        <v>34</v>
      </c>
      <c r="G58" s="2730"/>
      <c r="H58" s="2733"/>
      <c r="I58" s="1945"/>
      <c r="J58" s="3392"/>
      <c r="K58" s="3392"/>
      <c r="L58" s="2705" t="s">
        <v>1815</v>
      </c>
      <c r="M58" s="2709"/>
      <c r="N58" s="2710" t="str">
        <f ca="1">NUMBERSTRING(INT(N57*10000),2)&amp;"元整"</f>
        <v>壹亿叁仟伍佰肆拾贰万元整</v>
      </c>
      <c r="O58" s="2711"/>
    </row>
    <row r="59" spans="1:35" ht="24.6" thickBot="1">
      <c r="A59" s="3395" t="s">
        <v>1816</v>
      </c>
      <c r="B59" s="3396"/>
      <c r="C59" s="3396"/>
      <c r="D59" s="2735">
        <f ca="1">IF(H59="非个人房产","——",IF(H59="个人住宅（满五唯一有凭证）",0,IF(H59="个人其他（无凭证）",ROUND(D45*F59,0),ROUND(C67*F59,0))))</f>
        <v>224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93">
        <f>J57+1</f>
        <v>6</v>
      </c>
      <c r="K59" s="3392" t="s">
        <v>1817</v>
      </c>
      <c r="L59" s="2698" t="s">
        <v>1813</v>
      </c>
      <c r="M59" s="2712"/>
      <c r="N59" s="2713">
        <f ca="1">M49-N57</f>
        <v>9966</v>
      </c>
      <c r="O59" s="2714"/>
    </row>
    <row r="60" spans="1:35" ht="12" customHeight="1">
      <c r="A60" s="1946"/>
      <c r="B60" s="1884"/>
      <c r="C60" s="1884"/>
      <c r="D60" s="1884"/>
      <c r="E60" s="1714"/>
      <c r="F60" s="1945"/>
      <c r="G60" s="1945"/>
      <c r="H60" s="1947"/>
      <c r="I60" s="134"/>
      <c r="J60" s="3394"/>
      <c r="K60" s="3392"/>
      <c r="L60" s="2705" t="s">
        <v>1815</v>
      </c>
      <c r="M60" s="2709"/>
      <c r="N60" s="2710" t="str">
        <f ca="1">NUMBERSTRING(INT(N59*10000),2)&amp;"元整"</f>
        <v>玖仟玖佰陆拾陆万元整</v>
      </c>
      <c r="O60" s="2711"/>
    </row>
    <row r="61" spans="1:35" ht="13.8" thickBot="1">
      <c r="A61" s="3337" t="s">
        <v>1818</v>
      </c>
      <c r="B61" s="3337"/>
      <c r="C61" s="3337"/>
      <c r="D61" s="3337"/>
      <c r="E61" s="3337"/>
      <c r="F61" s="1945"/>
      <c r="G61" s="1945"/>
      <c r="H61" s="1947"/>
      <c r="I61" s="134"/>
      <c r="J61" s="2698">
        <f>J59+1</f>
        <v>7</v>
      </c>
      <c r="K61" s="3392" t="s">
        <v>1819</v>
      </c>
      <c r="L61" s="3392"/>
      <c r="M61" s="2715"/>
      <c r="N61" s="2716">
        <f ca="1">ROUND(N59*10000/'数据-汇总表'!E3,0)</f>
        <v>9677</v>
      </c>
      <c r="O61" s="2717"/>
    </row>
    <row r="62" spans="1:35" ht="13.2">
      <c r="A62" s="3355" t="s">
        <v>1820</v>
      </c>
      <c r="B62" s="3356"/>
      <c r="C62" s="2160"/>
      <c r="D62" s="2160" t="s">
        <v>1821</v>
      </c>
      <c r="E62" s="171" t="s">
        <v>1822</v>
      </c>
      <c r="F62" s="1945"/>
      <c r="G62" s="1945"/>
      <c r="H62" s="1947"/>
      <c r="I62" s="134"/>
    </row>
    <row r="63" spans="1:35" ht="13.2">
      <c r="A63" s="178" t="s">
        <v>594</v>
      </c>
      <c r="B63" s="172" t="s">
        <v>1823</v>
      </c>
      <c r="C63" s="2739">
        <f ca="1">ROUND((C64+C65)/(1+'数据-取费表'!C42),0)</f>
        <v>22389</v>
      </c>
      <c r="D63" s="172"/>
      <c r="E63" s="173"/>
      <c r="F63" s="1945"/>
      <c r="G63" s="1945"/>
      <c r="H63" s="1947"/>
      <c r="I63" s="134"/>
      <c r="J63" s="3417" t="s">
        <v>1824</v>
      </c>
      <c r="K63" s="1453" t="s">
        <v>1825</v>
      </c>
      <c r="L63" s="1453">
        <f ca="1">IF(M49&gt;10000,M49*0.5%,IF(AND(M49&gt;1000,M49&lt;=10000),M49*1%,IF(AND(M49&gt;100,M49&lt;=1000),M49*3%,IF(AND(M49&gt;10,M49&lt;=100),M49*5%,M49*8%))))</f>
        <v>117.54</v>
      </c>
      <c r="M63" s="308">
        <f ca="1">ROUND(L63,1)</f>
        <v>117.5</v>
      </c>
      <c r="N63" s="2718"/>
      <c r="Z63" s="1889"/>
      <c r="AI63" s="1890"/>
    </row>
    <row r="64" spans="1:35" ht="14.25" customHeight="1">
      <c r="A64" s="174" t="s">
        <v>589</v>
      </c>
      <c r="B64" s="175" t="s">
        <v>1826</v>
      </c>
      <c r="C64" s="2740">
        <f ca="1">D45</f>
        <v>23508</v>
      </c>
      <c r="D64" s="175" t="s">
        <v>32</v>
      </c>
      <c r="E64" s="177"/>
      <c r="F64" s="1945"/>
      <c r="G64" s="1945"/>
      <c r="H64" s="1947"/>
      <c r="I64" s="134"/>
      <c r="J64" s="3417"/>
      <c r="K64" s="1453" t="s">
        <v>1827</v>
      </c>
      <c r="L64" s="1453">
        <f ca="1">IF(M49&gt;2000,M49*0.5%,IF(AND(M49&gt;1000,M49&lt;=2000),M49*0.6%,IF(AND(M49&gt;500,M49&lt;=1000),M49*0.7%,IF(AND(M49&gt;200,M49&lt;=500),M49*0.8%,IF(AND(M49&gt;100,M49&lt;=200),M49*0.9%,IF(AND(M49&gt;50,M49&lt;=100),M49*1%,IF(AND(M49&gt;20,M49&lt;=50),M49*1.5%,IF(AND(M49&gt;10,M49&lt;=20),M49*2%,IF(AND(M49&gt;1,M49&lt;=10),M49*2.5%)))))))))</f>
        <v>117.54</v>
      </c>
      <c r="M64" s="308">
        <f t="shared" ref="M64:M65" ca="1" si="1">ROUND(L64,1)</f>
        <v>117.5</v>
      </c>
      <c r="N64" s="2719" t="s">
        <v>1828</v>
      </c>
      <c r="Z64" s="1889"/>
      <c r="AI64" s="1890"/>
    </row>
    <row r="65" spans="1:35" ht="14.25" customHeight="1">
      <c r="A65" s="174" t="s">
        <v>590</v>
      </c>
      <c r="B65" s="175" t="s">
        <v>1829</v>
      </c>
      <c r="C65" s="2741"/>
      <c r="D65" s="175"/>
      <c r="E65" s="177"/>
      <c r="F65" s="1945"/>
      <c r="G65" s="1945"/>
      <c r="H65" s="1947"/>
      <c r="I65" s="134"/>
      <c r="J65" s="3417"/>
      <c r="K65" s="1453" t="s">
        <v>1830</v>
      </c>
      <c r="L65" s="1453">
        <f ca="1">IF(M49&gt;1000,M49*0.1%,IF(AND(M49&gt;500,M49&lt;=1000),M49*0.5%,IF(AND(M49&gt;50,M49&lt;=500),M49*1%,IF(AND(M49&gt;1,M49&lt;=50),M49*1.5%))))</f>
        <v>23.507999999999999</v>
      </c>
      <c r="M65" s="308">
        <f t="shared" ca="1" si="1"/>
        <v>23.5</v>
      </c>
      <c r="N65" s="2719" t="s">
        <v>1828</v>
      </c>
      <c r="Z65" s="1889"/>
      <c r="AI65" s="1890"/>
    </row>
    <row r="66" spans="1:35" ht="14.25" customHeight="1">
      <c r="A66" s="178" t="s">
        <v>591</v>
      </c>
      <c r="B66" s="179" t="s">
        <v>1831</v>
      </c>
      <c r="C66" s="2742"/>
      <c r="D66" s="179" t="s">
        <v>32</v>
      </c>
      <c r="E66" s="1460" t="s">
        <v>1096</v>
      </c>
      <c r="F66" s="1945"/>
      <c r="G66" s="1945"/>
      <c r="H66" s="1947"/>
      <c r="I66" s="134"/>
      <c r="J66" s="3417"/>
      <c r="K66" s="1453" t="s">
        <v>1832</v>
      </c>
      <c r="L66" s="1453">
        <f ca="1">M49*0.5%</f>
        <v>117.54</v>
      </c>
      <c r="M66" s="308">
        <f ca="1">IF(L66&gt;0.5,0.5,ROUND(L66,0))</f>
        <v>0.5</v>
      </c>
      <c r="N66" s="2719" t="s">
        <v>1833</v>
      </c>
      <c r="Z66" s="1889"/>
      <c r="AI66" s="1890"/>
    </row>
    <row r="67" spans="1:35" ht="14.25" customHeight="1">
      <c r="A67" s="178" t="s">
        <v>592</v>
      </c>
      <c r="B67" s="179" t="s">
        <v>1834</v>
      </c>
      <c r="C67" s="2743">
        <f ca="1">C63-C66</f>
        <v>22389</v>
      </c>
      <c r="D67" s="175" t="s">
        <v>32</v>
      </c>
      <c r="E67" s="177"/>
      <c r="F67" s="1945"/>
      <c r="G67" s="1945"/>
      <c r="H67" s="1947"/>
      <c r="I67" s="134"/>
      <c r="J67" s="3417"/>
      <c r="K67" s="1453" t="s">
        <v>1835</v>
      </c>
      <c r="L67" s="1453">
        <f ca="1">IF(M49&gt;=10000,(8.25+(M49-10000)*0.01%),IF(AND(M49&gt;=8000,M49&lt;10000),(7.85+(M49-8000)*0.02%),IF(AND(M49&gt;=5000,M49&lt;8000),(6.65+(M49-5000)*0.04%),IF(AND(M49&gt;=2000,M49&lt;5000),(4.25+(PM49-2000)*0.08%),IF(AND(M49&gt;=1000,M49&lt;2000),(2.75+(M49-1000)*0.15%),IF(AND(M49&gt;=100,M49&lt;1000),(0.5+(M49-100)*0.25%),IF(AND(M49&gt;0,M49&lt;100),M49*0.5%)))))))</f>
        <v>9.6007999999999996</v>
      </c>
      <c r="M67" s="308">
        <f ca="1">ROUND(L67*0.9,1)</f>
        <v>8.6</v>
      </c>
      <c r="N67" s="2718"/>
      <c r="Z67" s="1889"/>
      <c r="AI67" s="1890"/>
    </row>
    <row r="68" spans="1:35" ht="14.25" customHeight="1" thickBot="1">
      <c r="A68" s="181" t="s">
        <v>593</v>
      </c>
      <c r="B68" s="182" t="s">
        <v>1836</v>
      </c>
      <c r="C68" s="2744">
        <f ca="1">IF(C67&lt;=0,0,ROUND(C67*D68,0))</f>
        <v>1254</v>
      </c>
      <c r="D68" s="2745">
        <f>'数据-取费表'!B41</f>
        <v>5.6000000000000001E-2</v>
      </c>
      <c r="E68" s="184"/>
      <c r="F68" s="1945"/>
      <c r="G68" s="1945"/>
      <c r="H68" s="1947"/>
      <c r="I68" s="134"/>
      <c r="J68" s="3417"/>
      <c r="K68" s="1453" t="s">
        <v>1837</v>
      </c>
      <c r="L68" s="1453">
        <f ca="1">IF(M49&gt;10000,M49*0.5%,IF(AND(M49&gt;5000,M49&lt;=10000),M49*1%,IF(AND(M49&gt;1000,M49&lt;=5000),M49*2%,IF(AND(M49&gt;200,M49&lt;=1000),M49*3%,M49*5%))))</f>
        <v>117.54</v>
      </c>
      <c r="M68" s="308">
        <f ca="1">ROUND(L68,1)</f>
        <v>117.5</v>
      </c>
      <c r="N68" s="2718"/>
      <c r="Z68" s="1889"/>
      <c r="AI68" s="1890"/>
    </row>
    <row r="69" spans="1:35" s="1909" customFormat="1" ht="16.5" customHeight="1">
      <c r="A69" s="1948"/>
      <c r="B69" s="1949"/>
      <c r="C69" s="1950"/>
      <c r="D69" s="1951"/>
      <c r="E69" s="1952"/>
      <c r="F69" s="1714"/>
      <c r="G69" s="1714"/>
      <c r="H69" s="1713"/>
      <c r="I69" s="1884"/>
      <c r="J69" s="3417"/>
      <c r="K69" s="1453" t="s">
        <v>1838</v>
      </c>
      <c r="L69" s="1453"/>
      <c r="M69" s="308">
        <f ca="1">ROUND(SUM(M63:M68),0)</f>
        <v>385</v>
      </c>
      <c r="N69" s="2720">
        <f ca="1">M69/M49</f>
        <v>1.6377403437127788E-2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76" t="s">
        <v>1839</v>
      </c>
      <c r="B70" s="3377"/>
      <c r="C70" s="3377"/>
      <c r="D70" s="3377"/>
      <c r="E70" s="3377"/>
      <c r="F70" s="3377"/>
      <c r="G70" s="3377"/>
      <c r="H70" s="3377"/>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55" t="s">
        <v>1820</v>
      </c>
      <c r="B71" s="3356"/>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3">
        <f ca="1">ROUND(D45/(1+'数据-取费表'!C42),0)</f>
        <v>22389</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3">
        <f ca="1">C74+C78</f>
        <v>134</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50" t="s">
        <v>1847</v>
      </c>
      <c r="F76" s="3324"/>
      <c r="G76" s="3324"/>
      <c r="H76" s="3375"/>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134</v>
      </c>
      <c r="D78" s="2752">
        <f>'数据-取费表'!B43</f>
        <v>6.000000000000001E-3</v>
      </c>
      <c r="E78" s="3334" t="s">
        <v>1851</v>
      </c>
      <c r="F78" s="3335"/>
      <c r="G78" s="3335"/>
      <c r="H78" s="3344"/>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3">
        <f ca="1">C72-C73</f>
        <v>22255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166.08208955223881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4">
        <f ca="1">ROUND(IF(C79&lt;=0,0,IF(C80&gt;=200%,C79*60%-C73*35%,IF(C80&gt;=100%,C79*50%-C73*15%,IF(C80&gt;=50%,C79*40%-C73*5%,IF(C80&lt;50%,C79*30%,0))))),0)</f>
        <v>13306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76" t="s">
        <v>1855</v>
      </c>
      <c r="B83" s="3377"/>
      <c r="C83" s="3377"/>
      <c r="D83" s="3377"/>
      <c r="E83" s="3377"/>
      <c r="F83" s="3377"/>
      <c r="G83" s="3377"/>
      <c r="H83" s="3377"/>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55" t="s">
        <v>1820</v>
      </c>
      <c r="B84" s="3356"/>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3">
        <f ca="1">ROUND(D45/(1+'数据-取费表'!C42),0)</f>
        <v>22389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3">
        <f ca="1">IF(H88="仅含出让金",C87+C90+C91+C92+C93+C94,C87+C91+C92+C93+C94)</f>
        <v>134</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7"/>
      <c r="D90" s="2752"/>
      <c r="E90" s="199" t="str">
        <f>IF(H88="-","土地取得成本中已包含该笔费用"," ")</f>
        <v xml:space="preserve"> </v>
      </c>
      <c r="F90" s="2501"/>
      <c r="G90" s="3419" t="s">
        <v>2630</v>
      </c>
      <c r="H90" s="3420"/>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34" t="s">
        <v>1864</v>
      </c>
      <c r="F91" s="3335"/>
      <c r="G91" s="333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34" t="s">
        <v>1867</v>
      </c>
      <c r="F92" s="3335"/>
      <c r="G92" s="3335"/>
      <c r="H92" s="3344"/>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134</v>
      </c>
      <c r="D93" s="2752">
        <f>'数据-取费表'!B43</f>
        <v>6.000000000000001E-3</v>
      </c>
      <c r="E93" s="3334" t="s">
        <v>1851</v>
      </c>
      <c r="F93" s="3335"/>
      <c r="G93" s="3335"/>
      <c r="H93" s="3344"/>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45" t="s">
        <v>1871</v>
      </c>
      <c r="F94" s="3346"/>
      <c r="G94" s="3346"/>
      <c r="H94" s="334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3">
        <f ca="1">ROUND(C85-C86,0)</f>
        <v>22255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166.08208955223881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4">
        <f ca="1">ROUND(IF(C95&lt;=0,0,IF(C96&gt;=200%,C95*60%-C86*35%,IF(C96&gt;=100%,C95*50%-C86*15%,IF(C96&gt;=50%,C95*40%-C86*5%,IF(C96&lt;50%,C95*30%,0))))),0)</f>
        <v>13306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36"/>
      <c r="E100" s="3319" t="s">
        <v>1874</v>
      </c>
      <c r="F100" s="3319"/>
      <c r="G100" s="3319"/>
      <c r="H100" s="3336"/>
      <c r="I100" s="134"/>
    </row>
    <row r="101" spans="1:35" ht="18.75" customHeight="1">
      <c r="A101" s="3400" t="s">
        <v>1875</v>
      </c>
      <c r="B101" s="3401"/>
      <c r="C101" s="2760" t="str">
        <f>C4</f>
        <v>成本法</v>
      </c>
      <c r="D101" s="2761" t="str">
        <f>D4</f>
        <v>收益法</v>
      </c>
      <c r="E101" s="3414" t="s">
        <v>1876</v>
      </c>
      <c r="F101" s="3368"/>
      <c r="G101" s="1964" t="s">
        <v>1877</v>
      </c>
      <c r="H101" s="2770">
        <f ca="1">H118</f>
        <v>23508</v>
      </c>
      <c r="I101" s="134"/>
    </row>
    <row r="102" spans="1:35" ht="18.75" customHeight="1">
      <c r="A102" s="3370" t="s">
        <v>1878</v>
      </c>
      <c r="B102" s="2759" t="s">
        <v>1877</v>
      </c>
      <c r="C102" s="2760">
        <f ca="1">C19</f>
        <v>26564</v>
      </c>
      <c r="D102" s="2761">
        <f ca="1">D19</f>
        <v>20451</v>
      </c>
      <c r="E102" s="3414"/>
      <c r="F102" s="3368"/>
      <c r="G102" s="1964" t="s">
        <v>1879</v>
      </c>
      <c r="H102" s="2730">
        <f ca="1">I118</f>
        <v>22826</v>
      </c>
      <c r="I102" s="134"/>
    </row>
    <row r="103" spans="1:35" ht="42.75" customHeight="1">
      <c r="A103" s="3370"/>
      <c r="B103" s="2759" t="s">
        <v>1879</v>
      </c>
      <c r="C103" s="2762">
        <f ca="1">C20</f>
        <v>25793</v>
      </c>
      <c r="D103" s="2763">
        <f ca="1">D20</f>
        <v>19858</v>
      </c>
      <c r="E103" s="3408" t="s">
        <v>1880</v>
      </c>
      <c r="F103" s="3409"/>
      <c r="G103" s="1965" t="s">
        <v>1881</v>
      </c>
      <c r="H103" s="2770">
        <f>IF(D36="正常操作",H104+H105+H106,H105+H106)</f>
        <v>0</v>
      </c>
      <c r="I103" s="134"/>
    </row>
    <row r="104" spans="1:35" ht="18.75" customHeight="1">
      <c r="A104" s="3370" t="s">
        <v>1882</v>
      </c>
      <c r="B104" s="2764" t="s">
        <v>1877</v>
      </c>
      <c r="C104" s="2765">
        <f ca="1">H118</f>
        <v>23508</v>
      </c>
      <c r="D104" s="2766"/>
      <c r="E104" s="1811" t="s">
        <v>1883</v>
      </c>
      <c r="F104" s="1802"/>
      <c r="G104" s="1965" t="s">
        <v>1881</v>
      </c>
      <c r="H104" s="2771">
        <f>IF(D36="同一抵押权人同一抵押物续贷",C36&amp;"（续贷，未扣减，详见特别提示）",C36)</f>
        <v>0</v>
      </c>
      <c r="I104" s="134"/>
    </row>
    <row r="105" spans="1:35" ht="18.75" customHeight="1" thickBot="1">
      <c r="A105" s="3371"/>
      <c r="B105" s="2767" t="s">
        <v>1879</v>
      </c>
      <c r="C105" s="2768">
        <f ca="1">I118</f>
        <v>22826</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67" t="str">
        <f>IF(项目基本情况!E8="已注销","——","3.房地产抵押价值")</f>
        <v>3.房地产抵押价值</v>
      </c>
      <c r="F107" s="3368"/>
      <c r="G107" s="1964" t="s">
        <v>1877</v>
      </c>
      <c r="H107" s="2770">
        <f ca="1">IF(E107="——","——",H101-H103)</f>
        <v>23508</v>
      </c>
      <c r="I107" s="134"/>
    </row>
    <row r="108" spans="1:35" ht="18.75" customHeight="1">
      <c r="A108" s="134"/>
      <c r="B108" s="134"/>
      <c r="C108" s="134"/>
      <c r="D108" s="134"/>
      <c r="E108" s="3367"/>
      <c r="F108" s="3368"/>
      <c r="G108" s="1964" t="s">
        <v>1879</v>
      </c>
      <c r="H108" s="2730">
        <f ca="1">ROUND(H107*10000/'数据-汇总表'!E3,0)</f>
        <v>22826</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v>
      </c>
      <c r="F109" s="3368"/>
      <c r="G109" s="1964" t="s">
        <v>1877</v>
      </c>
      <c r="H109" s="2773" t="str">
        <f>IF(E109="——","——",H101-H105-H106)</f>
        <v>——</v>
      </c>
      <c r="I109" s="134"/>
    </row>
    <row r="110" spans="1:35" ht="18.75" customHeight="1">
      <c r="A110" s="134"/>
      <c r="B110" s="134"/>
      <c r="C110" s="134"/>
      <c r="D110" s="134"/>
      <c r="E110" s="3367"/>
      <c r="F110" s="3368"/>
      <c r="G110" s="1964" t="s">
        <v>1879</v>
      </c>
      <c r="H110" s="2730" t="str">
        <f>IF(H109="——","——",ROUND(H109*10000/'数据-汇总表'!E3,0))</f>
        <v>——</v>
      </c>
      <c r="I110" s="134"/>
    </row>
    <row r="111" spans="1:35" ht="18.75" customHeight="1">
      <c r="A111" s="134"/>
      <c r="B111" s="134"/>
      <c r="C111" s="134"/>
      <c r="D111" s="134"/>
      <c r="E111" s="3402" t="str">
        <f>IF(项目基本情况!E9="抵押净值",IF(OR(项目基本情况!E8="已注销",项目基本情况!E8="房地产抵押价值"),"4.抵押净值","5.抵押净值"),"——")</f>
        <v>——</v>
      </c>
      <c r="F111" s="3369"/>
      <c r="G111" s="1964" t="s">
        <v>1877</v>
      </c>
      <c r="H111" s="2770" t="str">
        <f>IF(E111="——","——",N59)</f>
        <v>——</v>
      </c>
      <c r="I111" s="134"/>
    </row>
    <row r="112" spans="1:35" ht="18.75" customHeight="1" thickBot="1">
      <c r="A112" s="134"/>
      <c r="B112" s="134"/>
      <c r="C112" s="134"/>
      <c r="D112" s="134"/>
      <c r="E112" s="3403"/>
      <c r="F112" s="3404"/>
      <c r="G112" s="1967" t="s">
        <v>1879</v>
      </c>
      <c r="H112" s="2774" t="str">
        <f>IF(E111="——","——",N61)</f>
        <v>——</v>
      </c>
      <c r="I112" s="134"/>
    </row>
    <row r="113" spans="1:27" ht="18.75" customHeight="1">
      <c r="A113" s="134"/>
      <c r="B113" s="134"/>
      <c r="C113" s="134"/>
      <c r="D113" s="134"/>
      <c r="E113" s="3372" t="s">
        <v>1885</v>
      </c>
      <c r="F113" s="3372"/>
      <c r="G113" s="3372"/>
      <c r="H113" s="3372"/>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row>
    <row r="116" spans="1:27" ht="27" customHeight="1">
      <c r="A116" s="3338" t="s">
        <v>1888</v>
      </c>
      <c r="B116" s="3373" t="s">
        <v>1889</v>
      </c>
      <c r="C116" s="3373" t="s">
        <v>1890</v>
      </c>
      <c r="D116" s="3389" t="s">
        <v>1891</v>
      </c>
      <c r="E116" s="3390"/>
      <c r="F116" s="3381" t="s">
        <v>1892</v>
      </c>
      <c r="G116" s="3381"/>
      <c r="H116" s="3338" t="s">
        <v>1893</v>
      </c>
      <c r="I116" s="3338"/>
    </row>
    <row r="117" spans="1:27" ht="18.75" customHeight="1">
      <c r="A117" s="3338"/>
      <c r="B117" s="3374"/>
      <c r="C117" s="3374"/>
      <c r="D117" s="2503" t="s">
        <v>1894</v>
      </c>
      <c r="E117" s="2503" t="s">
        <v>1895</v>
      </c>
      <c r="F117" s="2503" t="s">
        <v>1894</v>
      </c>
      <c r="G117" s="2503" t="s">
        <v>1896</v>
      </c>
      <c r="H117" s="2503" t="s">
        <v>1894</v>
      </c>
      <c r="I117" s="2503" t="s">
        <v>1896</v>
      </c>
    </row>
    <row r="118" spans="1:27" ht="24.75" customHeight="1">
      <c r="A118" s="2775" t="str">
        <f>项目基本情况!S2</f>
        <v>北京市丰台区角门路2号院综合楼房地产</v>
      </c>
      <c r="B118" s="2503">
        <f>M18</f>
        <v>10298.76</v>
      </c>
      <c r="C118" s="2503">
        <f>M19</f>
        <v>5682.86</v>
      </c>
      <c r="D118" s="2503">
        <f ca="1">ROUND(IF(D32="总价",C34,E118*B118/10000),0)</f>
        <v>20640</v>
      </c>
      <c r="E118" s="2503">
        <f ca="1">ROUND(IF(C33="自定义",IF(D32="楼面单价",C34,D118*10000/B118),I118-G118),0)</f>
        <v>20041</v>
      </c>
      <c r="F118" s="2503">
        <f ca="1">ROUND(IF(D32="总价",C35,G118*B118/10000),0)</f>
        <v>2868</v>
      </c>
      <c r="G118" s="2503">
        <f ca="1">ROUND(IF(D32="楼面单价",C35,F118*10000/B118),0)</f>
        <v>2785</v>
      </c>
      <c r="H118" s="2503">
        <f ca="1">ROUND(IF(D32="总价",C32,I118*B118/10000),0)</f>
        <v>23508</v>
      </c>
      <c r="I118" s="2503">
        <f ca="1">ROUND(IF(D32="楼面单价",C32,H118*10000/B118),0)</f>
        <v>22826</v>
      </c>
    </row>
    <row r="119" spans="1:27" ht="18.75" customHeight="1">
      <c r="A119" s="3338" t="s">
        <v>1897</v>
      </c>
      <c r="B119" s="3338"/>
      <c r="C119" s="3338"/>
      <c r="D119" s="3378" t="str">
        <f ca="1">NUMBERSTRING(INT(D118*10000),2)&amp;"元整"</f>
        <v>贰亿零陆佰肆拾万元整</v>
      </c>
      <c r="E119" s="3380"/>
      <c r="F119" s="3378" t="str">
        <f ca="1">NUMBERSTRING(INT(F118*10000),2)&amp;"元整"</f>
        <v>贰仟捌佰陆拾捌万元整</v>
      </c>
      <c r="G119" s="3380"/>
      <c r="H119" s="3378" t="str">
        <f ca="1">NUMBERSTRING(INT(H118*10000),2)&amp;"元整"</f>
        <v>贰亿叁仟伍佰零捌万元整</v>
      </c>
      <c r="I119" s="3380"/>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78" t="str">
        <f>IF(D120=0,"零元整",NUMBERSTRING(INT(D120*10000),2)&amp;"元整")</f>
        <v>零元整</v>
      </c>
      <c r="E121" s="3379"/>
      <c r="F121" s="3379"/>
      <c r="G121" s="3379"/>
      <c r="H121" s="3379"/>
      <c r="I121" s="3380"/>
      <c r="AA121" s="734"/>
    </row>
    <row r="122" spans="1:27" ht="18.75" customHeight="1">
      <c r="A122" s="3369" t="str">
        <f>IF(项目基本情况!B9="房地产市场价值","",MID(E107,3,LEN(E107)-2))</f>
        <v>房地产抵押价值</v>
      </c>
      <c r="B122" s="3369"/>
      <c r="C122" s="3369"/>
      <c r="D122" s="3405">
        <f ca="1">H107</f>
        <v>23508</v>
      </c>
      <c r="E122" s="3406"/>
      <c r="F122" s="3406"/>
      <c r="G122" s="3406"/>
      <c r="H122" s="3406"/>
      <c r="I122" s="3407"/>
      <c r="AA122" s="734"/>
    </row>
    <row r="123" spans="1:27" ht="18.75" customHeight="1">
      <c r="A123" s="3338" t="s">
        <v>1897</v>
      </c>
      <c r="B123" s="3338"/>
      <c r="C123" s="3338"/>
      <c r="D123" s="3378" t="str">
        <f ca="1">NUMBERSTRING(INT(D122*10000),2)&amp;"元整"</f>
        <v>贰亿叁仟伍佰零捌万元整</v>
      </c>
      <c r="E123" s="3379"/>
      <c r="F123" s="3379"/>
      <c r="G123" s="3379"/>
      <c r="H123" s="3379"/>
      <c r="I123" s="3380"/>
      <c r="AA123" s="734"/>
    </row>
    <row r="124" spans="1:27" ht="18.75" customHeight="1">
      <c r="A124" s="3369" t="str">
        <f>IF(项目基本情况!B9="房地产市场价值","",MID(E109,3,LEN(E109)-2))</f>
        <v/>
      </c>
      <c r="B124" s="3369"/>
      <c r="C124" s="3369"/>
      <c r="D124" s="3405" t="str">
        <f>H109</f>
        <v>——</v>
      </c>
      <c r="E124" s="3406"/>
      <c r="F124" s="3406"/>
      <c r="G124" s="3406"/>
      <c r="H124" s="3406"/>
      <c r="I124" s="3407"/>
      <c r="AA124" s="734"/>
    </row>
    <row r="125" spans="1:27" ht="18.75" customHeight="1">
      <c r="A125" s="3338" t="s">
        <v>1897</v>
      </c>
      <c r="B125" s="3338"/>
      <c r="C125" s="3338"/>
      <c r="D125" s="3378" t="e">
        <f>NUMBERSTRING(INT(D124*10000),2)&amp;"元整"</f>
        <v>#VALUE!</v>
      </c>
      <c r="E125" s="3379"/>
      <c r="F125" s="3379"/>
      <c r="G125" s="3379"/>
      <c r="H125" s="3379"/>
      <c r="I125" s="3380"/>
      <c r="AA125" s="734"/>
    </row>
    <row r="126" spans="1:27" ht="18.75" customHeight="1">
      <c r="A126" s="3369" t="str">
        <f>IF(项目基本情况!B9="房地产市场价值","",MID(E111,3,LEN(E111)-2))</f>
        <v/>
      </c>
      <c r="B126" s="3369"/>
      <c r="C126" s="3369"/>
      <c r="D126" s="3405" t="str">
        <f>H111</f>
        <v>——</v>
      </c>
      <c r="E126" s="3406"/>
      <c r="F126" s="3406"/>
      <c r="G126" s="3406"/>
      <c r="H126" s="3406"/>
      <c r="I126" s="3407"/>
      <c r="AA126" s="734"/>
    </row>
    <row r="127" spans="1:27" ht="18.75" customHeight="1">
      <c r="A127" s="3338" t="s">
        <v>1897</v>
      </c>
      <c r="B127" s="3338"/>
      <c r="C127" s="3338"/>
      <c r="D127" s="3378" t="e">
        <f>NUMBERSTRING(INT(D126*10000),2)&amp;"元整"</f>
        <v>#VALUE!</v>
      </c>
      <c r="E127" s="3379"/>
      <c r="F127" s="3379"/>
      <c r="G127" s="3379"/>
      <c r="H127" s="3379"/>
      <c r="I127" s="3380"/>
      <c r="AA127" s="734"/>
    </row>
    <row r="128" spans="1:27" ht="21.75" customHeight="1">
      <c r="A128" s="3388" t="s">
        <v>1898</v>
      </c>
      <c r="B128" s="3388"/>
      <c r="C128" s="3388"/>
      <c r="D128" s="3388"/>
      <c r="E128" s="3388"/>
      <c r="F128" s="3388"/>
      <c r="G128" s="3388"/>
      <c r="H128" s="3388"/>
      <c r="I128" s="338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E36" sqref="E3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26564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25793</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17410</v>
      </c>
      <c r="D5" s="217" t="s">
        <v>1914</v>
      </c>
      <c r="E5" s="218" t="s">
        <v>1915</v>
      </c>
      <c r="F5" s="218" t="s">
        <v>1916</v>
      </c>
      <c r="G5" s="219"/>
    </row>
    <row r="6" spans="1:9" s="220" customFormat="1" ht="13.5" customHeight="1">
      <c r="A6" s="867" t="s">
        <v>1917</v>
      </c>
      <c r="B6" s="221" t="s">
        <v>1918</v>
      </c>
      <c r="C6" s="222">
        <f>[2]基准地价修正!$B$2</f>
        <v>16695</v>
      </c>
      <c r="D6" s="223"/>
      <c r="E6" s="224"/>
      <c r="F6" s="224"/>
      <c r="G6" s="225"/>
    </row>
    <row r="7" spans="1:9" s="220" customFormat="1" ht="13.5" customHeight="1">
      <c r="A7" s="867" t="s">
        <v>1919</v>
      </c>
      <c r="B7" s="221" t="s">
        <v>1920</v>
      </c>
      <c r="C7" s="226">
        <f>ROUND(C6*F7,0)</f>
        <v>509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3192</v>
      </c>
      <c r="H9" s="1252"/>
      <c r="I9" s="1995" t="s">
        <v>1924</v>
      </c>
    </row>
    <row r="10" spans="1:9" s="220" customFormat="1" ht="13.5" customHeight="1">
      <c r="A10" s="868" t="s">
        <v>620</v>
      </c>
      <c r="B10" s="230" t="s">
        <v>1925</v>
      </c>
      <c r="C10" s="231">
        <f ca="1">ROUND(D10*E10/10000,0)</f>
        <v>206</v>
      </c>
      <c r="D10" s="935">
        <f ca="1">IF(B1="",'数据-汇总表'!E6,IF(INDIRECT("'数据-取费表'!c"&amp;$G$1)="住宅",INDIRECT("'数据-取费表'!s"&amp;$G$1),INDIRECT("'数据-取费表'!k"&amp;$G$1)+INDIRECT("'数据-取费表'!s"&amp;$G$1)))</f>
        <v>10298.76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10298.76</v>
      </c>
      <c r="E19" s="217">
        <f>'数据-取费表'!B31</f>
        <v>200</v>
      </c>
      <c r="F19" s="237"/>
      <c r="G19" s="1993" t="s">
        <v>3193</v>
      </c>
    </row>
    <row r="20" spans="1:7" s="220" customFormat="1" ht="13.5" customHeight="1">
      <c r="A20" s="261" t="s">
        <v>1938</v>
      </c>
      <c r="B20" s="216" t="s">
        <v>1939</v>
      </c>
      <c r="C20" s="238">
        <f ca="1">ROUND((C5+C19)*F20,0)</f>
        <v>348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1119</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1108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6.4">
      <c r="A27" s="261" t="s">
        <v>1957</v>
      </c>
      <c r="B27" s="250" t="s">
        <v>1958</v>
      </c>
      <c r="C27" s="251">
        <f ca="1">C28</f>
        <v>2664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2664</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23335</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3435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3090</v>
      </c>
      <c r="D34" s="223"/>
      <c r="E34" s="226"/>
      <c r="F34" s="263">
        <f ca="1">IF('数据-取费表'!B24=0,1,IF(B1="",'数据-取费表'!N16,INDIRECT("'数据-取费表'!n"&amp;$G$1)))</f>
        <v>1</v>
      </c>
      <c r="G34" s="225" t="s">
        <v>1971</v>
      </c>
    </row>
    <row r="35" spans="1:7" ht="13.5" customHeight="1">
      <c r="A35" s="869" t="s">
        <v>615</v>
      </c>
      <c r="B35" s="221" t="s">
        <v>1972</v>
      </c>
      <c r="C35" s="226">
        <f ca="1">ROUND(C34*F35,0)</f>
        <v>93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206</v>
      </c>
      <c r="D37" s="223">
        <f ca="1">D19</f>
        <v>10298.76</v>
      </c>
      <c r="E37" s="255">
        <f>'数据-取费表'!B35</f>
        <v>200</v>
      </c>
      <c r="F37" s="265"/>
      <c r="G37" s="267" t="s">
        <v>1977</v>
      </c>
    </row>
    <row r="38" spans="1:7" ht="13.5" customHeight="1">
      <c r="A38" s="869" t="s">
        <v>618</v>
      </c>
      <c r="B38" s="221" t="s">
        <v>1978</v>
      </c>
      <c r="C38" s="226">
        <f ca="1">ROUND(C34*F38,0)</f>
        <v>46</v>
      </c>
      <c r="D38" s="226"/>
      <c r="E38" s="226"/>
      <c r="F38" s="265">
        <f>'数据-取费表'!B36</f>
        <v>1.4999999999999999E-2</v>
      </c>
      <c r="G38" s="225" t="s">
        <v>1973</v>
      </c>
    </row>
    <row r="39" spans="1:7" s="220" customFormat="1" ht="13.5" customHeight="1">
      <c r="A39" s="261" t="s">
        <v>1979</v>
      </c>
      <c r="B39" s="216" t="s">
        <v>1980</v>
      </c>
      <c r="C39" s="238">
        <f ca="1">ROUND(C33*F20,0)</f>
        <v>69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110</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108</v>
      </c>
      <c r="D42" s="244"/>
      <c r="E42" s="244"/>
      <c r="F42" s="245"/>
      <c r="G42" s="3421" t="s">
        <v>1989</v>
      </c>
    </row>
    <row r="43" spans="1:7" ht="13.5" customHeight="1">
      <c r="A43" s="869" t="s">
        <v>611</v>
      </c>
      <c r="B43" s="221" t="s">
        <v>1990</v>
      </c>
      <c r="C43" s="244">
        <f ca="1">ROUND(IF('数据-取费表'!B22&lt;=1,C39*F22*'数据-取费表'!B21/2,C39*(POWER((1+F22),'数据-取费表'!B21/2)-1)),0)</f>
        <v>2</v>
      </c>
      <c r="D43" s="244"/>
      <c r="E43" s="244"/>
      <c r="F43" s="245"/>
      <c r="G43" s="3422"/>
    </row>
    <row r="44" spans="1:7" ht="13.5" customHeight="1">
      <c r="A44" s="869" t="s">
        <v>612</v>
      </c>
      <c r="B44" s="221" t="s">
        <v>1991</v>
      </c>
      <c r="C44" s="244">
        <f ca="1">ROUND(IF('数据-取费表'!B22&lt;=1,C40*F22*'数据-取费表'!B21/2,C40*(POWER((1+F22),'数据-取费表'!B21/2)-1)),4)</f>
        <v>5.9999999999999995E-4</v>
      </c>
      <c r="D44" s="244"/>
      <c r="E44" s="244"/>
      <c r="F44" s="245"/>
      <c r="G44" s="3423"/>
    </row>
    <row r="45" spans="1:7" s="220" customFormat="1" ht="13.5" customHeight="1">
      <c r="A45" s="261" t="s">
        <v>1992</v>
      </c>
      <c r="B45" s="250" t="s">
        <v>1958</v>
      </c>
      <c r="C45" s="251">
        <f ca="1">C46</f>
        <v>526</v>
      </c>
      <c r="D45" s="241">
        <f ca="1">C47</f>
        <v>3.0000000000000001E-3</v>
      </c>
      <c r="E45" s="242" t="s">
        <v>1984</v>
      </c>
      <c r="F45" s="2488">
        <f ca="1">F27</f>
        <v>0.15</v>
      </c>
      <c r="G45" s="253" t="s">
        <v>1993</v>
      </c>
    </row>
    <row r="46" spans="1:7" s="220" customFormat="1" ht="13.5" customHeight="1">
      <c r="A46" s="869" t="s">
        <v>610</v>
      </c>
      <c r="B46" s="254" t="s">
        <v>1994</v>
      </c>
      <c r="C46" s="255">
        <f ca="1">ROUND((C33+C39)*F27,0)</f>
        <v>526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4485</v>
      </c>
      <c r="D49" s="238"/>
      <c r="E49" s="238"/>
      <c r="F49" s="270"/>
      <c r="G49" s="240" t="s">
        <v>1999</v>
      </c>
    </row>
    <row r="50" spans="1:7" s="264" customFormat="1" ht="24">
      <c r="A50" s="261" t="s">
        <v>2000</v>
      </c>
      <c r="B50" s="216" t="s">
        <v>2001</v>
      </c>
      <c r="C50" s="238"/>
      <c r="D50" s="238"/>
      <c r="E50" s="238"/>
      <c r="F50" s="270">
        <f>IF('数据-取费表'!B24=0,'数据-取费表'!N16,1)</f>
        <v>0.72</v>
      </c>
      <c r="G50" s="253" t="s">
        <v>2002</v>
      </c>
    </row>
    <row r="51" spans="1:7" ht="16.5" customHeight="1">
      <c r="A51" s="261" t="s">
        <v>2003</v>
      </c>
      <c r="B51" s="216" t="s">
        <v>2004</v>
      </c>
      <c r="C51" s="238">
        <f ca="1">ROUND(C49*F50,0)</f>
        <v>3229</v>
      </c>
      <c r="D51" s="238"/>
      <c r="E51" s="238"/>
      <c r="F51" s="270"/>
      <c r="G51" s="240" t="s">
        <v>2005</v>
      </c>
    </row>
    <row r="52" spans="1:7" s="214" customFormat="1" ht="16.8" thickBot="1">
      <c r="A52" s="271" t="s">
        <v>2006</v>
      </c>
      <c r="B52" s="272"/>
      <c r="C52" s="273">
        <f ca="1">C31+C51</f>
        <v>26564</v>
      </c>
      <c r="D52" s="272"/>
      <c r="E52" s="272"/>
      <c r="F52" s="272"/>
      <c r="G52" s="274"/>
    </row>
    <row r="55" spans="1:7" ht="15">
      <c r="B55" s="276" t="s">
        <v>2007</v>
      </c>
      <c r="C55" s="277"/>
    </row>
    <row r="56" spans="1:7">
      <c r="B56" s="279" t="s">
        <v>1237</v>
      </c>
      <c r="C56" s="281">
        <f ca="1">1-C57</f>
        <v>0.878</v>
      </c>
    </row>
    <row r="57" spans="1:7">
      <c r="B57" s="279" t="s">
        <v>1238</v>
      </c>
      <c r="C57" s="280">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2" t="str">
        <f>项目基本情况!B1</f>
        <v>北京市丰台区角门路2号院综合楼房地产抵押价值预评估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t="str">
        <f>项目基本情况!B5</f>
        <v>北京鑫福海工贸集团</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63" sqref="J63"/>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3780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3670</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2059752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2059752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2059752</v>
      </c>
      <c r="D10" s="935">
        <f ca="1">IF(B1="",'数据-汇总表'!E6,IF(INDIRECT("'数据-取费表'!c"&amp;$G$1)="住宅",INDIRECT("'数据-取费表'!s"&amp;$G$1),INDIRECT("'数据-取费表'!k"&amp;$G$1)+INDIRECT("'数据-取费表'!s"&amp;$G$1)))</f>
        <v>10298.76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2059752</v>
      </c>
      <c r="D19" s="939">
        <f ca="1">D9+D10</f>
        <v>10298.76</v>
      </c>
      <c r="E19" s="217">
        <f>'数据-取费表'!B31</f>
        <v>200</v>
      </c>
      <c r="F19" s="237"/>
      <c r="G19" s="1993"/>
    </row>
    <row r="20" spans="1:7" s="220" customFormat="1" ht="13.5" customHeight="1">
      <c r="A20" s="261" t="s">
        <v>2019</v>
      </c>
      <c r="B20" s="216" t="s">
        <v>2020</v>
      </c>
      <c r="C20" s="238">
        <f ca="1">ROUND((C5+C19)*F20,0)</f>
        <v>82390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264818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131118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131118</v>
      </c>
      <c r="D24" s="244"/>
      <c r="E24" s="244"/>
      <c r="F24" s="245"/>
      <c r="G24" s="246" t="s">
        <v>2031</v>
      </c>
    </row>
    <row r="25" spans="1:7" s="220" customFormat="1" ht="24">
      <c r="A25" s="869" t="s">
        <v>1921</v>
      </c>
      <c r="B25" s="221" t="s">
        <v>2032</v>
      </c>
      <c r="C25" s="1243">
        <f ca="1">ROUND(IF('数据-取费表'!B22&lt;=1,C20*F22*'数据-取费表'!B22/2,C20*(POWER((1+F22),'数据-取费表'!B22/2)-1)),0)</f>
        <v>2582</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6.4">
      <c r="A27" s="261" t="s">
        <v>1957</v>
      </c>
      <c r="B27" s="250" t="s">
        <v>1958</v>
      </c>
      <c r="C27" s="251">
        <f ca="1">C28</f>
        <v>630284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630284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5521608</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34346364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30896280</v>
      </c>
      <c r="D34" s="223"/>
      <c r="E34" s="226"/>
      <c r="F34" s="263"/>
      <c r="G34" s="225"/>
    </row>
    <row r="35" spans="1:7" ht="13.5" customHeight="1">
      <c r="A35" s="869" t="s">
        <v>615</v>
      </c>
      <c r="B35" s="221" t="s">
        <v>1972</v>
      </c>
      <c r="C35" s="226">
        <f ca="1">ROUND(C34*F35,0)</f>
        <v>926888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2059752</v>
      </c>
      <c r="D37" s="223">
        <f ca="1">D19</f>
        <v>10298.76</v>
      </c>
      <c r="E37" s="255">
        <f>'数据-取费表'!B35</f>
        <v>200</v>
      </c>
      <c r="F37" s="265"/>
      <c r="G37" s="267"/>
    </row>
    <row r="38" spans="1:7" ht="13.5" customHeight="1">
      <c r="A38" s="869" t="s">
        <v>618</v>
      </c>
      <c r="B38" s="221" t="s">
        <v>1978</v>
      </c>
      <c r="C38" s="226">
        <f ca="1">ROUND(C34*F38,0)</f>
        <v>463444</v>
      </c>
      <c r="D38" s="226"/>
      <c r="E38" s="226"/>
      <c r="F38" s="265">
        <f>'数据-取费表'!B36</f>
        <v>1.4999999999999999E-2</v>
      </c>
      <c r="G38" s="225" t="s">
        <v>1973</v>
      </c>
    </row>
    <row r="39" spans="1:7" s="220" customFormat="1" ht="13.5" customHeight="1">
      <c r="A39" s="261" t="s">
        <v>1979</v>
      </c>
      <c r="B39" s="216" t="s">
        <v>1980</v>
      </c>
      <c r="C39" s="238">
        <f ca="1">ROUND(C33*F20,0)</f>
        <v>686927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1097855</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1076328</v>
      </c>
      <c r="D42" s="244"/>
      <c r="E42" s="244"/>
      <c r="F42" s="245"/>
      <c r="G42" s="3421" t="s">
        <v>2036</v>
      </c>
    </row>
    <row r="43" spans="1:7" ht="13.5" customHeight="1">
      <c r="A43" s="869" t="s">
        <v>611</v>
      </c>
      <c r="B43" s="221" t="s">
        <v>1990</v>
      </c>
      <c r="C43" s="244">
        <f ca="1">ROUND(IF('数据-取费表'!B22&lt;=1,C39*F22*'数据-取费表'!B20/2,C39*(POWER((1+F22),'数据-取费表'!B20/2)-1)),0)</f>
        <v>21527</v>
      </c>
      <c r="D43" s="244"/>
      <c r="E43" s="244"/>
      <c r="F43" s="245"/>
      <c r="G43" s="3422"/>
    </row>
    <row r="44" spans="1:7" ht="13.5" customHeight="1">
      <c r="A44" s="869" t="s">
        <v>612</v>
      </c>
      <c r="B44" s="221" t="s">
        <v>1991</v>
      </c>
      <c r="C44" s="244">
        <f ca="1">ROUND(IF('数据-取费表'!B22&lt;=1,C40*F22*'数据-取费表'!B20/2,C40*(POWER((1+F22),'数据-取费表'!B20/2)-1)),4)</f>
        <v>5.9999999999999995E-4</v>
      </c>
      <c r="D44" s="244"/>
      <c r="E44" s="244"/>
      <c r="F44" s="245"/>
      <c r="G44" s="3423"/>
    </row>
    <row r="45" spans="1:7" s="220" customFormat="1" ht="13.5" customHeight="1">
      <c r="A45" s="261" t="s">
        <v>1992</v>
      </c>
      <c r="B45" s="250" t="s">
        <v>1958</v>
      </c>
      <c r="C45" s="251">
        <f ca="1">C46</f>
        <v>5254994</v>
      </c>
      <c r="D45" s="241">
        <f ca="1">C47</f>
        <v>3.0000000000000001E-3</v>
      </c>
      <c r="E45" s="242" t="s">
        <v>1984</v>
      </c>
      <c r="F45" s="2488">
        <f ca="1">F27</f>
        <v>0.15</v>
      </c>
      <c r="G45" s="253" t="s">
        <v>1993</v>
      </c>
    </row>
    <row r="46" spans="1:7" s="220" customFormat="1" ht="13.5" customHeight="1">
      <c r="A46" s="869" t="s">
        <v>610</v>
      </c>
      <c r="B46" s="254" t="s">
        <v>1994</v>
      </c>
      <c r="C46" s="255">
        <f ca="1">ROUND((C33+C39)*F27,0)</f>
        <v>5254994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44833864</v>
      </c>
      <c r="D49" s="238"/>
      <c r="E49" s="238"/>
      <c r="F49" s="270"/>
      <c r="G49" s="240" t="s">
        <v>1999</v>
      </c>
    </row>
    <row r="50" spans="1:7" s="264" customFormat="1">
      <c r="A50" s="261" t="s">
        <v>2000</v>
      </c>
      <c r="B50" s="216" t="s">
        <v>2001</v>
      </c>
      <c r="C50" s="238"/>
      <c r="D50" s="238"/>
      <c r="E50" s="238"/>
      <c r="F50" s="270">
        <f>IF('数据-取费表'!B24=0,'数据-取费表'!N16,1)</f>
        <v>0.72</v>
      </c>
      <c r="G50" s="253"/>
    </row>
    <row r="51" spans="1:7" ht="16.5" customHeight="1">
      <c r="A51" s="261" t="s">
        <v>2003</v>
      </c>
      <c r="B51" s="216" t="s">
        <v>2038</v>
      </c>
      <c r="C51" s="238">
        <f ca="1">ROUND(C49*F50,0)</f>
        <v>32280382</v>
      </c>
      <c r="D51" s="238"/>
      <c r="E51" s="238"/>
      <c r="F51" s="270"/>
      <c r="G51" s="240" t="s">
        <v>2005</v>
      </c>
    </row>
    <row r="52" spans="1:7" s="214" customFormat="1" ht="16.8" thickBot="1">
      <c r="A52" s="271" t="s">
        <v>2006</v>
      </c>
      <c r="B52" s="272"/>
      <c r="C52" s="273">
        <f ca="1">C31+C51</f>
        <v>37801990</v>
      </c>
      <c r="D52" s="272"/>
      <c r="E52" s="272"/>
      <c r="F52" s="272"/>
      <c r="G52" s="274"/>
    </row>
    <row r="55" spans="1:7" ht="15">
      <c r="B55" s="276" t="s">
        <v>2007</v>
      </c>
      <c r="C55" s="277"/>
    </row>
    <row r="56" spans="1:7">
      <c r="B56" s="279" t="s">
        <v>1237</v>
      </c>
      <c r="C56" s="281">
        <f ca="1">1-C57</f>
        <v>0.14600000000000002</v>
      </c>
    </row>
    <row r="57" spans="1:7">
      <c r="B57" s="279" t="s">
        <v>1238</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63" sqref="J63"/>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10298.76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10298.76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206</v>
      </c>
      <c r="D20" s="936">
        <f ca="1">IF(C1="",'数据-汇总表'!E6,IF(INDIRECT("'数据-取费表'!c"&amp;$K$1)="住宅",INDIRECT("'数据-取费表'!s"&amp;$K$1),INDIRECT("'数据-取费表'!k"&amp;$K$1)+INDIRECT("'数据-取费表'!s"&amp;$K$1)))</f>
        <v>10298.76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39" sqref="H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1102</v>
      </c>
      <c r="D1" s="1497" t="s">
        <v>70</v>
      </c>
      <c r="E1" s="1498" t="s">
        <v>1111</v>
      </c>
      <c r="F1" s="1174">
        <f ca="1">J53</f>
        <v>33.14</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20451</v>
      </c>
      <c r="C2" s="1522" t="s">
        <v>1240</v>
      </c>
      <c r="D2" s="1522"/>
      <c r="E2" s="1523"/>
      <c r="F2" s="1524"/>
      <c r="G2" s="2884"/>
      <c r="H2" s="2873"/>
      <c r="I2" s="2873"/>
      <c r="J2" s="2873"/>
      <c r="K2" s="2874"/>
      <c r="L2" s="2873"/>
      <c r="M2" s="2873"/>
    </row>
    <row r="3" spans="1:37" ht="18" customHeight="1" thickBot="1">
      <c r="A3" s="1525" t="s">
        <v>1241</v>
      </c>
      <c r="B3" s="1526">
        <f ca="1">IF(ISERROR(B2*10000/F43),0,ROUND(B2*10000/F43,0))</f>
        <v>19858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1185</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1184</v>
      </c>
      <c r="D6" s="160" t="s">
        <v>2609</v>
      </c>
      <c r="E6" s="308" t="s">
        <v>1129</v>
      </c>
      <c r="F6" s="309">
        <f ca="1">INDIRECT("'数据-取费表'!u"&amp;$G$1)</f>
        <v>3.5</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10298.76</v>
      </c>
      <c r="G7" s="1519"/>
      <c r="H7" s="310"/>
      <c r="I7" s="3427"/>
      <c r="J7" s="312"/>
      <c r="K7" s="313"/>
      <c r="L7" s="308" t="s">
        <v>1130</v>
      </c>
      <c r="M7" s="309">
        <f ca="1">F7</f>
        <v>10298.76</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3229</v>
      </c>
      <c r="D13" s="1194" t="s">
        <v>1139</v>
      </c>
      <c r="E13" s="1194" t="s">
        <v>1140</v>
      </c>
      <c r="F13" s="1195">
        <f ca="1">INDIRECT("'数据-取费表'!y"&amp;$G$1)</f>
        <v>0.72</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3090</v>
      </c>
      <c r="D14" s="1480" t="s">
        <v>1142</v>
      </c>
      <c r="E14" s="1477"/>
      <c r="F14" s="325"/>
      <c r="G14" s="1519"/>
      <c r="H14" s="1094" t="s">
        <v>822</v>
      </c>
      <c r="I14" s="308" t="s">
        <v>1143</v>
      </c>
      <c r="J14" s="24">
        <f ca="1">C29</f>
        <v>4485</v>
      </c>
      <c r="K14" s="15"/>
      <c r="L14" s="897"/>
      <c r="M14" s="898"/>
    </row>
    <row r="15" spans="1:37" s="1532" customFormat="1" ht="18" customHeight="1" thickBot="1">
      <c r="A15" s="1094" t="s">
        <v>823</v>
      </c>
      <c r="B15" s="308" t="s">
        <v>1144</v>
      </c>
      <c r="C15" s="24">
        <f ca="1">ROUND(C14*F15,0)</f>
        <v>93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84</v>
      </c>
      <c r="K16" s="1200" t="s">
        <v>1149</v>
      </c>
      <c r="L16" s="1201"/>
      <c r="M16" s="1185"/>
    </row>
    <row r="17" spans="1:37" s="1532" customFormat="1" ht="18" customHeight="1">
      <c r="A17" s="1094" t="s">
        <v>1114</v>
      </c>
      <c r="B17" s="308" t="s">
        <v>1150</v>
      </c>
      <c r="C17" s="24">
        <f ca="1">ROUND(F17*(F43+INDIRECT("'数据-取费表'!S"&amp;$G$1))/10000,0)</f>
        <v>206</v>
      </c>
      <c r="D17" s="308" t="s">
        <v>1151</v>
      </c>
      <c r="E17" s="308" t="s">
        <v>1152</v>
      </c>
      <c r="F17" s="26">
        <f>'数据-取费表'!B35</f>
        <v>200</v>
      </c>
      <c r="G17" s="1531"/>
      <c r="H17" s="1094" t="s">
        <v>822</v>
      </c>
      <c r="I17" s="308" t="s">
        <v>1153</v>
      </c>
      <c r="J17" s="2485">
        <f ca="1">ROUND(IF(AND(项目基本情况!B11="自然人",项目基本情况!B10="北京市"),J6*M17/(1+'数据-取费表'!C42),J18+J19+J20),0)</f>
        <v>39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3435</v>
      </c>
      <c r="D19" s="136" t="s">
        <v>1160</v>
      </c>
      <c r="E19" s="1495"/>
      <c r="F19" s="26"/>
      <c r="G19" s="1519"/>
      <c r="H19" s="1094" t="s">
        <v>823</v>
      </c>
      <c r="I19" s="308" t="s">
        <v>1161</v>
      </c>
      <c r="J19" s="24">
        <f ca="1">IF(K19="按租金收入计税",ROUND(J6*M19/(1+'数据-取费表'!C42),2),ROUND(C29*M19*0.7,2))</f>
        <v>37.67</v>
      </c>
      <c r="K19" s="1505" t="s">
        <v>1162</v>
      </c>
      <c r="L19" s="308" t="s">
        <v>1146</v>
      </c>
      <c r="M19" s="328">
        <f>IF(K19="按租金收入计税",'数据-取费表'!B51,'数据-取费表'!B50)</f>
        <v>1.2E-2</v>
      </c>
    </row>
    <row r="20" spans="1:37" s="1532" customFormat="1" ht="18" customHeight="1">
      <c r="A20" s="1094" t="s">
        <v>826</v>
      </c>
      <c r="B20" s="308" t="s">
        <v>1163</v>
      </c>
      <c r="C20" s="24">
        <f ca="1">ROUND(C19*F20,0)</f>
        <v>69</v>
      </c>
      <c r="D20" s="329" t="s">
        <v>1164</v>
      </c>
      <c r="E20" s="308" t="s">
        <v>1146</v>
      </c>
      <c r="F20" s="328">
        <f>'数据-取费表'!B37</f>
        <v>0.02</v>
      </c>
      <c r="G20" s="1531"/>
      <c r="H20" s="1094" t="s">
        <v>1113</v>
      </c>
      <c r="I20" s="160" t="s">
        <v>1165</v>
      </c>
      <c r="J20" s="25">
        <f ca="1">ROUND(M20*M21/10000,2)</f>
        <v>1.7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5682.86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44.9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110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-84</v>
      </c>
      <c r="K25" s="1208" t="s">
        <v>1188</v>
      </c>
      <c r="L25" s="1209"/>
      <c r="M25" s="1210"/>
    </row>
    <row r="26" spans="1:37">
      <c r="A26" s="1094" t="s">
        <v>821</v>
      </c>
      <c r="B26" s="308" t="s">
        <v>1189</v>
      </c>
      <c r="C26" s="24">
        <f ca="1">ROUND((C19+C20)*F26,0)</f>
        <v>526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4485</v>
      </c>
      <c r="D29" s="1205"/>
      <c r="E29" s="1203"/>
      <c r="F29" s="1206"/>
      <c r="G29" s="1531"/>
      <c r="H29" s="340" t="s">
        <v>820</v>
      </c>
      <c r="I29" s="341" t="s">
        <v>1203</v>
      </c>
      <c r="J29" s="342">
        <f ca="1">ROUND(J26/(1+F40)^F41,0)</f>
        <v>0</v>
      </c>
      <c r="K29" s="343" t="s">
        <v>1204</v>
      </c>
      <c r="L29" s="344"/>
      <c r="M29" s="345">
        <f ca="1">INDIRECT("'数据-取费表'!k"&amp;$G$1)</f>
        <v>10298.76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260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200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63.15</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135.31</v>
      </c>
      <c r="D33" s="1505" t="s">
        <v>3187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1.7</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5682.86</v>
      </c>
      <c r="G35" s="1519"/>
      <c r="H35" s="2875"/>
      <c r="I35" s="1533"/>
      <c r="J35" s="1534"/>
      <c r="K35" s="2879"/>
      <c r="L35" s="2878"/>
      <c r="M35" s="2878"/>
    </row>
    <row r="36" spans="1:18" ht="18" customHeight="1">
      <c r="A36" s="1215" t="s">
        <v>826</v>
      </c>
      <c r="B36" s="308" t="s">
        <v>1173</v>
      </c>
      <c r="C36" s="24">
        <f ca="1">ROUND(C29*F36,1)</f>
        <v>44.9</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3.2</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11.9</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925</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20288</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33.14</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19699</v>
      </c>
      <c r="D43" s="343" t="s">
        <v>1212</v>
      </c>
      <c r="E43" s="344" t="s">
        <v>1213</v>
      </c>
      <c r="F43" s="345">
        <f ca="1">INDIRECT("'数据-取费表'!k"&amp;$G$1)</f>
        <v>10298.76</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8" thickBot="1">
      <c r="A46" s="1539" t="s">
        <v>1244</v>
      </c>
      <c r="C46" s="1540">
        <f ca="1">C68-C40</f>
        <v>-26720</v>
      </c>
      <c r="D46" s="1541" t="str">
        <f>C2</f>
        <v>万元</v>
      </c>
      <c r="E46" s="1535"/>
      <c r="F46" s="1535"/>
      <c r="I46" s="1542" t="s">
        <v>1245</v>
      </c>
      <c r="J46" s="1543"/>
      <c r="K46" s="1544"/>
      <c r="L46" s="1545">
        <f ca="1">IF(M47="住宅",0,IF(L48&gt;J51,L60,J60))</f>
        <v>163</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20288</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33.14</v>
      </c>
      <c r="O48" s="1553" t="s">
        <v>828</v>
      </c>
      <c r="P48" s="1554" t="s">
        <v>1256</v>
      </c>
      <c r="Q48" s="1555">
        <f ca="1">J60</f>
        <v>163</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4485</v>
      </c>
      <c r="R49" s="1555" t="s">
        <v>1253</v>
      </c>
    </row>
    <row r="50" spans="1:18" s="1519" customFormat="1" ht="13.8" thickBot="1">
      <c r="A50" s="1088"/>
      <c r="B50" s="1091"/>
      <c r="C50" s="1231"/>
      <c r="D50" s="1065"/>
      <c r="E50" s="1168" t="s">
        <v>1130</v>
      </c>
      <c r="F50" s="1169">
        <f ca="1">F7</f>
        <v>10298.76</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8"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11518</v>
      </c>
      <c r="M51" s="1571"/>
      <c r="O51" s="1563" t="s">
        <v>831</v>
      </c>
      <c r="P51" s="1554" t="s">
        <v>1266</v>
      </c>
      <c r="Q51" s="1566">
        <f>J52</f>
        <v>7.4999999999999997E-2</v>
      </c>
      <c r="R51" s="1555"/>
    </row>
    <row r="52" spans="1:18" s="1519" customFormat="1" ht="13.8" thickBot="1">
      <c r="A52" s="1089"/>
      <c r="B52" s="1091"/>
      <c r="C52" s="1092"/>
      <c r="D52" s="1065"/>
      <c r="E52" s="1093" t="s">
        <v>1132</v>
      </c>
      <c r="F52" s="1166"/>
      <c r="I52" s="1572" t="s">
        <v>1267</v>
      </c>
      <c r="J52" s="3582">
        <v>7.4999999999999997E-2</v>
      </c>
      <c r="K52" s="1572" t="s">
        <v>1268</v>
      </c>
      <c r="L52" s="1573"/>
      <c r="O52" s="1563" t="s">
        <v>832</v>
      </c>
      <c r="P52" s="1554" t="s">
        <v>1269</v>
      </c>
      <c r="Q52" s="1555">
        <f ca="1">J53</f>
        <v>33.14</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33.14</v>
      </c>
      <c r="K53" s="3424" t="s">
        <v>1272</v>
      </c>
      <c r="L53" s="3425"/>
      <c r="O53" s="1553" t="s">
        <v>833</v>
      </c>
      <c r="P53" s="1554" t="s">
        <v>1273</v>
      </c>
      <c r="Q53" s="1555">
        <f ca="1">Q47+Q48</f>
        <v>20451</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f ca="1">ROUND(IF(J47="钢混",J57/J50,1-(1-2%)*(J50-J57)/J50),3)</f>
        <v>8.1000000000000003E-2</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3229</v>
      </c>
      <c r="D56" s="1582"/>
      <c r="E56" s="1583"/>
      <c r="F56" s="1575"/>
      <c r="I56" s="1584" t="s">
        <v>1278</v>
      </c>
      <c r="J56" s="1585" t="s">
        <v>3190</v>
      </c>
      <c r="K56" s="1556" t="s">
        <v>1279</v>
      </c>
      <c r="L56" s="1559" t="str">
        <f ca="1">IF(L48&lt;J51,"——",L48-J53)</f>
        <v>——</v>
      </c>
      <c r="O56" s="1553" t="s">
        <v>827</v>
      </c>
      <c r="P56" s="1554" t="s">
        <v>1252</v>
      </c>
      <c r="Q56" s="1555">
        <f ca="1">C40+J29</f>
        <v>20288</v>
      </c>
      <c r="R56" s="1555" t="s">
        <v>1253</v>
      </c>
    </row>
    <row r="57" spans="1:18" s="1519" customFormat="1" ht="24.6" thickBot="1">
      <c r="A57" s="1586"/>
      <c r="B57" s="1062" t="s">
        <v>1202</v>
      </c>
      <c r="C57" s="244">
        <f ca="1">C29</f>
        <v>4485</v>
      </c>
      <c r="D57" s="1587"/>
      <c r="E57" s="1588"/>
      <c r="F57" s="1589"/>
      <c r="I57" s="1590" t="s">
        <v>1280</v>
      </c>
      <c r="J57" s="1591">
        <f ca="1">IF(OR(M47="住宅",J51&lt;L48,J56="是"),"——",J51-L48)</f>
        <v>4.8599999999999994</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426</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378</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1794</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163</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376.74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1.7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20288</v>
      </c>
      <c r="R62" s="1555" t="s">
        <v>834</v>
      </c>
    </row>
    <row r="63" spans="1:18" s="1519" customFormat="1" ht="13.8" thickBot="1">
      <c r="A63" s="332"/>
      <c r="B63" s="1068"/>
      <c r="C63" s="29"/>
      <c r="D63" s="1078"/>
      <c r="E63" s="1062" t="s">
        <v>1223</v>
      </c>
      <c r="F63" s="309">
        <f t="shared" ca="1" si="0"/>
        <v>5682.86</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44.9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3.2</v>
      </c>
      <c r="D65" s="1076" t="s">
        <v>1178</v>
      </c>
      <c r="E65" s="1062" t="s">
        <v>1179</v>
      </c>
      <c r="F65" s="336">
        <f t="shared" ca="1" si="0"/>
        <v>1E-3</v>
      </c>
      <c r="I65" s="1597" t="s">
        <v>1303</v>
      </c>
      <c r="J65" s="1598">
        <v>40</v>
      </c>
      <c r="K65" s="1598">
        <v>30</v>
      </c>
      <c r="L65" s="1598">
        <v>50</v>
      </c>
      <c r="M65" s="1600">
        <v>0.02</v>
      </c>
      <c r="O65" s="1553" t="s">
        <v>827</v>
      </c>
      <c r="P65" s="1554" t="s">
        <v>1304</v>
      </c>
      <c r="Q65" s="1555">
        <f ca="1">C40+J29</f>
        <v>20288</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-426</v>
      </c>
      <c r="D67" s="1075" t="s">
        <v>1188</v>
      </c>
      <c r="E67" s="1080"/>
      <c r="F67" s="1081"/>
      <c r="O67" s="1563" t="s">
        <v>829</v>
      </c>
      <c r="P67" s="1554" t="s">
        <v>1286</v>
      </c>
      <c r="Q67" s="1601">
        <f ca="1">L51</f>
        <v>11518</v>
      </c>
      <c r="R67" s="1555" t="s">
        <v>1306</v>
      </c>
    </row>
    <row r="68" spans="1:18" s="1519" customFormat="1" ht="16.2" thickBot="1">
      <c r="A68" s="1059" t="s">
        <v>819</v>
      </c>
      <c r="B68" s="1060" t="s">
        <v>1209</v>
      </c>
      <c r="C68" s="307">
        <f ca="1">ROUND(C67*(1-((1+F70)/(1+F68))^F69)/(F68-F70),0)</f>
        <v>-6432</v>
      </c>
      <c r="D68" s="1077" t="s">
        <v>1193</v>
      </c>
      <c r="E68" s="1062" t="s">
        <v>1194</v>
      </c>
      <c r="F68" s="318">
        <f ca="1">F40</f>
        <v>5.5E-2</v>
      </c>
      <c r="O68" s="1563" t="s">
        <v>830</v>
      </c>
      <c r="P68" s="1602" t="s">
        <v>1307</v>
      </c>
      <c r="Q68" s="1555">
        <f ca="1">ROUND(Q69-Q70*Q71,0)</f>
        <v>683</v>
      </c>
      <c r="R68" s="1555" t="s">
        <v>838</v>
      </c>
    </row>
    <row r="69" spans="1:18" s="1519" customFormat="1" ht="13.8" thickBot="1">
      <c r="A69" s="1063"/>
      <c r="B69" s="1064"/>
      <c r="C69" s="312"/>
      <c r="D69" s="1082" t="s">
        <v>1197</v>
      </c>
      <c r="E69" s="1062" t="s">
        <v>1198</v>
      </c>
      <c r="F69" s="339">
        <f ca="1">F41</f>
        <v>33.14</v>
      </c>
      <c r="O69" s="1563" t="s">
        <v>835</v>
      </c>
      <c r="P69" s="1602" t="s">
        <v>1308</v>
      </c>
      <c r="Q69" s="1555">
        <f ca="1">C39</f>
        <v>925</v>
      </c>
      <c r="R69" s="1555" t="s">
        <v>1253</v>
      </c>
    </row>
    <row r="70" spans="1:18" s="1519" customFormat="1" ht="13.8" thickBot="1">
      <c r="A70" s="1066"/>
      <c r="B70" s="1067"/>
      <c r="C70" s="316"/>
      <c r="D70" s="1078"/>
      <c r="E70" s="1062" t="s">
        <v>1201</v>
      </c>
      <c r="F70" s="1166"/>
      <c r="O70" s="1563" t="s">
        <v>836</v>
      </c>
      <c r="P70" s="1602" t="s">
        <v>1309</v>
      </c>
      <c r="Q70" s="1555">
        <f ca="1">C13</f>
        <v>3229</v>
      </c>
      <c r="R70" s="1555" t="s">
        <v>1253</v>
      </c>
    </row>
    <row r="71" spans="1:18" s="1519" customFormat="1" ht="13.8" thickBot="1">
      <c r="A71" s="1083" t="s">
        <v>820</v>
      </c>
      <c r="B71" s="1084" t="s">
        <v>1211</v>
      </c>
      <c r="C71" s="342">
        <f ca="1">ROUND(C68*10000/F71,0)</f>
        <v>-6245</v>
      </c>
      <c r="D71" s="1085" t="s">
        <v>1212</v>
      </c>
      <c r="E71" s="1086" t="s">
        <v>1213</v>
      </c>
      <c r="F71" s="345">
        <f ca="1">F43</f>
        <v>10298.76</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242</v>
      </c>
      <c r="D75" s="1519"/>
      <c r="E75" s="1519"/>
      <c r="F75" s="1519"/>
      <c r="K75" s="1537"/>
      <c r="L75" s="1519"/>
      <c r="O75" s="1553" t="s">
        <v>833</v>
      </c>
      <c r="P75" s="1554" t="s">
        <v>1273</v>
      </c>
      <c r="Q75" s="1555">
        <f ca="1">Q65+Q66</f>
        <v>20288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0.73799999999999999</v>
      </c>
    </row>
    <row r="80" spans="1:18">
      <c r="B80" s="346" t="s">
        <v>1235</v>
      </c>
      <c r="C80" s="280">
        <f ca="1">ROUND(C75/C39,3)</f>
        <v>0.26200000000000001</v>
      </c>
    </row>
    <row r="81" spans="2:3">
      <c r="B81" s="276" t="s">
        <v>1236</v>
      </c>
      <c r="C81" s="244"/>
    </row>
    <row r="82" spans="2:3">
      <c r="B82" s="279" t="s">
        <v>1237</v>
      </c>
      <c r="C82" s="281">
        <f ca="1">1-C83</f>
        <v>0.84099999999999997</v>
      </c>
    </row>
    <row r="83" spans="2:3">
      <c r="B83" s="279" t="s">
        <v>1238</v>
      </c>
      <c r="C83" s="280">
        <f ca="1">ROUND(C13/C40,3)</f>
        <v>0.159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63" sqref="J6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63" sqref="J63"/>
    </sheetView>
  </sheetViews>
  <sheetFormatPr defaultRowHeight="13.2" customHeight="1"/>
  <cols>
    <col min="1" max="1" width="9.44140625" style="3022" customWidth="1"/>
    <col min="2" max="2" width="8.88671875" style="3022"/>
    <col min="3" max="5" width="12.88671875" style="3022" customWidth="1"/>
    <col min="6" max="6" width="47.44140625" style="3022" customWidth="1"/>
    <col min="7" max="7" width="13" style="3181" customWidth="1"/>
    <col min="8" max="8" width="8.88671875" style="3016"/>
    <col min="9" max="9" width="8.88671875" style="3017"/>
    <col min="10" max="10" width="5.77734375" style="3182" customWidth="1"/>
    <col min="11" max="11" width="11.77734375" style="3182" customWidth="1"/>
    <col min="12" max="13" width="10.77734375" style="3182" customWidth="1"/>
    <col min="14" max="14" width="10" style="3182" customWidth="1"/>
    <col min="15" max="16" width="10.44140625" style="3182" bestFit="1" customWidth="1"/>
    <col min="17" max="17" width="10" style="3182" customWidth="1"/>
    <col min="18" max="18" width="10.109375" style="3182" customWidth="1"/>
    <col min="19" max="19" width="10" style="3182" customWidth="1"/>
    <col min="20" max="20" width="26.109375" style="3182" customWidth="1"/>
    <col min="21" max="21" width="8.88671875" style="3182"/>
    <col min="22" max="22" width="8.88671875" style="3017"/>
    <col min="23" max="256" width="8.88671875" style="3022"/>
    <col min="257" max="257" width="9.44140625" style="3022" customWidth="1"/>
    <col min="258" max="258" width="8.88671875" style="3022"/>
    <col min="259" max="261" width="12.88671875" style="3022" customWidth="1"/>
    <col min="262" max="262" width="47.44140625" style="3022" customWidth="1"/>
    <col min="263" max="263" width="13" style="3022" customWidth="1"/>
    <col min="264" max="265" width="8.88671875" style="3022"/>
    <col min="266" max="266" width="5.77734375" style="3022" customWidth="1"/>
    <col min="267" max="267" width="11.77734375" style="3022" customWidth="1"/>
    <col min="268" max="269" width="10.77734375" style="3022" customWidth="1"/>
    <col min="270" max="270" width="10" style="3022" customWidth="1"/>
    <col min="271" max="272" width="10.44140625" style="3022" bestFit="1" customWidth="1"/>
    <col min="273" max="273" width="10" style="3022" customWidth="1"/>
    <col min="274" max="274" width="10.109375" style="3022" customWidth="1"/>
    <col min="275" max="275" width="10" style="3022" customWidth="1"/>
    <col min="276" max="276" width="26.109375" style="3022" customWidth="1"/>
    <col min="277" max="512" width="8.88671875" style="3022"/>
    <col min="513" max="513" width="9.44140625" style="3022" customWidth="1"/>
    <col min="514" max="514" width="8.88671875" style="3022"/>
    <col min="515" max="517" width="12.88671875" style="3022" customWidth="1"/>
    <col min="518" max="518" width="47.44140625" style="3022" customWidth="1"/>
    <col min="519" max="519" width="13" style="3022" customWidth="1"/>
    <col min="520" max="521" width="8.88671875" style="3022"/>
    <col min="522" max="522" width="5.77734375" style="3022" customWidth="1"/>
    <col min="523" max="523" width="11.77734375" style="3022" customWidth="1"/>
    <col min="524" max="525" width="10.77734375" style="3022" customWidth="1"/>
    <col min="526" max="526" width="10" style="3022" customWidth="1"/>
    <col min="527" max="528" width="10.44140625" style="3022" bestFit="1" customWidth="1"/>
    <col min="529" max="529" width="10" style="3022" customWidth="1"/>
    <col min="530" max="530" width="10.109375" style="3022" customWidth="1"/>
    <col min="531" max="531" width="10" style="3022" customWidth="1"/>
    <col min="532" max="532" width="26.109375" style="3022" customWidth="1"/>
    <col min="533" max="768" width="8.88671875" style="3022"/>
    <col min="769" max="769" width="9.44140625" style="3022" customWidth="1"/>
    <col min="770" max="770" width="8.88671875" style="3022"/>
    <col min="771" max="773" width="12.88671875" style="3022" customWidth="1"/>
    <col min="774" max="774" width="47.44140625" style="3022" customWidth="1"/>
    <col min="775" max="775" width="13" style="3022" customWidth="1"/>
    <col min="776" max="777" width="8.88671875" style="3022"/>
    <col min="778" max="778" width="5.77734375" style="3022" customWidth="1"/>
    <col min="779" max="779" width="11.77734375" style="3022" customWidth="1"/>
    <col min="780" max="781" width="10.77734375" style="3022" customWidth="1"/>
    <col min="782" max="782" width="10" style="3022" customWidth="1"/>
    <col min="783" max="784" width="10.44140625" style="3022" bestFit="1" customWidth="1"/>
    <col min="785" max="785" width="10" style="3022" customWidth="1"/>
    <col min="786" max="786" width="10.109375" style="3022" customWidth="1"/>
    <col min="787" max="787" width="10" style="3022" customWidth="1"/>
    <col min="788" max="788" width="26.109375" style="3022" customWidth="1"/>
    <col min="789" max="1024" width="8.88671875" style="3022"/>
    <col min="1025" max="1025" width="9.44140625" style="3022" customWidth="1"/>
    <col min="1026" max="1026" width="8.88671875" style="3022"/>
    <col min="1027" max="1029" width="12.88671875" style="3022" customWidth="1"/>
    <col min="1030" max="1030" width="47.44140625" style="3022" customWidth="1"/>
    <col min="1031" max="1031" width="13" style="3022" customWidth="1"/>
    <col min="1032" max="1033" width="8.88671875" style="3022"/>
    <col min="1034" max="1034" width="5.77734375" style="3022" customWidth="1"/>
    <col min="1035" max="1035" width="11.77734375" style="3022" customWidth="1"/>
    <col min="1036" max="1037" width="10.77734375" style="3022" customWidth="1"/>
    <col min="1038" max="1038" width="10" style="3022" customWidth="1"/>
    <col min="1039" max="1040" width="10.44140625" style="3022" bestFit="1" customWidth="1"/>
    <col min="1041" max="1041" width="10" style="3022" customWidth="1"/>
    <col min="1042" max="1042" width="10.109375" style="3022" customWidth="1"/>
    <col min="1043" max="1043" width="10" style="3022" customWidth="1"/>
    <col min="1044" max="1044" width="26.109375" style="3022" customWidth="1"/>
    <col min="1045" max="1280" width="8.88671875" style="3022"/>
    <col min="1281" max="1281" width="9.44140625" style="3022" customWidth="1"/>
    <col min="1282" max="1282" width="8.88671875" style="3022"/>
    <col min="1283" max="1285" width="12.88671875" style="3022" customWidth="1"/>
    <col min="1286" max="1286" width="47.44140625" style="3022" customWidth="1"/>
    <col min="1287" max="1287" width="13" style="3022" customWidth="1"/>
    <col min="1288" max="1289" width="8.88671875" style="3022"/>
    <col min="1290" max="1290" width="5.77734375" style="3022" customWidth="1"/>
    <col min="1291" max="1291" width="11.77734375" style="3022" customWidth="1"/>
    <col min="1292" max="1293" width="10.77734375" style="3022" customWidth="1"/>
    <col min="1294" max="1294" width="10" style="3022" customWidth="1"/>
    <col min="1295" max="1296" width="10.44140625" style="3022" bestFit="1" customWidth="1"/>
    <col min="1297" max="1297" width="10" style="3022" customWidth="1"/>
    <col min="1298" max="1298" width="10.109375" style="3022" customWidth="1"/>
    <col min="1299" max="1299" width="10" style="3022" customWidth="1"/>
    <col min="1300" max="1300" width="26.109375" style="3022" customWidth="1"/>
    <col min="1301" max="1536" width="8.88671875" style="3022"/>
    <col min="1537" max="1537" width="9.44140625" style="3022" customWidth="1"/>
    <col min="1538" max="1538" width="8.88671875" style="3022"/>
    <col min="1539" max="1541" width="12.88671875" style="3022" customWidth="1"/>
    <col min="1542" max="1542" width="47.44140625" style="3022" customWidth="1"/>
    <col min="1543" max="1543" width="13" style="3022" customWidth="1"/>
    <col min="1544" max="1545" width="8.88671875" style="3022"/>
    <col min="1546" max="1546" width="5.77734375" style="3022" customWidth="1"/>
    <col min="1547" max="1547" width="11.77734375" style="3022" customWidth="1"/>
    <col min="1548" max="1549" width="10.77734375" style="3022" customWidth="1"/>
    <col min="1550" max="1550" width="10" style="3022" customWidth="1"/>
    <col min="1551" max="1552" width="10.44140625" style="3022" bestFit="1" customWidth="1"/>
    <col min="1553" max="1553" width="10" style="3022" customWidth="1"/>
    <col min="1554" max="1554" width="10.109375" style="3022" customWidth="1"/>
    <col min="1555" max="1555" width="10" style="3022" customWidth="1"/>
    <col min="1556" max="1556" width="26.109375" style="3022" customWidth="1"/>
    <col min="1557" max="1792" width="8.88671875" style="3022"/>
    <col min="1793" max="1793" width="9.44140625" style="3022" customWidth="1"/>
    <col min="1794" max="1794" width="8.88671875" style="3022"/>
    <col min="1795" max="1797" width="12.88671875" style="3022" customWidth="1"/>
    <col min="1798" max="1798" width="47.44140625" style="3022" customWidth="1"/>
    <col min="1799" max="1799" width="13" style="3022" customWidth="1"/>
    <col min="1800" max="1801" width="8.88671875" style="3022"/>
    <col min="1802" max="1802" width="5.77734375" style="3022" customWidth="1"/>
    <col min="1803" max="1803" width="11.77734375" style="3022" customWidth="1"/>
    <col min="1804" max="1805" width="10.77734375" style="3022" customWidth="1"/>
    <col min="1806" max="1806" width="10" style="3022" customWidth="1"/>
    <col min="1807" max="1808" width="10.44140625" style="3022" bestFit="1" customWidth="1"/>
    <col min="1809" max="1809" width="10" style="3022" customWidth="1"/>
    <col min="1810" max="1810" width="10.109375" style="3022" customWidth="1"/>
    <col min="1811" max="1811" width="10" style="3022" customWidth="1"/>
    <col min="1812" max="1812" width="26.109375" style="3022" customWidth="1"/>
    <col min="1813" max="2048" width="8.88671875" style="3022"/>
    <col min="2049" max="2049" width="9.44140625" style="3022" customWidth="1"/>
    <col min="2050" max="2050" width="8.88671875" style="3022"/>
    <col min="2051" max="2053" width="12.88671875" style="3022" customWidth="1"/>
    <col min="2054" max="2054" width="47.44140625" style="3022" customWidth="1"/>
    <col min="2055" max="2055" width="13" style="3022" customWidth="1"/>
    <col min="2056" max="2057" width="8.88671875" style="3022"/>
    <col min="2058" max="2058" width="5.77734375" style="3022" customWidth="1"/>
    <col min="2059" max="2059" width="11.77734375" style="3022" customWidth="1"/>
    <col min="2060" max="2061" width="10.77734375" style="3022" customWidth="1"/>
    <col min="2062" max="2062" width="10" style="3022" customWidth="1"/>
    <col min="2063" max="2064" width="10.44140625" style="3022" bestFit="1" customWidth="1"/>
    <col min="2065" max="2065" width="10" style="3022" customWidth="1"/>
    <col min="2066" max="2066" width="10.109375" style="3022" customWidth="1"/>
    <col min="2067" max="2067" width="10" style="3022" customWidth="1"/>
    <col min="2068" max="2068" width="26.109375" style="3022" customWidth="1"/>
    <col min="2069" max="2304" width="8.88671875" style="3022"/>
    <col min="2305" max="2305" width="9.44140625" style="3022" customWidth="1"/>
    <col min="2306" max="2306" width="8.88671875" style="3022"/>
    <col min="2307" max="2309" width="12.88671875" style="3022" customWidth="1"/>
    <col min="2310" max="2310" width="47.44140625" style="3022" customWidth="1"/>
    <col min="2311" max="2311" width="13" style="3022" customWidth="1"/>
    <col min="2312" max="2313" width="8.88671875" style="3022"/>
    <col min="2314" max="2314" width="5.77734375" style="3022" customWidth="1"/>
    <col min="2315" max="2315" width="11.77734375" style="3022" customWidth="1"/>
    <col min="2316" max="2317" width="10.77734375" style="3022" customWidth="1"/>
    <col min="2318" max="2318" width="10" style="3022" customWidth="1"/>
    <col min="2319" max="2320" width="10.44140625" style="3022" bestFit="1" customWidth="1"/>
    <col min="2321" max="2321" width="10" style="3022" customWidth="1"/>
    <col min="2322" max="2322" width="10.109375" style="3022" customWidth="1"/>
    <col min="2323" max="2323" width="10" style="3022" customWidth="1"/>
    <col min="2324" max="2324" width="26.109375" style="3022" customWidth="1"/>
    <col min="2325" max="2560" width="8.88671875" style="3022"/>
    <col min="2561" max="2561" width="9.44140625" style="3022" customWidth="1"/>
    <col min="2562" max="2562" width="8.88671875" style="3022"/>
    <col min="2563" max="2565" width="12.88671875" style="3022" customWidth="1"/>
    <col min="2566" max="2566" width="47.44140625" style="3022" customWidth="1"/>
    <col min="2567" max="2567" width="13" style="3022" customWidth="1"/>
    <col min="2568" max="2569" width="8.88671875" style="3022"/>
    <col min="2570" max="2570" width="5.77734375" style="3022" customWidth="1"/>
    <col min="2571" max="2571" width="11.77734375" style="3022" customWidth="1"/>
    <col min="2572" max="2573" width="10.77734375" style="3022" customWidth="1"/>
    <col min="2574" max="2574" width="10" style="3022" customWidth="1"/>
    <col min="2575" max="2576" width="10.44140625" style="3022" bestFit="1" customWidth="1"/>
    <col min="2577" max="2577" width="10" style="3022" customWidth="1"/>
    <col min="2578" max="2578" width="10.109375" style="3022" customWidth="1"/>
    <col min="2579" max="2579" width="10" style="3022" customWidth="1"/>
    <col min="2580" max="2580" width="26.109375" style="3022" customWidth="1"/>
    <col min="2581" max="2816" width="8.88671875" style="3022"/>
    <col min="2817" max="2817" width="9.44140625" style="3022" customWidth="1"/>
    <col min="2818" max="2818" width="8.88671875" style="3022"/>
    <col min="2819" max="2821" width="12.88671875" style="3022" customWidth="1"/>
    <col min="2822" max="2822" width="47.44140625" style="3022" customWidth="1"/>
    <col min="2823" max="2823" width="13" style="3022" customWidth="1"/>
    <col min="2824" max="2825" width="8.88671875" style="3022"/>
    <col min="2826" max="2826" width="5.77734375" style="3022" customWidth="1"/>
    <col min="2827" max="2827" width="11.77734375" style="3022" customWidth="1"/>
    <col min="2828" max="2829" width="10.77734375" style="3022" customWidth="1"/>
    <col min="2830" max="2830" width="10" style="3022" customWidth="1"/>
    <col min="2831" max="2832" width="10.44140625" style="3022" bestFit="1" customWidth="1"/>
    <col min="2833" max="2833" width="10" style="3022" customWidth="1"/>
    <col min="2834" max="2834" width="10.109375" style="3022" customWidth="1"/>
    <col min="2835" max="2835" width="10" style="3022" customWidth="1"/>
    <col min="2836" max="2836" width="26.109375" style="3022" customWidth="1"/>
    <col min="2837" max="3072" width="8.88671875" style="3022"/>
    <col min="3073" max="3073" width="9.44140625" style="3022" customWidth="1"/>
    <col min="3074" max="3074" width="8.88671875" style="3022"/>
    <col min="3075" max="3077" width="12.88671875" style="3022" customWidth="1"/>
    <col min="3078" max="3078" width="47.44140625" style="3022" customWidth="1"/>
    <col min="3079" max="3079" width="13" style="3022" customWidth="1"/>
    <col min="3080" max="3081" width="8.88671875" style="3022"/>
    <col min="3082" max="3082" width="5.77734375" style="3022" customWidth="1"/>
    <col min="3083" max="3083" width="11.77734375" style="3022" customWidth="1"/>
    <col min="3084" max="3085" width="10.77734375" style="3022" customWidth="1"/>
    <col min="3086" max="3086" width="10" style="3022" customWidth="1"/>
    <col min="3087" max="3088" width="10.44140625" style="3022" bestFit="1" customWidth="1"/>
    <col min="3089" max="3089" width="10" style="3022" customWidth="1"/>
    <col min="3090" max="3090" width="10.109375" style="3022" customWidth="1"/>
    <col min="3091" max="3091" width="10" style="3022" customWidth="1"/>
    <col min="3092" max="3092" width="26.109375" style="3022" customWidth="1"/>
    <col min="3093" max="3328" width="8.88671875" style="3022"/>
    <col min="3329" max="3329" width="9.44140625" style="3022" customWidth="1"/>
    <col min="3330" max="3330" width="8.88671875" style="3022"/>
    <col min="3331" max="3333" width="12.88671875" style="3022" customWidth="1"/>
    <col min="3334" max="3334" width="47.44140625" style="3022" customWidth="1"/>
    <col min="3335" max="3335" width="13" style="3022" customWidth="1"/>
    <col min="3336" max="3337" width="8.88671875" style="3022"/>
    <col min="3338" max="3338" width="5.77734375" style="3022" customWidth="1"/>
    <col min="3339" max="3339" width="11.77734375" style="3022" customWidth="1"/>
    <col min="3340" max="3341" width="10.77734375" style="3022" customWidth="1"/>
    <col min="3342" max="3342" width="10" style="3022" customWidth="1"/>
    <col min="3343" max="3344" width="10.44140625" style="3022" bestFit="1" customWidth="1"/>
    <col min="3345" max="3345" width="10" style="3022" customWidth="1"/>
    <col min="3346" max="3346" width="10.109375" style="3022" customWidth="1"/>
    <col min="3347" max="3347" width="10" style="3022" customWidth="1"/>
    <col min="3348" max="3348" width="26.109375" style="3022" customWidth="1"/>
    <col min="3349" max="3584" width="8.88671875" style="3022"/>
    <col min="3585" max="3585" width="9.44140625" style="3022" customWidth="1"/>
    <col min="3586" max="3586" width="8.88671875" style="3022"/>
    <col min="3587" max="3589" width="12.88671875" style="3022" customWidth="1"/>
    <col min="3590" max="3590" width="47.44140625" style="3022" customWidth="1"/>
    <col min="3591" max="3591" width="13" style="3022" customWidth="1"/>
    <col min="3592" max="3593" width="8.88671875" style="3022"/>
    <col min="3594" max="3594" width="5.77734375" style="3022" customWidth="1"/>
    <col min="3595" max="3595" width="11.77734375" style="3022" customWidth="1"/>
    <col min="3596" max="3597" width="10.77734375" style="3022" customWidth="1"/>
    <col min="3598" max="3598" width="10" style="3022" customWidth="1"/>
    <col min="3599" max="3600" width="10.44140625" style="3022" bestFit="1" customWidth="1"/>
    <col min="3601" max="3601" width="10" style="3022" customWidth="1"/>
    <col min="3602" max="3602" width="10.109375" style="3022" customWidth="1"/>
    <col min="3603" max="3603" width="10" style="3022" customWidth="1"/>
    <col min="3604" max="3604" width="26.109375" style="3022" customWidth="1"/>
    <col min="3605" max="3840" width="8.88671875" style="3022"/>
    <col min="3841" max="3841" width="9.44140625" style="3022" customWidth="1"/>
    <col min="3842" max="3842" width="8.88671875" style="3022"/>
    <col min="3843" max="3845" width="12.88671875" style="3022" customWidth="1"/>
    <col min="3846" max="3846" width="47.44140625" style="3022" customWidth="1"/>
    <col min="3847" max="3847" width="13" style="3022" customWidth="1"/>
    <col min="3848" max="3849" width="8.88671875" style="3022"/>
    <col min="3850" max="3850" width="5.77734375" style="3022" customWidth="1"/>
    <col min="3851" max="3851" width="11.77734375" style="3022" customWidth="1"/>
    <col min="3852" max="3853" width="10.77734375" style="3022" customWidth="1"/>
    <col min="3854" max="3854" width="10" style="3022" customWidth="1"/>
    <col min="3855" max="3856" width="10.44140625" style="3022" bestFit="1" customWidth="1"/>
    <col min="3857" max="3857" width="10" style="3022" customWidth="1"/>
    <col min="3858" max="3858" width="10.109375" style="3022" customWidth="1"/>
    <col min="3859" max="3859" width="10" style="3022" customWidth="1"/>
    <col min="3860" max="3860" width="26.109375" style="3022" customWidth="1"/>
    <col min="3861" max="4096" width="8.88671875" style="3022"/>
    <col min="4097" max="4097" width="9.44140625" style="3022" customWidth="1"/>
    <col min="4098" max="4098" width="8.88671875" style="3022"/>
    <col min="4099" max="4101" width="12.88671875" style="3022" customWidth="1"/>
    <col min="4102" max="4102" width="47.44140625" style="3022" customWidth="1"/>
    <col min="4103" max="4103" width="13" style="3022" customWidth="1"/>
    <col min="4104" max="4105" width="8.88671875" style="3022"/>
    <col min="4106" max="4106" width="5.77734375" style="3022" customWidth="1"/>
    <col min="4107" max="4107" width="11.77734375" style="3022" customWidth="1"/>
    <col min="4108" max="4109" width="10.77734375" style="3022" customWidth="1"/>
    <col min="4110" max="4110" width="10" style="3022" customWidth="1"/>
    <col min="4111" max="4112" width="10.44140625" style="3022" bestFit="1" customWidth="1"/>
    <col min="4113" max="4113" width="10" style="3022" customWidth="1"/>
    <col min="4114" max="4114" width="10.109375" style="3022" customWidth="1"/>
    <col min="4115" max="4115" width="10" style="3022" customWidth="1"/>
    <col min="4116" max="4116" width="26.109375" style="3022" customWidth="1"/>
    <col min="4117" max="4352" width="8.88671875" style="3022"/>
    <col min="4353" max="4353" width="9.44140625" style="3022" customWidth="1"/>
    <col min="4354" max="4354" width="8.88671875" style="3022"/>
    <col min="4355" max="4357" width="12.88671875" style="3022" customWidth="1"/>
    <col min="4358" max="4358" width="47.44140625" style="3022" customWidth="1"/>
    <col min="4359" max="4359" width="13" style="3022" customWidth="1"/>
    <col min="4360" max="4361" width="8.88671875" style="3022"/>
    <col min="4362" max="4362" width="5.77734375" style="3022" customWidth="1"/>
    <col min="4363" max="4363" width="11.77734375" style="3022" customWidth="1"/>
    <col min="4364" max="4365" width="10.77734375" style="3022" customWidth="1"/>
    <col min="4366" max="4366" width="10" style="3022" customWidth="1"/>
    <col min="4367" max="4368" width="10.44140625" style="3022" bestFit="1" customWidth="1"/>
    <col min="4369" max="4369" width="10" style="3022" customWidth="1"/>
    <col min="4370" max="4370" width="10.109375" style="3022" customWidth="1"/>
    <col min="4371" max="4371" width="10" style="3022" customWidth="1"/>
    <col min="4372" max="4372" width="26.109375" style="3022" customWidth="1"/>
    <col min="4373" max="4608" width="8.88671875" style="3022"/>
    <col min="4609" max="4609" width="9.44140625" style="3022" customWidth="1"/>
    <col min="4610" max="4610" width="8.88671875" style="3022"/>
    <col min="4611" max="4613" width="12.88671875" style="3022" customWidth="1"/>
    <col min="4614" max="4614" width="47.44140625" style="3022" customWidth="1"/>
    <col min="4615" max="4615" width="13" style="3022" customWidth="1"/>
    <col min="4616" max="4617" width="8.88671875" style="3022"/>
    <col min="4618" max="4618" width="5.77734375" style="3022" customWidth="1"/>
    <col min="4619" max="4619" width="11.77734375" style="3022" customWidth="1"/>
    <col min="4620" max="4621" width="10.77734375" style="3022" customWidth="1"/>
    <col min="4622" max="4622" width="10" style="3022" customWidth="1"/>
    <col min="4623" max="4624" width="10.44140625" style="3022" bestFit="1" customWidth="1"/>
    <col min="4625" max="4625" width="10" style="3022" customWidth="1"/>
    <col min="4626" max="4626" width="10.109375" style="3022" customWidth="1"/>
    <col min="4627" max="4627" width="10" style="3022" customWidth="1"/>
    <col min="4628" max="4628" width="26.109375" style="3022" customWidth="1"/>
    <col min="4629" max="4864" width="8.88671875" style="3022"/>
    <col min="4865" max="4865" width="9.44140625" style="3022" customWidth="1"/>
    <col min="4866" max="4866" width="8.88671875" style="3022"/>
    <col min="4867" max="4869" width="12.88671875" style="3022" customWidth="1"/>
    <col min="4870" max="4870" width="47.44140625" style="3022" customWidth="1"/>
    <col min="4871" max="4871" width="13" style="3022" customWidth="1"/>
    <col min="4872" max="4873" width="8.88671875" style="3022"/>
    <col min="4874" max="4874" width="5.77734375" style="3022" customWidth="1"/>
    <col min="4875" max="4875" width="11.77734375" style="3022" customWidth="1"/>
    <col min="4876" max="4877" width="10.77734375" style="3022" customWidth="1"/>
    <col min="4878" max="4878" width="10" style="3022" customWidth="1"/>
    <col min="4879" max="4880" width="10.44140625" style="3022" bestFit="1" customWidth="1"/>
    <col min="4881" max="4881" width="10" style="3022" customWidth="1"/>
    <col min="4882" max="4882" width="10.109375" style="3022" customWidth="1"/>
    <col min="4883" max="4883" width="10" style="3022" customWidth="1"/>
    <col min="4884" max="4884" width="26.109375" style="3022" customWidth="1"/>
    <col min="4885" max="5120" width="8.88671875" style="3022"/>
    <col min="5121" max="5121" width="9.44140625" style="3022" customWidth="1"/>
    <col min="5122" max="5122" width="8.88671875" style="3022"/>
    <col min="5123" max="5125" width="12.88671875" style="3022" customWidth="1"/>
    <col min="5126" max="5126" width="47.44140625" style="3022" customWidth="1"/>
    <col min="5127" max="5127" width="13" style="3022" customWidth="1"/>
    <col min="5128" max="5129" width="8.88671875" style="3022"/>
    <col min="5130" max="5130" width="5.77734375" style="3022" customWidth="1"/>
    <col min="5131" max="5131" width="11.77734375" style="3022" customWidth="1"/>
    <col min="5132" max="5133" width="10.77734375" style="3022" customWidth="1"/>
    <col min="5134" max="5134" width="10" style="3022" customWidth="1"/>
    <col min="5135" max="5136" width="10.44140625" style="3022" bestFit="1" customWidth="1"/>
    <col min="5137" max="5137" width="10" style="3022" customWidth="1"/>
    <col min="5138" max="5138" width="10.109375" style="3022" customWidth="1"/>
    <col min="5139" max="5139" width="10" style="3022" customWidth="1"/>
    <col min="5140" max="5140" width="26.109375" style="3022" customWidth="1"/>
    <col min="5141" max="5376" width="8.88671875" style="3022"/>
    <col min="5377" max="5377" width="9.44140625" style="3022" customWidth="1"/>
    <col min="5378" max="5378" width="8.88671875" style="3022"/>
    <col min="5379" max="5381" width="12.88671875" style="3022" customWidth="1"/>
    <col min="5382" max="5382" width="47.44140625" style="3022" customWidth="1"/>
    <col min="5383" max="5383" width="13" style="3022" customWidth="1"/>
    <col min="5384" max="5385" width="8.88671875" style="3022"/>
    <col min="5386" max="5386" width="5.77734375" style="3022" customWidth="1"/>
    <col min="5387" max="5387" width="11.77734375" style="3022" customWidth="1"/>
    <col min="5388" max="5389" width="10.77734375" style="3022" customWidth="1"/>
    <col min="5390" max="5390" width="10" style="3022" customWidth="1"/>
    <col min="5391" max="5392" width="10.44140625" style="3022" bestFit="1" customWidth="1"/>
    <col min="5393" max="5393" width="10" style="3022" customWidth="1"/>
    <col min="5394" max="5394" width="10.109375" style="3022" customWidth="1"/>
    <col min="5395" max="5395" width="10" style="3022" customWidth="1"/>
    <col min="5396" max="5396" width="26.109375" style="3022" customWidth="1"/>
    <col min="5397" max="5632" width="8.88671875" style="3022"/>
    <col min="5633" max="5633" width="9.44140625" style="3022" customWidth="1"/>
    <col min="5634" max="5634" width="8.88671875" style="3022"/>
    <col min="5635" max="5637" width="12.88671875" style="3022" customWidth="1"/>
    <col min="5638" max="5638" width="47.44140625" style="3022" customWidth="1"/>
    <col min="5639" max="5639" width="13" style="3022" customWidth="1"/>
    <col min="5640" max="5641" width="8.88671875" style="3022"/>
    <col min="5642" max="5642" width="5.77734375" style="3022" customWidth="1"/>
    <col min="5643" max="5643" width="11.77734375" style="3022" customWidth="1"/>
    <col min="5644" max="5645" width="10.77734375" style="3022" customWidth="1"/>
    <col min="5646" max="5646" width="10" style="3022" customWidth="1"/>
    <col min="5647" max="5648" width="10.44140625" style="3022" bestFit="1" customWidth="1"/>
    <col min="5649" max="5649" width="10" style="3022" customWidth="1"/>
    <col min="5650" max="5650" width="10.109375" style="3022" customWidth="1"/>
    <col min="5651" max="5651" width="10" style="3022" customWidth="1"/>
    <col min="5652" max="5652" width="26.109375" style="3022" customWidth="1"/>
    <col min="5653" max="5888" width="8.88671875" style="3022"/>
    <col min="5889" max="5889" width="9.44140625" style="3022" customWidth="1"/>
    <col min="5890" max="5890" width="8.88671875" style="3022"/>
    <col min="5891" max="5893" width="12.88671875" style="3022" customWidth="1"/>
    <col min="5894" max="5894" width="47.44140625" style="3022" customWidth="1"/>
    <col min="5895" max="5895" width="13" style="3022" customWidth="1"/>
    <col min="5896" max="5897" width="8.88671875" style="3022"/>
    <col min="5898" max="5898" width="5.77734375" style="3022" customWidth="1"/>
    <col min="5899" max="5899" width="11.77734375" style="3022" customWidth="1"/>
    <col min="5900" max="5901" width="10.77734375" style="3022" customWidth="1"/>
    <col min="5902" max="5902" width="10" style="3022" customWidth="1"/>
    <col min="5903" max="5904" width="10.44140625" style="3022" bestFit="1" customWidth="1"/>
    <col min="5905" max="5905" width="10" style="3022" customWidth="1"/>
    <col min="5906" max="5906" width="10.109375" style="3022" customWidth="1"/>
    <col min="5907" max="5907" width="10" style="3022" customWidth="1"/>
    <col min="5908" max="5908" width="26.109375" style="3022" customWidth="1"/>
    <col min="5909" max="6144" width="8.88671875" style="3022"/>
    <col min="6145" max="6145" width="9.44140625" style="3022" customWidth="1"/>
    <col min="6146" max="6146" width="8.88671875" style="3022"/>
    <col min="6147" max="6149" width="12.88671875" style="3022" customWidth="1"/>
    <col min="6150" max="6150" width="47.44140625" style="3022" customWidth="1"/>
    <col min="6151" max="6151" width="13" style="3022" customWidth="1"/>
    <col min="6152" max="6153" width="8.88671875" style="3022"/>
    <col min="6154" max="6154" width="5.77734375" style="3022" customWidth="1"/>
    <col min="6155" max="6155" width="11.77734375" style="3022" customWidth="1"/>
    <col min="6156" max="6157" width="10.77734375" style="3022" customWidth="1"/>
    <col min="6158" max="6158" width="10" style="3022" customWidth="1"/>
    <col min="6159" max="6160" width="10.44140625" style="3022" bestFit="1" customWidth="1"/>
    <col min="6161" max="6161" width="10" style="3022" customWidth="1"/>
    <col min="6162" max="6162" width="10.109375" style="3022" customWidth="1"/>
    <col min="6163" max="6163" width="10" style="3022" customWidth="1"/>
    <col min="6164" max="6164" width="26.109375" style="3022" customWidth="1"/>
    <col min="6165" max="6400" width="8.88671875" style="3022"/>
    <col min="6401" max="6401" width="9.44140625" style="3022" customWidth="1"/>
    <col min="6402" max="6402" width="8.88671875" style="3022"/>
    <col min="6403" max="6405" width="12.88671875" style="3022" customWidth="1"/>
    <col min="6406" max="6406" width="47.44140625" style="3022" customWidth="1"/>
    <col min="6407" max="6407" width="13" style="3022" customWidth="1"/>
    <col min="6408" max="6409" width="8.88671875" style="3022"/>
    <col min="6410" max="6410" width="5.77734375" style="3022" customWidth="1"/>
    <col min="6411" max="6411" width="11.77734375" style="3022" customWidth="1"/>
    <col min="6412" max="6413" width="10.77734375" style="3022" customWidth="1"/>
    <col min="6414" max="6414" width="10" style="3022" customWidth="1"/>
    <col min="6415" max="6416" width="10.44140625" style="3022" bestFit="1" customWidth="1"/>
    <col min="6417" max="6417" width="10" style="3022" customWidth="1"/>
    <col min="6418" max="6418" width="10.109375" style="3022" customWidth="1"/>
    <col min="6419" max="6419" width="10" style="3022" customWidth="1"/>
    <col min="6420" max="6420" width="26.109375" style="3022" customWidth="1"/>
    <col min="6421" max="6656" width="8.88671875" style="3022"/>
    <col min="6657" max="6657" width="9.44140625" style="3022" customWidth="1"/>
    <col min="6658" max="6658" width="8.88671875" style="3022"/>
    <col min="6659" max="6661" width="12.88671875" style="3022" customWidth="1"/>
    <col min="6662" max="6662" width="47.44140625" style="3022" customWidth="1"/>
    <col min="6663" max="6663" width="13" style="3022" customWidth="1"/>
    <col min="6664" max="6665" width="8.88671875" style="3022"/>
    <col min="6666" max="6666" width="5.77734375" style="3022" customWidth="1"/>
    <col min="6667" max="6667" width="11.77734375" style="3022" customWidth="1"/>
    <col min="6668" max="6669" width="10.77734375" style="3022" customWidth="1"/>
    <col min="6670" max="6670" width="10" style="3022" customWidth="1"/>
    <col min="6671" max="6672" width="10.44140625" style="3022" bestFit="1" customWidth="1"/>
    <col min="6673" max="6673" width="10" style="3022" customWidth="1"/>
    <col min="6674" max="6674" width="10.109375" style="3022" customWidth="1"/>
    <col min="6675" max="6675" width="10" style="3022" customWidth="1"/>
    <col min="6676" max="6676" width="26.109375" style="3022" customWidth="1"/>
    <col min="6677" max="6912" width="8.88671875" style="3022"/>
    <col min="6913" max="6913" width="9.44140625" style="3022" customWidth="1"/>
    <col min="6914" max="6914" width="8.88671875" style="3022"/>
    <col min="6915" max="6917" width="12.88671875" style="3022" customWidth="1"/>
    <col min="6918" max="6918" width="47.44140625" style="3022" customWidth="1"/>
    <col min="6919" max="6919" width="13" style="3022" customWidth="1"/>
    <col min="6920" max="6921" width="8.88671875" style="3022"/>
    <col min="6922" max="6922" width="5.77734375" style="3022" customWidth="1"/>
    <col min="6923" max="6923" width="11.77734375" style="3022" customWidth="1"/>
    <col min="6924" max="6925" width="10.77734375" style="3022" customWidth="1"/>
    <col min="6926" max="6926" width="10" style="3022" customWidth="1"/>
    <col min="6927" max="6928" width="10.44140625" style="3022" bestFit="1" customWidth="1"/>
    <col min="6929" max="6929" width="10" style="3022" customWidth="1"/>
    <col min="6930" max="6930" width="10.109375" style="3022" customWidth="1"/>
    <col min="6931" max="6931" width="10" style="3022" customWidth="1"/>
    <col min="6932" max="6932" width="26.109375" style="3022" customWidth="1"/>
    <col min="6933" max="7168" width="8.88671875" style="3022"/>
    <col min="7169" max="7169" width="9.44140625" style="3022" customWidth="1"/>
    <col min="7170" max="7170" width="8.88671875" style="3022"/>
    <col min="7171" max="7173" width="12.88671875" style="3022" customWidth="1"/>
    <col min="7174" max="7174" width="47.44140625" style="3022" customWidth="1"/>
    <col min="7175" max="7175" width="13" style="3022" customWidth="1"/>
    <col min="7176" max="7177" width="8.88671875" style="3022"/>
    <col min="7178" max="7178" width="5.77734375" style="3022" customWidth="1"/>
    <col min="7179" max="7179" width="11.77734375" style="3022" customWidth="1"/>
    <col min="7180" max="7181" width="10.77734375" style="3022" customWidth="1"/>
    <col min="7182" max="7182" width="10" style="3022" customWidth="1"/>
    <col min="7183" max="7184" width="10.44140625" style="3022" bestFit="1" customWidth="1"/>
    <col min="7185" max="7185" width="10" style="3022" customWidth="1"/>
    <col min="7186" max="7186" width="10.109375" style="3022" customWidth="1"/>
    <col min="7187" max="7187" width="10" style="3022" customWidth="1"/>
    <col min="7188" max="7188" width="26.109375" style="3022" customWidth="1"/>
    <col min="7189" max="7424" width="8.88671875" style="3022"/>
    <col min="7425" max="7425" width="9.44140625" style="3022" customWidth="1"/>
    <col min="7426" max="7426" width="8.88671875" style="3022"/>
    <col min="7427" max="7429" width="12.88671875" style="3022" customWidth="1"/>
    <col min="7430" max="7430" width="47.44140625" style="3022" customWidth="1"/>
    <col min="7431" max="7431" width="13" style="3022" customWidth="1"/>
    <col min="7432" max="7433" width="8.88671875" style="3022"/>
    <col min="7434" max="7434" width="5.77734375" style="3022" customWidth="1"/>
    <col min="7435" max="7435" width="11.77734375" style="3022" customWidth="1"/>
    <col min="7436" max="7437" width="10.77734375" style="3022" customWidth="1"/>
    <col min="7438" max="7438" width="10" style="3022" customWidth="1"/>
    <col min="7439" max="7440" width="10.44140625" style="3022" bestFit="1" customWidth="1"/>
    <col min="7441" max="7441" width="10" style="3022" customWidth="1"/>
    <col min="7442" max="7442" width="10.109375" style="3022" customWidth="1"/>
    <col min="7443" max="7443" width="10" style="3022" customWidth="1"/>
    <col min="7444" max="7444" width="26.109375" style="3022" customWidth="1"/>
    <col min="7445" max="7680" width="8.88671875" style="3022"/>
    <col min="7681" max="7681" width="9.44140625" style="3022" customWidth="1"/>
    <col min="7682" max="7682" width="8.88671875" style="3022"/>
    <col min="7683" max="7685" width="12.88671875" style="3022" customWidth="1"/>
    <col min="7686" max="7686" width="47.44140625" style="3022" customWidth="1"/>
    <col min="7687" max="7687" width="13" style="3022" customWidth="1"/>
    <col min="7688" max="7689" width="8.88671875" style="3022"/>
    <col min="7690" max="7690" width="5.77734375" style="3022" customWidth="1"/>
    <col min="7691" max="7691" width="11.77734375" style="3022" customWidth="1"/>
    <col min="7692" max="7693" width="10.77734375" style="3022" customWidth="1"/>
    <col min="7694" max="7694" width="10" style="3022" customWidth="1"/>
    <col min="7695" max="7696" width="10.44140625" style="3022" bestFit="1" customWidth="1"/>
    <col min="7697" max="7697" width="10" style="3022" customWidth="1"/>
    <col min="7698" max="7698" width="10.109375" style="3022" customWidth="1"/>
    <col min="7699" max="7699" width="10" style="3022" customWidth="1"/>
    <col min="7700" max="7700" width="26.109375" style="3022" customWidth="1"/>
    <col min="7701" max="7936" width="8.88671875" style="3022"/>
    <col min="7937" max="7937" width="9.44140625" style="3022" customWidth="1"/>
    <col min="7938" max="7938" width="8.88671875" style="3022"/>
    <col min="7939" max="7941" width="12.88671875" style="3022" customWidth="1"/>
    <col min="7942" max="7942" width="47.44140625" style="3022" customWidth="1"/>
    <col min="7943" max="7943" width="13" style="3022" customWidth="1"/>
    <col min="7944" max="7945" width="8.88671875" style="3022"/>
    <col min="7946" max="7946" width="5.77734375" style="3022" customWidth="1"/>
    <col min="7947" max="7947" width="11.77734375" style="3022" customWidth="1"/>
    <col min="7948" max="7949" width="10.77734375" style="3022" customWidth="1"/>
    <col min="7950" max="7950" width="10" style="3022" customWidth="1"/>
    <col min="7951" max="7952" width="10.44140625" style="3022" bestFit="1" customWidth="1"/>
    <col min="7953" max="7953" width="10" style="3022" customWidth="1"/>
    <col min="7954" max="7954" width="10.109375" style="3022" customWidth="1"/>
    <col min="7955" max="7955" width="10" style="3022" customWidth="1"/>
    <col min="7956" max="7956" width="26.109375" style="3022" customWidth="1"/>
    <col min="7957" max="8192" width="8.88671875" style="3022"/>
    <col min="8193" max="8193" width="9.44140625" style="3022" customWidth="1"/>
    <col min="8194" max="8194" width="8.88671875" style="3022"/>
    <col min="8195" max="8197" width="12.88671875" style="3022" customWidth="1"/>
    <col min="8198" max="8198" width="47.44140625" style="3022" customWidth="1"/>
    <col min="8199" max="8199" width="13" style="3022" customWidth="1"/>
    <col min="8200" max="8201" width="8.88671875" style="3022"/>
    <col min="8202" max="8202" width="5.77734375" style="3022" customWidth="1"/>
    <col min="8203" max="8203" width="11.77734375" style="3022" customWidth="1"/>
    <col min="8204" max="8205" width="10.77734375" style="3022" customWidth="1"/>
    <col min="8206" max="8206" width="10" style="3022" customWidth="1"/>
    <col min="8207" max="8208" width="10.44140625" style="3022" bestFit="1" customWidth="1"/>
    <col min="8209" max="8209" width="10" style="3022" customWidth="1"/>
    <col min="8210" max="8210" width="10.109375" style="3022" customWidth="1"/>
    <col min="8211" max="8211" width="10" style="3022" customWidth="1"/>
    <col min="8212" max="8212" width="26.109375" style="3022" customWidth="1"/>
    <col min="8213" max="8448" width="8.88671875" style="3022"/>
    <col min="8449" max="8449" width="9.44140625" style="3022" customWidth="1"/>
    <col min="8450" max="8450" width="8.88671875" style="3022"/>
    <col min="8451" max="8453" width="12.88671875" style="3022" customWidth="1"/>
    <col min="8454" max="8454" width="47.44140625" style="3022" customWidth="1"/>
    <col min="8455" max="8455" width="13" style="3022" customWidth="1"/>
    <col min="8456" max="8457" width="8.88671875" style="3022"/>
    <col min="8458" max="8458" width="5.77734375" style="3022" customWidth="1"/>
    <col min="8459" max="8459" width="11.77734375" style="3022" customWidth="1"/>
    <col min="8460" max="8461" width="10.77734375" style="3022" customWidth="1"/>
    <col min="8462" max="8462" width="10" style="3022" customWidth="1"/>
    <col min="8463" max="8464" width="10.44140625" style="3022" bestFit="1" customWidth="1"/>
    <col min="8465" max="8465" width="10" style="3022" customWidth="1"/>
    <col min="8466" max="8466" width="10.109375" style="3022" customWidth="1"/>
    <col min="8467" max="8467" width="10" style="3022" customWidth="1"/>
    <col min="8468" max="8468" width="26.109375" style="3022" customWidth="1"/>
    <col min="8469" max="8704" width="8.88671875" style="3022"/>
    <col min="8705" max="8705" width="9.44140625" style="3022" customWidth="1"/>
    <col min="8706" max="8706" width="8.88671875" style="3022"/>
    <col min="8707" max="8709" width="12.88671875" style="3022" customWidth="1"/>
    <col min="8710" max="8710" width="47.44140625" style="3022" customWidth="1"/>
    <col min="8711" max="8711" width="13" style="3022" customWidth="1"/>
    <col min="8712" max="8713" width="8.88671875" style="3022"/>
    <col min="8714" max="8714" width="5.77734375" style="3022" customWidth="1"/>
    <col min="8715" max="8715" width="11.77734375" style="3022" customWidth="1"/>
    <col min="8716" max="8717" width="10.77734375" style="3022" customWidth="1"/>
    <col min="8718" max="8718" width="10" style="3022" customWidth="1"/>
    <col min="8719" max="8720" width="10.44140625" style="3022" bestFit="1" customWidth="1"/>
    <col min="8721" max="8721" width="10" style="3022" customWidth="1"/>
    <col min="8722" max="8722" width="10.109375" style="3022" customWidth="1"/>
    <col min="8723" max="8723" width="10" style="3022" customWidth="1"/>
    <col min="8724" max="8724" width="26.109375" style="3022" customWidth="1"/>
    <col min="8725" max="8960" width="8.88671875" style="3022"/>
    <col min="8961" max="8961" width="9.44140625" style="3022" customWidth="1"/>
    <col min="8962" max="8962" width="8.88671875" style="3022"/>
    <col min="8963" max="8965" width="12.88671875" style="3022" customWidth="1"/>
    <col min="8966" max="8966" width="47.44140625" style="3022" customWidth="1"/>
    <col min="8967" max="8967" width="13" style="3022" customWidth="1"/>
    <col min="8968" max="8969" width="8.88671875" style="3022"/>
    <col min="8970" max="8970" width="5.77734375" style="3022" customWidth="1"/>
    <col min="8971" max="8971" width="11.77734375" style="3022" customWidth="1"/>
    <col min="8972" max="8973" width="10.77734375" style="3022" customWidth="1"/>
    <col min="8974" max="8974" width="10" style="3022" customWidth="1"/>
    <col min="8975" max="8976" width="10.44140625" style="3022" bestFit="1" customWidth="1"/>
    <col min="8977" max="8977" width="10" style="3022" customWidth="1"/>
    <col min="8978" max="8978" width="10.109375" style="3022" customWidth="1"/>
    <col min="8979" max="8979" width="10" style="3022" customWidth="1"/>
    <col min="8980" max="8980" width="26.109375" style="3022" customWidth="1"/>
    <col min="8981" max="9216" width="8.88671875" style="3022"/>
    <col min="9217" max="9217" width="9.44140625" style="3022" customWidth="1"/>
    <col min="9218" max="9218" width="8.88671875" style="3022"/>
    <col min="9219" max="9221" width="12.88671875" style="3022" customWidth="1"/>
    <col min="9222" max="9222" width="47.44140625" style="3022" customWidth="1"/>
    <col min="9223" max="9223" width="13" style="3022" customWidth="1"/>
    <col min="9224" max="9225" width="8.88671875" style="3022"/>
    <col min="9226" max="9226" width="5.77734375" style="3022" customWidth="1"/>
    <col min="9227" max="9227" width="11.77734375" style="3022" customWidth="1"/>
    <col min="9228" max="9229" width="10.77734375" style="3022" customWidth="1"/>
    <col min="9230" max="9230" width="10" style="3022" customWidth="1"/>
    <col min="9231" max="9232" width="10.44140625" style="3022" bestFit="1" customWidth="1"/>
    <col min="9233" max="9233" width="10" style="3022" customWidth="1"/>
    <col min="9234" max="9234" width="10.109375" style="3022" customWidth="1"/>
    <col min="9235" max="9235" width="10" style="3022" customWidth="1"/>
    <col min="9236" max="9236" width="26.109375" style="3022" customWidth="1"/>
    <col min="9237" max="9472" width="8.88671875" style="3022"/>
    <col min="9473" max="9473" width="9.44140625" style="3022" customWidth="1"/>
    <col min="9474" max="9474" width="8.88671875" style="3022"/>
    <col min="9475" max="9477" width="12.88671875" style="3022" customWidth="1"/>
    <col min="9478" max="9478" width="47.44140625" style="3022" customWidth="1"/>
    <col min="9479" max="9479" width="13" style="3022" customWidth="1"/>
    <col min="9480" max="9481" width="8.88671875" style="3022"/>
    <col min="9482" max="9482" width="5.77734375" style="3022" customWidth="1"/>
    <col min="9483" max="9483" width="11.77734375" style="3022" customWidth="1"/>
    <col min="9484" max="9485" width="10.77734375" style="3022" customWidth="1"/>
    <col min="9486" max="9486" width="10" style="3022" customWidth="1"/>
    <col min="9487" max="9488" width="10.44140625" style="3022" bestFit="1" customWidth="1"/>
    <col min="9489" max="9489" width="10" style="3022" customWidth="1"/>
    <col min="9490" max="9490" width="10.109375" style="3022" customWidth="1"/>
    <col min="9491" max="9491" width="10" style="3022" customWidth="1"/>
    <col min="9492" max="9492" width="26.109375" style="3022" customWidth="1"/>
    <col min="9493" max="9728" width="8.88671875" style="3022"/>
    <col min="9729" max="9729" width="9.44140625" style="3022" customWidth="1"/>
    <col min="9730" max="9730" width="8.88671875" style="3022"/>
    <col min="9731" max="9733" width="12.88671875" style="3022" customWidth="1"/>
    <col min="9734" max="9734" width="47.44140625" style="3022" customWidth="1"/>
    <col min="9735" max="9735" width="13" style="3022" customWidth="1"/>
    <col min="9736" max="9737" width="8.88671875" style="3022"/>
    <col min="9738" max="9738" width="5.77734375" style="3022" customWidth="1"/>
    <col min="9739" max="9739" width="11.77734375" style="3022" customWidth="1"/>
    <col min="9740" max="9741" width="10.77734375" style="3022" customWidth="1"/>
    <col min="9742" max="9742" width="10" style="3022" customWidth="1"/>
    <col min="9743" max="9744" width="10.44140625" style="3022" bestFit="1" customWidth="1"/>
    <col min="9745" max="9745" width="10" style="3022" customWidth="1"/>
    <col min="9746" max="9746" width="10.109375" style="3022" customWidth="1"/>
    <col min="9747" max="9747" width="10" style="3022" customWidth="1"/>
    <col min="9748" max="9748" width="26.109375" style="3022" customWidth="1"/>
    <col min="9749" max="9984" width="8.88671875" style="3022"/>
    <col min="9985" max="9985" width="9.44140625" style="3022" customWidth="1"/>
    <col min="9986" max="9986" width="8.88671875" style="3022"/>
    <col min="9987" max="9989" width="12.88671875" style="3022" customWidth="1"/>
    <col min="9990" max="9990" width="47.44140625" style="3022" customWidth="1"/>
    <col min="9991" max="9991" width="13" style="3022" customWidth="1"/>
    <col min="9992" max="9993" width="8.88671875" style="3022"/>
    <col min="9994" max="9994" width="5.77734375" style="3022" customWidth="1"/>
    <col min="9995" max="9995" width="11.77734375" style="3022" customWidth="1"/>
    <col min="9996" max="9997" width="10.77734375" style="3022" customWidth="1"/>
    <col min="9998" max="9998" width="10" style="3022" customWidth="1"/>
    <col min="9999" max="10000" width="10.44140625" style="3022" bestFit="1" customWidth="1"/>
    <col min="10001" max="10001" width="10" style="3022" customWidth="1"/>
    <col min="10002" max="10002" width="10.109375" style="3022" customWidth="1"/>
    <col min="10003" max="10003" width="10" style="3022" customWidth="1"/>
    <col min="10004" max="10004" width="26.109375" style="3022" customWidth="1"/>
    <col min="10005" max="10240" width="8.88671875" style="3022"/>
    <col min="10241" max="10241" width="9.44140625" style="3022" customWidth="1"/>
    <col min="10242" max="10242" width="8.88671875" style="3022"/>
    <col min="10243" max="10245" width="12.88671875" style="3022" customWidth="1"/>
    <col min="10246" max="10246" width="47.44140625" style="3022" customWidth="1"/>
    <col min="10247" max="10247" width="13" style="3022" customWidth="1"/>
    <col min="10248" max="10249" width="8.88671875" style="3022"/>
    <col min="10250" max="10250" width="5.77734375" style="3022" customWidth="1"/>
    <col min="10251" max="10251" width="11.77734375" style="3022" customWidth="1"/>
    <col min="10252" max="10253" width="10.77734375" style="3022" customWidth="1"/>
    <col min="10254" max="10254" width="10" style="3022" customWidth="1"/>
    <col min="10255" max="10256" width="10.44140625" style="3022" bestFit="1" customWidth="1"/>
    <col min="10257" max="10257" width="10" style="3022" customWidth="1"/>
    <col min="10258" max="10258" width="10.109375" style="3022" customWidth="1"/>
    <col min="10259" max="10259" width="10" style="3022" customWidth="1"/>
    <col min="10260" max="10260" width="26.109375" style="3022" customWidth="1"/>
    <col min="10261" max="10496" width="8.88671875" style="3022"/>
    <col min="10497" max="10497" width="9.44140625" style="3022" customWidth="1"/>
    <col min="10498" max="10498" width="8.88671875" style="3022"/>
    <col min="10499" max="10501" width="12.88671875" style="3022" customWidth="1"/>
    <col min="10502" max="10502" width="47.44140625" style="3022" customWidth="1"/>
    <col min="10503" max="10503" width="13" style="3022" customWidth="1"/>
    <col min="10504" max="10505" width="8.88671875" style="3022"/>
    <col min="10506" max="10506" width="5.77734375" style="3022" customWidth="1"/>
    <col min="10507" max="10507" width="11.77734375" style="3022" customWidth="1"/>
    <col min="10508" max="10509" width="10.77734375" style="3022" customWidth="1"/>
    <col min="10510" max="10510" width="10" style="3022" customWidth="1"/>
    <col min="10511" max="10512" width="10.44140625" style="3022" bestFit="1" customWidth="1"/>
    <col min="10513" max="10513" width="10" style="3022" customWidth="1"/>
    <col min="10514" max="10514" width="10.109375" style="3022" customWidth="1"/>
    <col min="10515" max="10515" width="10" style="3022" customWidth="1"/>
    <col min="10516" max="10516" width="26.109375" style="3022" customWidth="1"/>
    <col min="10517" max="10752" width="8.88671875" style="3022"/>
    <col min="10753" max="10753" width="9.44140625" style="3022" customWidth="1"/>
    <col min="10754" max="10754" width="8.88671875" style="3022"/>
    <col min="10755" max="10757" width="12.88671875" style="3022" customWidth="1"/>
    <col min="10758" max="10758" width="47.44140625" style="3022" customWidth="1"/>
    <col min="10759" max="10759" width="13" style="3022" customWidth="1"/>
    <col min="10760" max="10761" width="8.88671875" style="3022"/>
    <col min="10762" max="10762" width="5.77734375" style="3022" customWidth="1"/>
    <col min="10763" max="10763" width="11.77734375" style="3022" customWidth="1"/>
    <col min="10764" max="10765" width="10.77734375" style="3022" customWidth="1"/>
    <col min="10766" max="10766" width="10" style="3022" customWidth="1"/>
    <col min="10767" max="10768" width="10.44140625" style="3022" bestFit="1" customWidth="1"/>
    <col min="10769" max="10769" width="10" style="3022" customWidth="1"/>
    <col min="10770" max="10770" width="10.109375" style="3022" customWidth="1"/>
    <col min="10771" max="10771" width="10" style="3022" customWidth="1"/>
    <col min="10772" max="10772" width="26.109375" style="3022" customWidth="1"/>
    <col min="10773" max="11008" width="8.88671875" style="3022"/>
    <col min="11009" max="11009" width="9.44140625" style="3022" customWidth="1"/>
    <col min="11010" max="11010" width="8.88671875" style="3022"/>
    <col min="11011" max="11013" width="12.88671875" style="3022" customWidth="1"/>
    <col min="11014" max="11014" width="47.44140625" style="3022" customWidth="1"/>
    <col min="11015" max="11015" width="13" style="3022" customWidth="1"/>
    <col min="11016" max="11017" width="8.88671875" style="3022"/>
    <col min="11018" max="11018" width="5.77734375" style="3022" customWidth="1"/>
    <col min="11019" max="11019" width="11.77734375" style="3022" customWidth="1"/>
    <col min="11020" max="11021" width="10.77734375" style="3022" customWidth="1"/>
    <col min="11022" max="11022" width="10" style="3022" customWidth="1"/>
    <col min="11023" max="11024" width="10.44140625" style="3022" bestFit="1" customWidth="1"/>
    <col min="11025" max="11025" width="10" style="3022" customWidth="1"/>
    <col min="11026" max="11026" width="10.109375" style="3022" customWidth="1"/>
    <col min="11027" max="11027" width="10" style="3022" customWidth="1"/>
    <col min="11028" max="11028" width="26.109375" style="3022" customWidth="1"/>
    <col min="11029" max="11264" width="8.88671875" style="3022"/>
    <col min="11265" max="11265" width="9.44140625" style="3022" customWidth="1"/>
    <col min="11266" max="11266" width="8.88671875" style="3022"/>
    <col min="11267" max="11269" width="12.88671875" style="3022" customWidth="1"/>
    <col min="11270" max="11270" width="47.44140625" style="3022" customWidth="1"/>
    <col min="11271" max="11271" width="13" style="3022" customWidth="1"/>
    <col min="11272" max="11273" width="8.88671875" style="3022"/>
    <col min="11274" max="11274" width="5.77734375" style="3022" customWidth="1"/>
    <col min="11275" max="11275" width="11.77734375" style="3022" customWidth="1"/>
    <col min="11276" max="11277" width="10.77734375" style="3022" customWidth="1"/>
    <col min="11278" max="11278" width="10" style="3022" customWidth="1"/>
    <col min="11279" max="11280" width="10.44140625" style="3022" bestFit="1" customWidth="1"/>
    <col min="11281" max="11281" width="10" style="3022" customWidth="1"/>
    <col min="11282" max="11282" width="10.109375" style="3022" customWidth="1"/>
    <col min="11283" max="11283" width="10" style="3022" customWidth="1"/>
    <col min="11284" max="11284" width="26.109375" style="3022" customWidth="1"/>
    <col min="11285" max="11520" width="8.88671875" style="3022"/>
    <col min="11521" max="11521" width="9.44140625" style="3022" customWidth="1"/>
    <col min="11522" max="11522" width="8.88671875" style="3022"/>
    <col min="11523" max="11525" width="12.88671875" style="3022" customWidth="1"/>
    <col min="11526" max="11526" width="47.44140625" style="3022" customWidth="1"/>
    <col min="11527" max="11527" width="13" style="3022" customWidth="1"/>
    <col min="11528" max="11529" width="8.88671875" style="3022"/>
    <col min="11530" max="11530" width="5.77734375" style="3022" customWidth="1"/>
    <col min="11531" max="11531" width="11.77734375" style="3022" customWidth="1"/>
    <col min="11532" max="11533" width="10.77734375" style="3022" customWidth="1"/>
    <col min="11534" max="11534" width="10" style="3022" customWidth="1"/>
    <col min="11535" max="11536" width="10.44140625" style="3022" bestFit="1" customWidth="1"/>
    <col min="11537" max="11537" width="10" style="3022" customWidth="1"/>
    <col min="11538" max="11538" width="10.109375" style="3022" customWidth="1"/>
    <col min="11539" max="11539" width="10" style="3022" customWidth="1"/>
    <col min="11540" max="11540" width="26.109375" style="3022" customWidth="1"/>
    <col min="11541" max="11776" width="8.88671875" style="3022"/>
    <col min="11777" max="11777" width="9.44140625" style="3022" customWidth="1"/>
    <col min="11778" max="11778" width="8.88671875" style="3022"/>
    <col min="11779" max="11781" width="12.88671875" style="3022" customWidth="1"/>
    <col min="11782" max="11782" width="47.44140625" style="3022" customWidth="1"/>
    <col min="11783" max="11783" width="13" style="3022" customWidth="1"/>
    <col min="11784" max="11785" width="8.88671875" style="3022"/>
    <col min="11786" max="11786" width="5.77734375" style="3022" customWidth="1"/>
    <col min="11787" max="11787" width="11.77734375" style="3022" customWidth="1"/>
    <col min="11788" max="11789" width="10.77734375" style="3022" customWidth="1"/>
    <col min="11790" max="11790" width="10" style="3022" customWidth="1"/>
    <col min="11791" max="11792" width="10.44140625" style="3022" bestFit="1" customWidth="1"/>
    <col min="11793" max="11793" width="10" style="3022" customWidth="1"/>
    <col min="11794" max="11794" width="10.109375" style="3022" customWidth="1"/>
    <col min="11795" max="11795" width="10" style="3022" customWidth="1"/>
    <col min="11796" max="11796" width="26.109375" style="3022" customWidth="1"/>
    <col min="11797" max="12032" width="8.88671875" style="3022"/>
    <col min="12033" max="12033" width="9.44140625" style="3022" customWidth="1"/>
    <col min="12034" max="12034" width="8.88671875" style="3022"/>
    <col min="12035" max="12037" width="12.88671875" style="3022" customWidth="1"/>
    <col min="12038" max="12038" width="47.44140625" style="3022" customWidth="1"/>
    <col min="12039" max="12039" width="13" style="3022" customWidth="1"/>
    <col min="12040" max="12041" width="8.88671875" style="3022"/>
    <col min="12042" max="12042" width="5.77734375" style="3022" customWidth="1"/>
    <col min="12043" max="12043" width="11.77734375" style="3022" customWidth="1"/>
    <col min="12044" max="12045" width="10.77734375" style="3022" customWidth="1"/>
    <col min="12046" max="12046" width="10" style="3022" customWidth="1"/>
    <col min="12047" max="12048" width="10.44140625" style="3022" bestFit="1" customWidth="1"/>
    <col min="12049" max="12049" width="10" style="3022" customWidth="1"/>
    <col min="12050" max="12050" width="10.109375" style="3022" customWidth="1"/>
    <col min="12051" max="12051" width="10" style="3022" customWidth="1"/>
    <col min="12052" max="12052" width="26.109375" style="3022" customWidth="1"/>
    <col min="12053" max="12288" width="8.88671875" style="3022"/>
    <col min="12289" max="12289" width="9.44140625" style="3022" customWidth="1"/>
    <col min="12290" max="12290" width="8.88671875" style="3022"/>
    <col min="12291" max="12293" width="12.88671875" style="3022" customWidth="1"/>
    <col min="12294" max="12294" width="47.44140625" style="3022" customWidth="1"/>
    <col min="12295" max="12295" width="13" style="3022" customWidth="1"/>
    <col min="12296" max="12297" width="8.88671875" style="3022"/>
    <col min="12298" max="12298" width="5.77734375" style="3022" customWidth="1"/>
    <col min="12299" max="12299" width="11.77734375" style="3022" customWidth="1"/>
    <col min="12300" max="12301" width="10.77734375" style="3022" customWidth="1"/>
    <col min="12302" max="12302" width="10" style="3022" customWidth="1"/>
    <col min="12303" max="12304" width="10.44140625" style="3022" bestFit="1" customWidth="1"/>
    <col min="12305" max="12305" width="10" style="3022" customWidth="1"/>
    <col min="12306" max="12306" width="10.109375" style="3022" customWidth="1"/>
    <col min="12307" max="12307" width="10" style="3022" customWidth="1"/>
    <col min="12308" max="12308" width="26.109375" style="3022" customWidth="1"/>
    <col min="12309" max="12544" width="8.88671875" style="3022"/>
    <col min="12545" max="12545" width="9.44140625" style="3022" customWidth="1"/>
    <col min="12546" max="12546" width="8.88671875" style="3022"/>
    <col min="12547" max="12549" width="12.88671875" style="3022" customWidth="1"/>
    <col min="12550" max="12550" width="47.44140625" style="3022" customWidth="1"/>
    <col min="12551" max="12551" width="13" style="3022" customWidth="1"/>
    <col min="12552" max="12553" width="8.88671875" style="3022"/>
    <col min="12554" max="12554" width="5.77734375" style="3022" customWidth="1"/>
    <col min="12555" max="12555" width="11.77734375" style="3022" customWidth="1"/>
    <col min="12556" max="12557" width="10.77734375" style="3022" customWidth="1"/>
    <col min="12558" max="12558" width="10" style="3022" customWidth="1"/>
    <col min="12559" max="12560" width="10.44140625" style="3022" bestFit="1" customWidth="1"/>
    <col min="12561" max="12561" width="10" style="3022" customWidth="1"/>
    <col min="12562" max="12562" width="10.109375" style="3022" customWidth="1"/>
    <col min="12563" max="12563" width="10" style="3022" customWidth="1"/>
    <col min="12564" max="12564" width="26.109375" style="3022" customWidth="1"/>
    <col min="12565" max="12800" width="8.88671875" style="3022"/>
    <col min="12801" max="12801" width="9.44140625" style="3022" customWidth="1"/>
    <col min="12802" max="12802" width="8.88671875" style="3022"/>
    <col min="12803" max="12805" width="12.88671875" style="3022" customWidth="1"/>
    <col min="12806" max="12806" width="47.44140625" style="3022" customWidth="1"/>
    <col min="12807" max="12807" width="13" style="3022" customWidth="1"/>
    <col min="12808" max="12809" width="8.88671875" style="3022"/>
    <col min="12810" max="12810" width="5.77734375" style="3022" customWidth="1"/>
    <col min="12811" max="12811" width="11.77734375" style="3022" customWidth="1"/>
    <col min="12812" max="12813" width="10.77734375" style="3022" customWidth="1"/>
    <col min="12814" max="12814" width="10" style="3022" customWidth="1"/>
    <col min="12815" max="12816" width="10.44140625" style="3022" bestFit="1" customWidth="1"/>
    <col min="12817" max="12817" width="10" style="3022" customWidth="1"/>
    <col min="12818" max="12818" width="10.109375" style="3022" customWidth="1"/>
    <col min="12819" max="12819" width="10" style="3022" customWidth="1"/>
    <col min="12820" max="12820" width="26.109375" style="3022" customWidth="1"/>
    <col min="12821" max="13056" width="8.88671875" style="3022"/>
    <col min="13057" max="13057" width="9.44140625" style="3022" customWidth="1"/>
    <col min="13058" max="13058" width="8.88671875" style="3022"/>
    <col min="13059" max="13061" width="12.88671875" style="3022" customWidth="1"/>
    <col min="13062" max="13062" width="47.44140625" style="3022" customWidth="1"/>
    <col min="13063" max="13063" width="13" style="3022" customWidth="1"/>
    <col min="13064" max="13065" width="8.88671875" style="3022"/>
    <col min="13066" max="13066" width="5.77734375" style="3022" customWidth="1"/>
    <col min="13067" max="13067" width="11.77734375" style="3022" customWidth="1"/>
    <col min="13068" max="13069" width="10.77734375" style="3022" customWidth="1"/>
    <col min="13070" max="13070" width="10" style="3022" customWidth="1"/>
    <col min="13071" max="13072" width="10.44140625" style="3022" bestFit="1" customWidth="1"/>
    <col min="13073" max="13073" width="10" style="3022" customWidth="1"/>
    <col min="13074" max="13074" width="10.109375" style="3022" customWidth="1"/>
    <col min="13075" max="13075" width="10" style="3022" customWidth="1"/>
    <col min="13076" max="13076" width="26.109375" style="3022" customWidth="1"/>
    <col min="13077" max="13312" width="8.88671875" style="3022"/>
    <col min="13313" max="13313" width="9.44140625" style="3022" customWidth="1"/>
    <col min="13314" max="13314" width="8.88671875" style="3022"/>
    <col min="13315" max="13317" width="12.88671875" style="3022" customWidth="1"/>
    <col min="13318" max="13318" width="47.44140625" style="3022" customWidth="1"/>
    <col min="13319" max="13319" width="13" style="3022" customWidth="1"/>
    <col min="13320" max="13321" width="8.88671875" style="3022"/>
    <col min="13322" max="13322" width="5.77734375" style="3022" customWidth="1"/>
    <col min="13323" max="13323" width="11.77734375" style="3022" customWidth="1"/>
    <col min="13324" max="13325" width="10.77734375" style="3022" customWidth="1"/>
    <col min="13326" max="13326" width="10" style="3022" customWidth="1"/>
    <col min="13327" max="13328" width="10.44140625" style="3022" bestFit="1" customWidth="1"/>
    <col min="13329" max="13329" width="10" style="3022" customWidth="1"/>
    <col min="13330" max="13330" width="10.109375" style="3022" customWidth="1"/>
    <col min="13331" max="13331" width="10" style="3022" customWidth="1"/>
    <col min="13332" max="13332" width="26.109375" style="3022" customWidth="1"/>
    <col min="13333" max="13568" width="8.88671875" style="3022"/>
    <col min="13569" max="13569" width="9.44140625" style="3022" customWidth="1"/>
    <col min="13570" max="13570" width="8.88671875" style="3022"/>
    <col min="13571" max="13573" width="12.88671875" style="3022" customWidth="1"/>
    <col min="13574" max="13574" width="47.44140625" style="3022" customWidth="1"/>
    <col min="13575" max="13575" width="13" style="3022" customWidth="1"/>
    <col min="13576" max="13577" width="8.88671875" style="3022"/>
    <col min="13578" max="13578" width="5.77734375" style="3022" customWidth="1"/>
    <col min="13579" max="13579" width="11.77734375" style="3022" customWidth="1"/>
    <col min="13580" max="13581" width="10.77734375" style="3022" customWidth="1"/>
    <col min="13582" max="13582" width="10" style="3022" customWidth="1"/>
    <col min="13583" max="13584" width="10.44140625" style="3022" bestFit="1" customWidth="1"/>
    <col min="13585" max="13585" width="10" style="3022" customWidth="1"/>
    <col min="13586" max="13586" width="10.109375" style="3022" customWidth="1"/>
    <col min="13587" max="13587" width="10" style="3022" customWidth="1"/>
    <col min="13588" max="13588" width="26.109375" style="3022" customWidth="1"/>
    <col min="13589" max="13824" width="8.88671875" style="3022"/>
    <col min="13825" max="13825" width="9.44140625" style="3022" customWidth="1"/>
    <col min="13826" max="13826" width="8.88671875" style="3022"/>
    <col min="13827" max="13829" width="12.88671875" style="3022" customWidth="1"/>
    <col min="13830" max="13830" width="47.44140625" style="3022" customWidth="1"/>
    <col min="13831" max="13831" width="13" style="3022" customWidth="1"/>
    <col min="13832" max="13833" width="8.88671875" style="3022"/>
    <col min="13834" max="13834" width="5.77734375" style="3022" customWidth="1"/>
    <col min="13835" max="13835" width="11.77734375" style="3022" customWidth="1"/>
    <col min="13836" max="13837" width="10.77734375" style="3022" customWidth="1"/>
    <col min="13838" max="13838" width="10" style="3022" customWidth="1"/>
    <col min="13839" max="13840" width="10.44140625" style="3022" bestFit="1" customWidth="1"/>
    <col min="13841" max="13841" width="10" style="3022" customWidth="1"/>
    <col min="13842" max="13842" width="10.109375" style="3022" customWidth="1"/>
    <col min="13843" max="13843" width="10" style="3022" customWidth="1"/>
    <col min="13844" max="13844" width="26.109375" style="3022" customWidth="1"/>
    <col min="13845" max="14080" width="8.88671875" style="3022"/>
    <col min="14081" max="14081" width="9.44140625" style="3022" customWidth="1"/>
    <col min="14082" max="14082" width="8.88671875" style="3022"/>
    <col min="14083" max="14085" width="12.88671875" style="3022" customWidth="1"/>
    <col min="14086" max="14086" width="47.44140625" style="3022" customWidth="1"/>
    <col min="14087" max="14087" width="13" style="3022" customWidth="1"/>
    <col min="14088" max="14089" width="8.88671875" style="3022"/>
    <col min="14090" max="14090" width="5.77734375" style="3022" customWidth="1"/>
    <col min="14091" max="14091" width="11.77734375" style="3022" customWidth="1"/>
    <col min="14092" max="14093" width="10.77734375" style="3022" customWidth="1"/>
    <col min="14094" max="14094" width="10" style="3022" customWidth="1"/>
    <col min="14095" max="14096" width="10.44140625" style="3022" bestFit="1" customWidth="1"/>
    <col min="14097" max="14097" width="10" style="3022" customWidth="1"/>
    <col min="14098" max="14098" width="10.109375" style="3022" customWidth="1"/>
    <col min="14099" max="14099" width="10" style="3022" customWidth="1"/>
    <col min="14100" max="14100" width="26.109375" style="3022" customWidth="1"/>
    <col min="14101" max="14336" width="8.88671875" style="3022"/>
    <col min="14337" max="14337" width="9.44140625" style="3022" customWidth="1"/>
    <col min="14338" max="14338" width="8.88671875" style="3022"/>
    <col min="14339" max="14341" width="12.88671875" style="3022" customWidth="1"/>
    <col min="14342" max="14342" width="47.44140625" style="3022" customWidth="1"/>
    <col min="14343" max="14343" width="13" style="3022" customWidth="1"/>
    <col min="14344" max="14345" width="8.88671875" style="3022"/>
    <col min="14346" max="14346" width="5.77734375" style="3022" customWidth="1"/>
    <col min="14347" max="14347" width="11.77734375" style="3022" customWidth="1"/>
    <col min="14348" max="14349" width="10.77734375" style="3022" customWidth="1"/>
    <col min="14350" max="14350" width="10" style="3022" customWidth="1"/>
    <col min="14351" max="14352" width="10.44140625" style="3022" bestFit="1" customWidth="1"/>
    <col min="14353" max="14353" width="10" style="3022" customWidth="1"/>
    <col min="14354" max="14354" width="10.109375" style="3022" customWidth="1"/>
    <col min="14355" max="14355" width="10" style="3022" customWidth="1"/>
    <col min="14356" max="14356" width="26.109375" style="3022" customWidth="1"/>
    <col min="14357" max="14592" width="8.88671875" style="3022"/>
    <col min="14593" max="14593" width="9.44140625" style="3022" customWidth="1"/>
    <col min="14594" max="14594" width="8.88671875" style="3022"/>
    <col min="14595" max="14597" width="12.88671875" style="3022" customWidth="1"/>
    <col min="14598" max="14598" width="47.44140625" style="3022" customWidth="1"/>
    <col min="14599" max="14599" width="13" style="3022" customWidth="1"/>
    <col min="14600" max="14601" width="8.88671875" style="3022"/>
    <col min="14602" max="14602" width="5.77734375" style="3022" customWidth="1"/>
    <col min="14603" max="14603" width="11.77734375" style="3022" customWidth="1"/>
    <col min="14604" max="14605" width="10.77734375" style="3022" customWidth="1"/>
    <col min="14606" max="14606" width="10" style="3022" customWidth="1"/>
    <col min="14607" max="14608" width="10.44140625" style="3022" bestFit="1" customWidth="1"/>
    <col min="14609" max="14609" width="10" style="3022" customWidth="1"/>
    <col min="14610" max="14610" width="10.109375" style="3022" customWidth="1"/>
    <col min="14611" max="14611" width="10" style="3022" customWidth="1"/>
    <col min="14612" max="14612" width="26.109375" style="3022" customWidth="1"/>
    <col min="14613" max="14848" width="8.88671875" style="3022"/>
    <col min="14849" max="14849" width="9.44140625" style="3022" customWidth="1"/>
    <col min="14850" max="14850" width="8.88671875" style="3022"/>
    <col min="14851" max="14853" width="12.88671875" style="3022" customWidth="1"/>
    <col min="14854" max="14854" width="47.44140625" style="3022" customWidth="1"/>
    <col min="14855" max="14855" width="13" style="3022" customWidth="1"/>
    <col min="14856" max="14857" width="8.88671875" style="3022"/>
    <col min="14858" max="14858" width="5.77734375" style="3022" customWidth="1"/>
    <col min="14859" max="14859" width="11.77734375" style="3022" customWidth="1"/>
    <col min="14860" max="14861" width="10.77734375" style="3022" customWidth="1"/>
    <col min="14862" max="14862" width="10" style="3022" customWidth="1"/>
    <col min="14863" max="14864" width="10.44140625" style="3022" bestFit="1" customWidth="1"/>
    <col min="14865" max="14865" width="10" style="3022" customWidth="1"/>
    <col min="14866" max="14866" width="10.109375" style="3022" customWidth="1"/>
    <col min="14867" max="14867" width="10" style="3022" customWidth="1"/>
    <col min="14868" max="14868" width="26.109375" style="3022" customWidth="1"/>
    <col min="14869" max="15104" width="8.88671875" style="3022"/>
    <col min="15105" max="15105" width="9.44140625" style="3022" customWidth="1"/>
    <col min="15106" max="15106" width="8.88671875" style="3022"/>
    <col min="15107" max="15109" width="12.88671875" style="3022" customWidth="1"/>
    <col min="15110" max="15110" width="47.44140625" style="3022" customWidth="1"/>
    <col min="15111" max="15111" width="13" style="3022" customWidth="1"/>
    <col min="15112" max="15113" width="8.88671875" style="3022"/>
    <col min="15114" max="15114" width="5.77734375" style="3022" customWidth="1"/>
    <col min="15115" max="15115" width="11.77734375" style="3022" customWidth="1"/>
    <col min="15116" max="15117" width="10.77734375" style="3022" customWidth="1"/>
    <col min="15118" max="15118" width="10" style="3022" customWidth="1"/>
    <col min="15119" max="15120" width="10.44140625" style="3022" bestFit="1" customWidth="1"/>
    <col min="15121" max="15121" width="10" style="3022" customWidth="1"/>
    <col min="15122" max="15122" width="10.109375" style="3022" customWidth="1"/>
    <col min="15123" max="15123" width="10" style="3022" customWidth="1"/>
    <col min="15124" max="15124" width="26.109375" style="3022" customWidth="1"/>
    <col min="15125" max="15360" width="8.88671875" style="3022"/>
    <col min="15361" max="15361" width="9.44140625" style="3022" customWidth="1"/>
    <col min="15362" max="15362" width="8.88671875" style="3022"/>
    <col min="15363" max="15365" width="12.88671875" style="3022" customWidth="1"/>
    <col min="15366" max="15366" width="47.44140625" style="3022" customWidth="1"/>
    <col min="15367" max="15367" width="13" style="3022" customWidth="1"/>
    <col min="15368" max="15369" width="8.88671875" style="3022"/>
    <col min="15370" max="15370" width="5.77734375" style="3022" customWidth="1"/>
    <col min="15371" max="15371" width="11.77734375" style="3022" customWidth="1"/>
    <col min="15372" max="15373" width="10.77734375" style="3022" customWidth="1"/>
    <col min="15374" max="15374" width="10" style="3022" customWidth="1"/>
    <col min="15375" max="15376" width="10.44140625" style="3022" bestFit="1" customWidth="1"/>
    <col min="15377" max="15377" width="10" style="3022" customWidth="1"/>
    <col min="15378" max="15378" width="10.109375" style="3022" customWidth="1"/>
    <col min="15379" max="15379" width="10" style="3022" customWidth="1"/>
    <col min="15380" max="15380" width="26.109375" style="3022" customWidth="1"/>
    <col min="15381" max="15616" width="8.88671875" style="3022"/>
    <col min="15617" max="15617" width="9.44140625" style="3022" customWidth="1"/>
    <col min="15618" max="15618" width="8.88671875" style="3022"/>
    <col min="15619" max="15621" width="12.88671875" style="3022" customWidth="1"/>
    <col min="15622" max="15622" width="47.44140625" style="3022" customWidth="1"/>
    <col min="15623" max="15623" width="13" style="3022" customWidth="1"/>
    <col min="15624" max="15625" width="8.88671875" style="3022"/>
    <col min="15626" max="15626" width="5.77734375" style="3022" customWidth="1"/>
    <col min="15627" max="15627" width="11.77734375" style="3022" customWidth="1"/>
    <col min="15628" max="15629" width="10.77734375" style="3022" customWidth="1"/>
    <col min="15630" max="15630" width="10" style="3022" customWidth="1"/>
    <col min="15631" max="15632" width="10.44140625" style="3022" bestFit="1" customWidth="1"/>
    <col min="15633" max="15633" width="10" style="3022" customWidth="1"/>
    <col min="15634" max="15634" width="10.109375" style="3022" customWidth="1"/>
    <col min="15635" max="15635" width="10" style="3022" customWidth="1"/>
    <col min="15636" max="15636" width="26.109375" style="3022" customWidth="1"/>
    <col min="15637" max="15872" width="8.88671875" style="3022"/>
    <col min="15873" max="15873" width="9.44140625" style="3022" customWidth="1"/>
    <col min="15874" max="15874" width="8.88671875" style="3022"/>
    <col min="15875" max="15877" width="12.88671875" style="3022" customWidth="1"/>
    <col min="15878" max="15878" width="47.44140625" style="3022" customWidth="1"/>
    <col min="15879" max="15879" width="13" style="3022" customWidth="1"/>
    <col min="15880" max="15881" width="8.88671875" style="3022"/>
    <col min="15882" max="15882" width="5.77734375" style="3022" customWidth="1"/>
    <col min="15883" max="15883" width="11.77734375" style="3022" customWidth="1"/>
    <col min="15884" max="15885" width="10.77734375" style="3022" customWidth="1"/>
    <col min="15886" max="15886" width="10" style="3022" customWidth="1"/>
    <col min="15887" max="15888" width="10.44140625" style="3022" bestFit="1" customWidth="1"/>
    <col min="15889" max="15889" width="10" style="3022" customWidth="1"/>
    <col min="15890" max="15890" width="10.109375" style="3022" customWidth="1"/>
    <col min="15891" max="15891" width="10" style="3022" customWidth="1"/>
    <col min="15892" max="15892" width="26.109375" style="3022" customWidth="1"/>
    <col min="15893" max="16128" width="8.88671875" style="3022"/>
    <col min="16129" max="16129" width="9.44140625" style="3022" customWidth="1"/>
    <col min="16130" max="16130" width="8.88671875" style="3022"/>
    <col min="16131" max="16133" width="12.88671875" style="3022" customWidth="1"/>
    <col min="16134" max="16134" width="47.44140625" style="3022" customWidth="1"/>
    <col min="16135" max="16135" width="13" style="3022" customWidth="1"/>
    <col min="16136" max="16137" width="8.88671875" style="3022"/>
    <col min="16138" max="16138" width="5.77734375" style="3022" customWidth="1"/>
    <col min="16139" max="16139" width="11.77734375" style="3022" customWidth="1"/>
    <col min="16140" max="16141" width="10.77734375" style="3022" customWidth="1"/>
    <col min="16142" max="16142" width="10" style="3022" customWidth="1"/>
    <col min="16143" max="16144" width="10.44140625" style="3022" bestFit="1" customWidth="1"/>
    <col min="16145" max="16145" width="10" style="3022" customWidth="1"/>
    <col min="16146" max="16146" width="10.109375" style="3022" customWidth="1"/>
    <col min="16147" max="16147" width="10" style="3022" customWidth="1"/>
    <col min="16148" max="16148" width="26.109375" style="3022" customWidth="1"/>
    <col min="16149" max="16384" width="8.88671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2" customHeight="1">
      <c r="A2" s="1520" t="s">
        <v>2820</v>
      </c>
      <c r="B2" s="3023" t="e">
        <f>C40</f>
        <v>#DIV/0!</v>
      </c>
      <c r="C2" s="3024" t="s">
        <v>2821</v>
      </c>
      <c r="D2" s="3024"/>
      <c r="E2" s="3025"/>
      <c r="F2" s="3026"/>
      <c r="G2" s="3027"/>
      <c r="H2" s="3028"/>
      <c r="I2" s="3029"/>
      <c r="J2" s="3435" t="s">
        <v>2822</v>
      </c>
      <c r="K2" s="3436"/>
      <c r="L2" s="3030" t="s">
        <v>2823</v>
      </c>
      <c r="M2" s="3030" t="s">
        <v>2824</v>
      </c>
      <c r="N2" s="3030" t="s">
        <v>2825</v>
      </c>
      <c r="O2" s="3030" t="s">
        <v>2826</v>
      </c>
      <c r="P2" s="3030" t="s">
        <v>2827</v>
      </c>
      <c r="Q2" s="3031" t="s">
        <v>2828</v>
      </c>
      <c r="R2" s="3032" t="s">
        <v>2829</v>
      </c>
      <c r="S2" s="3021"/>
      <c r="T2" s="3021"/>
      <c r="U2" s="3021"/>
      <c r="V2" s="3029"/>
    </row>
    <row r="3" spans="1:22" s="3033" customFormat="1" ht="13.2" customHeight="1">
      <c r="A3" s="3034" t="s">
        <v>2830</v>
      </c>
      <c r="B3" s="3035" t="e">
        <f>ROUND(B2*10000/B4,0)</f>
        <v>#DIV/0!</v>
      </c>
      <c r="C3" s="3024" t="s">
        <v>2831</v>
      </c>
      <c r="D3" s="3024"/>
      <c r="E3" s="3025"/>
      <c r="F3" s="3026"/>
      <c r="G3" s="3027"/>
      <c r="H3" s="3028"/>
      <c r="I3" s="3029"/>
      <c r="J3" s="3437" t="s">
        <v>2832</v>
      </c>
      <c r="K3" s="3438"/>
      <c r="L3" s="3036"/>
      <c r="M3" s="3036"/>
      <c r="N3" s="3036"/>
      <c r="O3" s="3036"/>
      <c r="P3" s="3036"/>
      <c r="Q3" s="3037"/>
      <c r="R3" s="3038">
        <f>SUM(L3:Q3)</f>
        <v>0</v>
      </c>
      <c r="S3" s="3021"/>
      <c r="T3" s="3021"/>
      <c r="U3" s="3021"/>
      <c r="V3" s="3029"/>
    </row>
    <row r="4" spans="1:22" s="3033" customFormat="1" ht="13.2" customHeight="1">
      <c r="A4" s="3039" t="s">
        <v>2833</v>
      </c>
      <c r="B4" s="3040"/>
      <c r="C4" s="3024"/>
      <c r="D4" s="3024"/>
      <c r="E4" s="3025"/>
      <c r="F4" s="3026"/>
      <c r="G4" s="3027"/>
      <c r="H4" s="3028"/>
      <c r="I4" s="3029"/>
      <c r="J4" s="3437" t="s">
        <v>2834</v>
      </c>
      <c r="K4" s="3438"/>
      <c r="L4" s="3041"/>
      <c r="M4" s="3041"/>
      <c r="N4" s="3041"/>
      <c r="O4" s="3041"/>
      <c r="P4" s="3041"/>
      <c r="Q4" s="3042"/>
      <c r="R4" s="3043">
        <f>SUM(L4:Q4)</f>
        <v>0</v>
      </c>
      <c r="S4" s="3021"/>
      <c r="T4" s="3021"/>
      <c r="U4" s="3021"/>
      <c r="V4" s="3029"/>
    </row>
    <row r="5" spans="1:22" s="3033" customFormat="1" ht="13.2"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2" customHeight="1" thickBot="1">
      <c r="A6" s="3443" t="s">
        <v>2838</v>
      </c>
      <c r="B6" s="3444"/>
      <c r="C6" s="3445"/>
      <c r="D6" s="3050"/>
      <c r="E6" s="3051"/>
      <c r="F6" s="3052"/>
      <c r="G6" s="3053"/>
      <c r="H6" s="3028"/>
      <c r="I6" s="3029"/>
      <c r="J6" s="3429">
        <v>1</v>
      </c>
      <c r="K6" s="3430"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2" customHeight="1">
      <c r="A7" s="3056" t="s">
        <v>2848</v>
      </c>
      <c r="B7" s="3057"/>
      <c r="C7" s="3058"/>
      <c r="D7" s="3059">
        <f>SUM(D9,D10,D11,D17,0)</f>
        <v>0</v>
      </c>
      <c r="E7" s="3060" t="e">
        <f>E9+E10+E11+E17</f>
        <v>#DIV/0!</v>
      </c>
      <c r="F7" s="3061"/>
      <c r="G7" s="3062"/>
      <c r="H7" s="3028"/>
      <c r="I7" s="3029"/>
      <c r="J7" s="3429"/>
      <c r="K7" s="3431"/>
      <c r="L7" s="3063" t="s">
        <v>2849</v>
      </c>
      <c r="M7" s="3064"/>
      <c r="N7" s="3040"/>
      <c r="O7" s="3065"/>
      <c r="P7" s="3065"/>
      <c r="Q7" s="3066">
        <v>365</v>
      </c>
      <c r="R7" s="3067">
        <f>ROUND(M7*N7*O7*P7*Q7/10000,0)</f>
        <v>0</v>
      </c>
      <c r="S7" s="3021"/>
      <c r="T7" s="3021" t="s">
        <v>2850</v>
      </c>
      <c r="U7" s="3021"/>
      <c r="V7" s="3029"/>
    </row>
    <row r="8" spans="1:22" s="3033" customFormat="1" ht="13.2" customHeight="1">
      <c r="A8" s="3068" t="s">
        <v>2851</v>
      </c>
      <c r="B8" s="3446" t="s">
        <v>2852</v>
      </c>
      <c r="C8" s="3447"/>
      <c r="D8" s="3069" t="s">
        <v>2853</v>
      </c>
      <c r="E8" s="3070" t="s">
        <v>2854</v>
      </c>
      <c r="F8" s="3071" t="s">
        <v>2855</v>
      </c>
      <c r="G8" s="3072"/>
      <c r="H8" s="3028"/>
      <c r="I8" s="3029"/>
      <c r="J8" s="3429"/>
      <c r="K8" s="3431"/>
      <c r="L8" s="3063" t="s">
        <v>2856</v>
      </c>
      <c r="M8" s="3064"/>
      <c r="N8" s="3040"/>
      <c r="O8" s="3065"/>
      <c r="P8" s="3065"/>
      <c r="Q8" s="3066">
        <v>365</v>
      </c>
      <c r="R8" s="3067">
        <f t="shared" ref="R8:R13" si="0">ROUND(M8*N8*O8*P8*Q8/10000,0)</f>
        <v>0</v>
      </c>
      <c r="S8" s="3021"/>
      <c r="T8" s="3021" t="s">
        <v>2857</v>
      </c>
      <c r="U8" s="3021"/>
      <c r="V8" s="3029"/>
    </row>
    <row r="9" spans="1:22" s="3033" customFormat="1" ht="13.2" customHeight="1">
      <c r="A9" s="3068">
        <v>1</v>
      </c>
      <c r="B9" s="3446" t="s">
        <v>2858</v>
      </c>
      <c r="C9" s="3447"/>
      <c r="D9" s="3069">
        <f>ROUND(D6*E9,0)</f>
        <v>0</v>
      </c>
      <c r="E9" s="3073"/>
      <c r="F9" s="3074" t="s">
        <v>2859</v>
      </c>
      <c r="G9" s="3053"/>
      <c r="H9" s="3028"/>
      <c r="I9" s="3029"/>
      <c r="J9" s="3429"/>
      <c r="K9" s="3431"/>
      <c r="L9" s="3063" t="s">
        <v>2860</v>
      </c>
      <c r="M9" s="3064"/>
      <c r="N9" s="3040"/>
      <c r="O9" s="3065"/>
      <c r="P9" s="3065"/>
      <c r="Q9" s="3066">
        <v>365</v>
      </c>
      <c r="R9" s="3067">
        <f t="shared" si="0"/>
        <v>0</v>
      </c>
      <c r="S9" s="3021"/>
      <c r="T9" s="3021"/>
      <c r="U9" s="3021"/>
      <c r="V9" s="3029"/>
    </row>
    <row r="10" spans="1:22" s="3033" customFormat="1" ht="13.2" customHeight="1">
      <c r="A10" s="3068">
        <v>2</v>
      </c>
      <c r="B10" s="3446" t="s">
        <v>2861</v>
      </c>
      <c r="C10" s="3447"/>
      <c r="D10" s="3069">
        <f>ROUND(D6*E10,0)</f>
        <v>0</v>
      </c>
      <c r="E10" s="3073"/>
      <c r="F10" s="3074" t="s">
        <v>2862</v>
      </c>
      <c r="G10" s="3053"/>
      <c r="H10" s="3028"/>
      <c r="I10" s="3029"/>
      <c r="J10" s="3429"/>
      <c r="K10" s="3431"/>
      <c r="L10" s="3063" t="s">
        <v>2863</v>
      </c>
      <c r="M10" s="3064"/>
      <c r="N10" s="3040"/>
      <c r="O10" s="3065"/>
      <c r="P10" s="3065"/>
      <c r="Q10" s="3066">
        <v>365</v>
      </c>
      <c r="R10" s="3067">
        <f t="shared" si="0"/>
        <v>0</v>
      </c>
      <c r="S10" s="3021"/>
      <c r="T10" s="3021"/>
      <c r="U10" s="3021"/>
      <c r="V10" s="3029"/>
    </row>
    <row r="11" spans="1:22" s="3033" customFormat="1" ht="13.2" customHeight="1">
      <c r="A11" s="3068">
        <v>3</v>
      </c>
      <c r="B11" s="3446" t="s">
        <v>2864</v>
      </c>
      <c r="C11" s="3447"/>
      <c r="D11" s="3069">
        <f>D12+D14+D15+D16</f>
        <v>0</v>
      </c>
      <c r="E11" s="3075" t="e">
        <f>D11/D6</f>
        <v>#DIV/0!</v>
      </c>
      <c r="F11" s="3071"/>
      <c r="G11" s="3072"/>
      <c r="H11" s="3028"/>
      <c r="I11" s="3029"/>
      <c r="J11" s="3429"/>
      <c r="K11" s="3431"/>
      <c r="L11" s="3063" t="s">
        <v>2865</v>
      </c>
      <c r="M11" s="3064"/>
      <c r="N11" s="3040"/>
      <c r="O11" s="3065"/>
      <c r="P11" s="3065"/>
      <c r="Q11" s="3066">
        <v>365</v>
      </c>
      <c r="R11" s="3067">
        <f t="shared" si="0"/>
        <v>0</v>
      </c>
      <c r="S11" s="3021"/>
      <c r="T11" s="3021"/>
      <c r="U11" s="3021"/>
      <c r="V11" s="3029"/>
    </row>
    <row r="12" spans="1:22" s="3033" customFormat="1" ht="13.2" customHeight="1">
      <c r="A12" s="3076" t="s">
        <v>2866</v>
      </c>
      <c r="B12" s="3439" t="s">
        <v>2867</v>
      </c>
      <c r="C12" s="3440"/>
      <c r="D12" s="3077">
        <f>ROUND(D13*1.2%*(1-30%),0)</f>
        <v>0</v>
      </c>
      <c r="E12" s="3078">
        <v>1.2E-2</v>
      </c>
      <c r="F12" s="3071" t="s">
        <v>2868</v>
      </c>
      <c r="G12" s="3072"/>
      <c r="H12" s="3028"/>
      <c r="I12" s="3029"/>
      <c r="J12" s="3429"/>
      <c r="K12" s="3431"/>
      <c r="L12" s="3063" t="s">
        <v>2869</v>
      </c>
      <c r="M12" s="3064"/>
      <c r="N12" s="3040"/>
      <c r="O12" s="3065"/>
      <c r="P12" s="3065"/>
      <c r="Q12" s="3066">
        <v>365</v>
      </c>
      <c r="R12" s="3067">
        <f t="shared" si="0"/>
        <v>0</v>
      </c>
      <c r="S12" s="3021"/>
      <c r="T12" s="3021"/>
      <c r="U12" s="3021"/>
      <c r="V12" s="3029"/>
    </row>
    <row r="13" spans="1:22" s="3033" customFormat="1" ht="13.2" customHeight="1">
      <c r="A13" s="3076"/>
      <c r="B13" s="3079"/>
      <c r="C13" s="3080" t="s">
        <v>2870</v>
      </c>
      <c r="D13" s="3081"/>
      <c r="E13" s="3082"/>
      <c r="F13" s="3071"/>
      <c r="G13" s="3072"/>
      <c r="H13" s="3028"/>
      <c r="I13" s="3029"/>
      <c r="J13" s="3429"/>
      <c r="K13" s="3431"/>
      <c r="L13" s="3063" t="s">
        <v>2871</v>
      </c>
      <c r="M13" s="3064"/>
      <c r="N13" s="3040"/>
      <c r="O13" s="3065"/>
      <c r="P13" s="3065"/>
      <c r="Q13" s="3066">
        <v>365</v>
      </c>
      <c r="R13" s="3067">
        <f t="shared" si="0"/>
        <v>0</v>
      </c>
      <c r="S13" s="3021"/>
      <c r="T13" s="3021"/>
      <c r="U13" s="3021"/>
      <c r="V13" s="3029"/>
    </row>
    <row r="14" spans="1:22" s="3033" customFormat="1" ht="13.2" customHeight="1">
      <c r="A14" s="3076" t="s">
        <v>2872</v>
      </c>
      <c r="B14" s="3439" t="s">
        <v>2873</v>
      </c>
      <c r="C14" s="3440"/>
      <c r="D14" s="3077">
        <f>ROUND(E14*B5/10000,0)</f>
        <v>0</v>
      </c>
      <c r="E14" s="3066"/>
      <c r="F14" s="3071" t="s">
        <v>2874</v>
      </c>
      <c r="G14" s="3072"/>
      <c r="H14" s="3028"/>
      <c r="I14" s="3029"/>
      <c r="J14" s="3429"/>
      <c r="K14" s="3432"/>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2" customHeight="1">
      <c r="A15" s="3076" t="s">
        <v>2876</v>
      </c>
      <c r="B15" s="3439" t="s">
        <v>2877</v>
      </c>
      <c r="C15" s="3440"/>
      <c r="D15" s="3077">
        <f>ROUND(D6*E15,0)</f>
        <v>0</v>
      </c>
      <c r="E15" s="3078">
        <v>5.5E-2</v>
      </c>
      <c r="F15" s="3071" t="s">
        <v>2878</v>
      </c>
      <c r="G15" s="3053"/>
      <c r="H15" s="3028"/>
      <c r="I15" s="3029"/>
      <c r="J15" s="3429">
        <v>2</v>
      </c>
      <c r="K15" s="3430"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2" customHeight="1">
      <c r="A16" s="3076" t="s">
        <v>2885</v>
      </c>
      <c r="B16" s="3439" t="s">
        <v>2886</v>
      </c>
      <c r="C16" s="3440"/>
      <c r="D16" s="3088">
        <f>D6*E16</f>
        <v>0</v>
      </c>
      <c r="E16" s="3089"/>
      <c r="F16" s="3074" t="s">
        <v>2887</v>
      </c>
      <c r="G16" s="3053"/>
      <c r="H16" s="3028"/>
      <c r="I16" s="3029"/>
      <c r="J16" s="3429"/>
      <c r="K16" s="3431"/>
      <c r="L16" s="3063" t="s">
        <v>2888</v>
      </c>
      <c r="M16" s="3064"/>
      <c r="N16" s="3064"/>
      <c r="O16" s="3065"/>
      <c r="P16" s="3066">
        <v>365</v>
      </c>
      <c r="Q16" s="3040"/>
      <c r="R16" s="3087">
        <f>ROUND(M16*N16*O16*P16/10000,0)</f>
        <v>0</v>
      </c>
      <c r="S16" s="3021"/>
      <c r="T16" s="3021"/>
      <c r="U16" s="3021"/>
      <c r="V16" s="3029"/>
    </row>
    <row r="17" spans="1:22" s="3033" customFormat="1" ht="13.2" customHeight="1" thickBot="1">
      <c r="A17" s="3090">
        <v>4</v>
      </c>
      <c r="B17" s="3441" t="s">
        <v>2889</v>
      </c>
      <c r="C17" s="3442"/>
      <c r="D17" s="3091">
        <f>ROUND(D6*E17,0)</f>
        <v>0</v>
      </c>
      <c r="E17" s="3092"/>
      <c r="F17" s="3093" t="s">
        <v>2890</v>
      </c>
      <c r="G17" s="3053"/>
      <c r="H17" s="3028"/>
      <c r="I17" s="3029"/>
      <c r="J17" s="3429"/>
      <c r="K17" s="3431"/>
      <c r="L17" s="3063" t="s">
        <v>2891</v>
      </c>
      <c r="M17" s="3064"/>
      <c r="N17" s="3064"/>
      <c r="O17" s="3065"/>
      <c r="P17" s="3066">
        <v>365</v>
      </c>
      <c r="Q17" s="3040"/>
      <c r="R17" s="3087">
        <f>ROUND(M17*N17*O17*P17/10000,0)</f>
        <v>0</v>
      </c>
      <c r="S17" s="3021"/>
      <c r="T17" s="3021"/>
      <c r="U17" s="3021"/>
      <c r="V17" s="3029"/>
    </row>
    <row r="18" spans="1:22" s="3033" customFormat="1" ht="13.2" customHeight="1" thickBot="1">
      <c r="A18" s="3056" t="s">
        <v>2892</v>
      </c>
      <c r="B18" s="3057"/>
      <c r="C18" s="3057"/>
      <c r="D18" s="3094">
        <f>ROUND(D6*E18,0)</f>
        <v>0</v>
      </c>
      <c r="E18" s="3095"/>
      <c r="F18" s="3096" t="s">
        <v>2893</v>
      </c>
      <c r="G18" s="3053"/>
      <c r="H18" s="3028"/>
      <c r="I18" s="3029"/>
      <c r="J18" s="3429"/>
      <c r="K18" s="3431"/>
      <c r="L18" s="3063" t="s">
        <v>2894</v>
      </c>
      <c r="M18" s="3064"/>
      <c r="N18" s="3064"/>
      <c r="O18" s="3065"/>
      <c r="P18" s="3066">
        <v>365</v>
      </c>
      <c r="Q18" s="3040"/>
      <c r="R18" s="3087">
        <f>ROUND(M18*N18*O18*P18/10000,0)</f>
        <v>0</v>
      </c>
      <c r="S18" s="3021"/>
      <c r="T18" s="3021"/>
      <c r="U18" s="3021"/>
      <c r="V18" s="3029"/>
    </row>
    <row r="19" spans="1:22" s="3033" customFormat="1" ht="13.2" customHeight="1" thickBot="1">
      <c r="A19" s="3097" t="s">
        <v>2895</v>
      </c>
      <c r="B19" s="3051"/>
      <c r="C19" s="3051"/>
      <c r="D19" s="3051"/>
      <c r="E19" s="3051"/>
      <c r="F19" s="3052"/>
      <c r="G19" s="3072"/>
      <c r="H19" s="3028"/>
      <c r="I19" s="3029"/>
      <c r="J19" s="3429"/>
      <c r="K19" s="3432"/>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2" customHeight="1">
      <c r="A20" s="3056"/>
      <c r="B20" s="3057"/>
      <c r="C20" s="3057"/>
      <c r="D20" s="3057"/>
      <c r="E20" s="3057"/>
      <c r="F20" s="3100"/>
      <c r="G20" s="3072"/>
      <c r="H20" s="3028"/>
      <c r="I20" s="3029"/>
      <c r="J20" s="3429">
        <v>3</v>
      </c>
      <c r="K20" s="3430"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2" customHeight="1">
      <c r="A21" s="3056"/>
      <c r="B21" s="3057"/>
      <c r="C21" s="3103" t="s">
        <v>2904</v>
      </c>
      <c r="D21" s="3104" t="s">
        <v>2905</v>
      </c>
      <c r="E21" s="3105" t="s">
        <v>2906</v>
      </c>
      <c r="F21" s="3100"/>
      <c r="G21" s="3072"/>
      <c r="H21" s="3028"/>
      <c r="I21" s="3029"/>
      <c r="J21" s="3429"/>
      <c r="K21" s="3431"/>
      <c r="L21" s="3063" t="s">
        <v>2907</v>
      </c>
      <c r="M21" s="3064"/>
      <c r="N21" s="3064"/>
      <c r="O21" s="3065"/>
      <c r="P21" s="3066">
        <v>365</v>
      </c>
      <c r="Q21" s="3040"/>
      <c r="R21" s="3106">
        <f>ROUND(M21*N21*O21*P21/10000,0)</f>
        <v>0</v>
      </c>
      <c r="S21" s="3102"/>
      <c r="T21" s="3102"/>
      <c r="U21" s="3102"/>
      <c r="V21" s="3029"/>
    </row>
    <row r="22" spans="1:22" s="3033" customFormat="1" ht="13.2" customHeight="1">
      <c r="A22" s="3056"/>
      <c r="B22" s="3057"/>
      <c r="C22" s="3107" t="s">
        <v>2908</v>
      </c>
      <c r="D22" s="3108" t="s">
        <v>2909</v>
      </c>
      <c r="E22" s="3109" t="s">
        <v>2910</v>
      </c>
      <c r="F22" s="3100"/>
      <c r="G22" s="3110"/>
      <c r="H22" s="3028"/>
      <c r="I22" s="3029"/>
      <c r="J22" s="3429"/>
      <c r="K22" s="3431"/>
      <c r="L22" s="3063" t="s">
        <v>2911</v>
      </c>
      <c r="M22" s="3064"/>
      <c r="N22" s="3064"/>
      <c r="O22" s="3065"/>
      <c r="P22" s="3066">
        <v>365</v>
      </c>
      <c r="Q22" s="3040"/>
      <c r="R22" s="3106">
        <f>ROUND(M22*N22*O22*P22/10000,0)</f>
        <v>0</v>
      </c>
      <c r="S22" s="3102"/>
      <c r="T22" s="3102"/>
      <c r="U22" s="3102"/>
      <c r="V22" s="3029"/>
    </row>
    <row r="23" spans="1:22" s="3033" customFormat="1" ht="13.2" customHeight="1">
      <c r="A23" s="3111">
        <v>1</v>
      </c>
      <c r="B23" s="3112" t="s">
        <v>2912</v>
      </c>
      <c r="C23" s="3113">
        <f>D6</f>
        <v>0</v>
      </c>
      <c r="D23" s="3114">
        <f>C23*(1+D24)</f>
        <v>0</v>
      </c>
      <c r="E23" s="3115">
        <f>D23*(1+E24)</f>
        <v>0</v>
      </c>
      <c r="F23" s="3116"/>
      <c r="G23" s="3117"/>
      <c r="H23" s="3028"/>
      <c r="I23" s="3029"/>
      <c r="J23" s="3429"/>
      <c r="K23" s="3431"/>
      <c r="L23" s="3063" t="s">
        <v>2913</v>
      </c>
      <c r="M23" s="3064"/>
      <c r="N23" s="3064"/>
      <c r="O23" s="3065"/>
      <c r="P23" s="3066">
        <v>365</v>
      </c>
      <c r="Q23" s="3040"/>
      <c r="R23" s="3106">
        <f>ROUND(M23*N23*O23*P23/10000,0)</f>
        <v>0</v>
      </c>
      <c r="S23" s="3021"/>
      <c r="T23" s="3021"/>
      <c r="U23" s="3021"/>
      <c r="V23" s="3029"/>
    </row>
    <row r="24" spans="1:22" s="3033" customFormat="1" ht="13.2" customHeight="1">
      <c r="A24" s="3118"/>
      <c r="B24" s="3119" t="s">
        <v>2914</v>
      </c>
      <c r="C24" s="3120"/>
      <c r="D24" s="3121"/>
      <c r="E24" s="3122"/>
      <c r="F24" s="3123"/>
      <c r="G24" s="3117"/>
      <c r="H24" s="3028"/>
      <c r="I24" s="3029"/>
      <c r="J24" s="3429"/>
      <c r="K24" s="3432"/>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2"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2" customHeight="1">
      <c r="A26" s="3111">
        <v>2</v>
      </c>
      <c r="B26" s="3112" t="s">
        <v>2916</v>
      </c>
      <c r="C26" s="3113">
        <f>D7</f>
        <v>0</v>
      </c>
      <c r="D26" s="3114">
        <f>D23*D27</f>
        <v>0</v>
      </c>
      <c r="E26" s="3115">
        <f>E23*E27</f>
        <v>0</v>
      </c>
      <c r="F26" s="3116"/>
      <c r="G26" s="3117"/>
      <c r="H26" s="3028"/>
      <c r="I26" s="3029"/>
      <c r="J26" s="3433">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2" customHeight="1">
      <c r="A27" s="3118"/>
      <c r="B27" s="3119" t="s">
        <v>2922</v>
      </c>
      <c r="C27" s="3137" t="e">
        <f>E7</f>
        <v>#DIV/0!</v>
      </c>
      <c r="D27" s="3121"/>
      <c r="E27" s="3122"/>
      <c r="F27" s="3123"/>
      <c r="G27" s="3117"/>
      <c r="H27" s="3138"/>
      <c r="I27" s="3129"/>
      <c r="J27" s="3434"/>
      <c r="K27" s="3139"/>
      <c r="L27" s="3140"/>
      <c r="M27" s="3141"/>
      <c r="N27" s="3142"/>
      <c r="O27" s="3142"/>
      <c r="P27" s="3142"/>
      <c r="Q27" s="3143"/>
      <c r="R27" s="3099">
        <f>ROUND(O27*N27*P27*(1-Q27)/10000,0)</f>
        <v>0</v>
      </c>
      <c r="S27" s="3021"/>
      <c r="T27" s="3021"/>
      <c r="U27" s="3021"/>
      <c r="V27" s="3029"/>
    </row>
    <row r="28" spans="1:22" s="3130" customFormat="1" ht="13.2"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2"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2" customHeight="1">
      <c r="A32" s="3111">
        <v>4</v>
      </c>
      <c r="B32" s="3112" t="s">
        <v>2930</v>
      </c>
      <c r="C32" s="3113">
        <f>C23-C26-C29</f>
        <v>0</v>
      </c>
      <c r="D32" s="3114">
        <f>D23-D26-D29</f>
        <v>0</v>
      </c>
      <c r="E32" s="3115">
        <f>E23-E26-E29</f>
        <v>0</v>
      </c>
      <c r="F32" s="3116"/>
      <c r="G32" s="3110"/>
      <c r="H32" s="3028"/>
      <c r="I32" s="3029"/>
      <c r="J32" s="3435" t="s">
        <v>2822</v>
      </c>
      <c r="K32" s="3436"/>
      <c r="L32" s="3030" t="s">
        <v>2823</v>
      </c>
      <c r="M32" s="3030" t="s">
        <v>2824</v>
      </c>
      <c r="N32" s="3030" t="s">
        <v>2825</v>
      </c>
      <c r="O32" s="3030" t="s">
        <v>2826</v>
      </c>
      <c r="P32" s="3030" t="s">
        <v>2827</v>
      </c>
      <c r="Q32" s="3031" t="s">
        <v>2828</v>
      </c>
      <c r="R32" s="3153" t="s">
        <v>2829</v>
      </c>
      <c r="S32" s="3102"/>
      <c r="T32" s="3021"/>
      <c r="U32" s="3021"/>
      <c r="V32" s="3129"/>
    </row>
    <row r="33" spans="1:23" s="3033" customFormat="1" ht="13.2" customHeight="1">
      <c r="A33" s="3111"/>
      <c r="B33" s="3112"/>
      <c r="C33" s="3113"/>
      <c r="D33" s="3154"/>
      <c r="E33" s="3155"/>
      <c r="F33" s="3116"/>
      <c r="G33" s="3110"/>
      <c r="H33" s="3138"/>
      <c r="I33" s="3129"/>
      <c r="J33" s="3437" t="s">
        <v>2832</v>
      </c>
      <c r="K33" s="3438"/>
      <c r="L33" s="3036"/>
      <c r="M33" s="3036"/>
      <c r="N33" s="3036"/>
      <c r="O33" s="3036"/>
      <c r="P33" s="3036"/>
      <c r="Q33" s="3037"/>
      <c r="R33" s="3156">
        <f>SUM(L33:Q33)</f>
        <v>0</v>
      </c>
      <c r="S33" s="3102"/>
      <c r="T33" s="3021"/>
      <c r="U33" s="3021"/>
      <c r="V33" s="3029"/>
    </row>
    <row r="34" spans="1:23" s="3033" customFormat="1" ht="13.2" customHeight="1">
      <c r="A34" s="3111">
        <v>5</v>
      </c>
      <c r="B34" s="3112" t="s">
        <v>2931</v>
      </c>
      <c r="C34" s="3157"/>
      <c r="D34" s="3158"/>
      <c r="E34" s="3159"/>
      <c r="F34" s="3116"/>
      <c r="G34" s="3110"/>
      <c r="H34" s="3138"/>
      <c r="I34" s="3129"/>
      <c r="J34" s="3437" t="s">
        <v>2834</v>
      </c>
      <c r="K34" s="3438"/>
      <c r="L34" s="3041"/>
      <c r="M34" s="3041"/>
      <c r="N34" s="3041"/>
      <c r="O34" s="3041"/>
      <c r="P34" s="3041"/>
      <c r="Q34" s="3042"/>
      <c r="R34" s="3160">
        <f>SUM(L34:Q34)</f>
        <v>0</v>
      </c>
      <c r="S34" s="3102"/>
      <c r="T34" s="3021"/>
      <c r="U34" s="3021" t="e">
        <f>ROUND(R35*10000/365/R33,1)</f>
        <v>#DIV/0!</v>
      </c>
      <c r="V34" s="3029"/>
    </row>
    <row r="35" spans="1:23" s="3033" customFormat="1" ht="13.2"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2" customHeight="1" thickBot="1">
      <c r="A36" s="3111">
        <v>7</v>
      </c>
      <c r="B36" s="3166" t="s">
        <v>2933</v>
      </c>
      <c r="C36" s="3167"/>
      <c r="D36" s="3168"/>
      <c r="E36" s="3169"/>
      <c r="F36" s="3170">
        <f>C36+D36+E36</f>
        <v>0</v>
      </c>
      <c r="G36" s="3110"/>
      <c r="H36" s="3028"/>
      <c r="I36" s="3029"/>
      <c r="J36" s="3429">
        <v>1</v>
      </c>
      <c r="K36" s="3430" t="s">
        <v>2934</v>
      </c>
      <c r="L36" s="3054"/>
      <c r="M36" s="3055"/>
      <c r="N36" s="3055"/>
      <c r="O36" s="3055"/>
      <c r="P36" s="3055"/>
      <c r="Q36" s="3055"/>
      <c r="R36" s="3038" t="s">
        <v>2846</v>
      </c>
      <c r="S36" s="3102"/>
      <c r="T36" s="3021" t="s">
        <v>2847</v>
      </c>
      <c r="U36" s="3021"/>
      <c r="V36" s="3029"/>
    </row>
    <row r="37" spans="1:23" s="3033" customFormat="1" ht="13.2" customHeight="1">
      <c r="A37" s="3111"/>
      <c r="B37" s="3112"/>
      <c r="C37" s="3112"/>
      <c r="D37" s="3112"/>
      <c r="E37" s="3112"/>
      <c r="F37" s="3116"/>
      <c r="G37" s="3110"/>
      <c r="H37" s="3028"/>
      <c r="I37" s="3029"/>
      <c r="J37" s="3429"/>
      <c r="K37" s="3431"/>
      <c r="L37" s="3063"/>
      <c r="M37" s="3064"/>
      <c r="N37" s="3040"/>
      <c r="O37" s="3065"/>
      <c r="P37" s="3065"/>
      <c r="Q37" s="3066"/>
      <c r="R37" s="3067"/>
      <c r="S37" s="3102"/>
      <c r="T37" s="3021" t="s">
        <v>2850</v>
      </c>
      <c r="U37" s="3021"/>
      <c r="V37" s="3029"/>
    </row>
    <row r="38" spans="1:23" s="3033" customFormat="1" ht="13.2" customHeight="1">
      <c r="A38" s="3111">
        <v>8</v>
      </c>
      <c r="B38" s="3112"/>
      <c r="C38" s="3069" t="e">
        <f>ROUND(C32*(1-((1+C35)/(1+C34))^C36)/(C34-C35),0)</f>
        <v>#DIV/0!</v>
      </c>
      <c r="D38" s="3069">
        <f>IF(D23=0,0,ROUND(D32*(1-((1+D35)/(1+D34))^D36)/(D34-D35),0))</f>
        <v>0</v>
      </c>
      <c r="E38" s="3069">
        <f>IF(E23=0,0,ROUND(E32*(1-((1+E35)/(1+E34))^E36)/(E34-E35),0))</f>
        <v>0</v>
      </c>
      <c r="F38" s="3116"/>
      <c r="G38" s="3110"/>
      <c r="H38" s="3028"/>
      <c r="I38" s="3029"/>
      <c r="J38" s="3429"/>
      <c r="K38" s="3431"/>
      <c r="L38" s="3063"/>
      <c r="M38" s="3064"/>
      <c r="N38" s="3040"/>
      <c r="O38" s="3065"/>
      <c r="P38" s="3065"/>
      <c r="Q38" s="3066"/>
      <c r="R38" s="3067"/>
      <c r="S38" s="3102"/>
      <c r="T38" s="3021" t="s">
        <v>2857</v>
      </c>
      <c r="U38" s="3021"/>
      <c r="V38" s="3029"/>
    </row>
    <row r="39" spans="1:23" s="3033" customFormat="1" ht="13.2" customHeight="1">
      <c r="A39" s="3111">
        <v>9</v>
      </c>
      <c r="B39" s="3112" t="s">
        <v>2935</v>
      </c>
      <c r="C39" s="3077" t="e">
        <f>C38</f>
        <v>#DIV/0!</v>
      </c>
      <c r="D39" s="3112">
        <f>D38/(1+D34)^C36</f>
        <v>0</v>
      </c>
      <c r="E39" s="3112">
        <f>E38/(1+E34)^(C36+D36)</f>
        <v>0</v>
      </c>
      <c r="F39" s="3116"/>
      <c r="G39" s="3171"/>
      <c r="H39" s="3028"/>
      <c r="I39" s="3029"/>
      <c r="J39" s="3429"/>
      <c r="K39" s="3431"/>
      <c r="L39" s="3063"/>
      <c r="M39" s="3064"/>
      <c r="N39" s="3040"/>
      <c r="O39" s="3065"/>
      <c r="P39" s="3065"/>
      <c r="Q39" s="3066"/>
      <c r="R39" s="3067"/>
      <c r="S39" s="3102"/>
      <c r="T39" s="3021"/>
      <c r="U39" s="3021"/>
      <c r="V39" s="3029"/>
    </row>
    <row r="40" spans="1:23" s="3033" customFormat="1" ht="13.2" customHeight="1">
      <c r="A40" s="3172">
        <v>10</v>
      </c>
      <c r="B40" s="3112" t="s">
        <v>2936</v>
      </c>
      <c r="C40" s="3173" t="e">
        <f>C39+D39+E39</f>
        <v>#DIV/0!</v>
      </c>
      <c r="D40" s="3174"/>
      <c r="E40" s="3174"/>
      <c r="F40" s="3175"/>
      <c r="G40" s="3110"/>
      <c r="H40" s="3028"/>
      <c r="I40" s="3029"/>
      <c r="J40" s="3429"/>
      <c r="K40" s="3432"/>
      <c r="L40" s="3083" t="s">
        <v>2875</v>
      </c>
      <c r="M40" s="3084"/>
      <c r="N40" s="3084"/>
      <c r="O40" s="3085"/>
      <c r="P40" s="3085"/>
      <c r="Q40" s="3086"/>
      <c r="R40" s="3032">
        <f>SUM(R37:R39)</f>
        <v>0</v>
      </c>
      <c r="S40" s="3102"/>
      <c r="T40" s="3021"/>
      <c r="U40" s="3021"/>
      <c r="V40" s="3029"/>
    </row>
    <row r="41" spans="1:23" s="3033" customFormat="1" ht="13.2"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2" customHeight="1">
      <c r="G42" s="3180"/>
      <c r="H42" s="3028"/>
      <c r="I42" s="3029"/>
      <c r="J42" s="3433">
        <v>3</v>
      </c>
      <c r="K42" s="3131" t="s">
        <v>2917</v>
      </c>
      <c r="L42" s="3132"/>
      <c r="M42" s="3133"/>
      <c r="N42" s="3134" t="s">
        <v>2918</v>
      </c>
      <c r="O42" s="3134" t="s">
        <v>2919</v>
      </c>
      <c r="P42" s="3135" t="s">
        <v>2920</v>
      </c>
      <c r="Q42" s="3135" t="s">
        <v>2921</v>
      </c>
      <c r="R42" s="3038" t="s">
        <v>2846</v>
      </c>
      <c r="S42" s="3136"/>
      <c r="T42" s="3136"/>
      <c r="U42" s="3021"/>
      <c r="V42" s="3029"/>
    </row>
    <row r="43" spans="1:23" ht="13.2" customHeight="1">
      <c r="A43" s="3033"/>
      <c r="B43" s="3033"/>
      <c r="C43" s="3033"/>
      <c r="D43" s="3033"/>
      <c r="E43" s="3033"/>
      <c r="F43" s="3033"/>
      <c r="I43" s="3016"/>
      <c r="J43" s="3434"/>
      <c r="K43" s="3139"/>
      <c r="L43" s="3140"/>
      <c r="M43" s="3141"/>
      <c r="N43" s="3064"/>
      <c r="O43" s="3064"/>
      <c r="P43" s="3064"/>
      <c r="Q43" s="3128"/>
      <c r="R43" s="3099">
        <f>ROUND(O43*N43*P43*(1-Q43)/10000,0)</f>
        <v>0</v>
      </c>
      <c r="S43" s="3102"/>
      <c r="T43" s="3021"/>
      <c r="V43" s="3182"/>
      <c r="W43" s="3183"/>
    </row>
    <row r="44" spans="1:23" ht="13.2"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5"/>
      <c r="G1" s="1625"/>
      <c r="H1" s="1625"/>
      <c r="I1" s="1625"/>
      <c r="J1" s="1625"/>
      <c r="K1" s="1625"/>
      <c r="L1" s="1625"/>
      <c r="M1" s="1625"/>
      <c r="N1" s="1625"/>
      <c r="O1" s="1625"/>
      <c r="P1" s="1625"/>
      <c r="Q1" s="1625"/>
      <c r="R1" s="1625"/>
      <c r="S1" s="1625"/>
    </row>
    <row r="2" spans="1:22" ht="15.6">
      <c r="A2" s="2007" t="s">
        <v>1907</v>
      </c>
      <c r="B2" s="2008">
        <f ca="1">SUMIF(B6:B13,"&lt;&gt;#ref!",B6:B13)</f>
        <v>20451</v>
      </c>
      <c r="C2" s="2009" t="s">
        <v>2099</v>
      </c>
      <c r="D2" s="2010" t="s">
        <v>2100</v>
      </c>
      <c r="E2" s="2782">
        <f>SUM(E6:E13)</f>
        <v>10298.76</v>
      </c>
      <c r="F2" s="2885"/>
      <c r="G2" s="1625"/>
      <c r="H2" s="1625"/>
      <c r="I2" s="1625"/>
      <c r="J2" s="1625"/>
      <c r="K2" s="1625"/>
      <c r="L2" s="1625"/>
      <c r="M2" s="1625"/>
      <c r="N2" s="1625"/>
      <c r="O2" s="1625"/>
      <c r="P2" s="1625"/>
      <c r="Q2" s="1625"/>
      <c r="R2" s="1625"/>
      <c r="S2" s="1625"/>
    </row>
    <row r="3" spans="1:22" ht="15.6">
      <c r="A3" s="2007" t="s">
        <v>1119</v>
      </c>
      <c r="B3" s="2776">
        <f ca="1">ROUND(B2*10000/E2,0)</f>
        <v>19858</v>
      </c>
      <c r="C3" s="2009" t="s">
        <v>2107</v>
      </c>
      <c r="D3" s="2887"/>
      <c r="E3" s="2889"/>
      <c r="F3" s="2885"/>
      <c r="G3" s="1625"/>
      <c r="H3" s="1625"/>
      <c r="I3" s="1625"/>
      <c r="J3" s="1625"/>
      <c r="K3" s="1625"/>
      <c r="L3" s="1625"/>
      <c r="M3" s="1625"/>
      <c r="N3" s="1625"/>
      <c r="O3" s="1625"/>
      <c r="P3" s="1625"/>
      <c r="Q3" s="1625"/>
      <c r="R3" s="1625"/>
      <c r="S3" s="1625"/>
    </row>
    <row r="4" spans="1:22" ht="15.6">
      <c r="A4" s="2890"/>
      <c r="B4" s="2887"/>
      <c r="C4" s="2887"/>
      <c r="D4" s="2887"/>
      <c r="E4" s="2889"/>
      <c r="F4" s="2885"/>
      <c r="G4" s="1625"/>
      <c r="H4" s="1625"/>
      <c r="I4" s="1625"/>
      <c r="J4" s="1625"/>
      <c r="K4" s="1625"/>
      <c r="L4" s="1625"/>
      <c r="M4" s="1625"/>
      <c r="N4" s="1625"/>
      <c r="O4" s="1625"/>
      <c r="P4" s="1625"/>
      <c r="Q4" s="1625"/>
      <c r="R4" s="1625"/>
      <c r="S4" s="1625"/>
    </row>
    <row r="5" spans="1:22" ht="14.4">
      <c r="A5" s="2778" t="s">
        <v>2101</v>
      </c>
      <c r="B5" s="3448" t="s">
        <v>2102</v>
      </c>
      <c r="C5" s="3449"/>
      <c r="D5" s="2886"/>
      <c r="E5" s="2011" t="s">
        <v>2103</v>
      </c>
      <c r="F5" s="2012" t="s">
        <v>2104</v>
      </c>
      <c r="G5" s="1625"/>
      <c r="H5" s="1625"/>
      <c r="I5" s="1625"/>
      <c r="J5" s="1625"/>
      <c r="K5" s="1625"/>
      <c r="L5" s="1625"/>
      <c r="M5" s="1625"/>
      <c r="N5" s="1625"/>
      <c r="O5" s="1625"/>
      <c r="P5" s="1625"/>
      <c r="Q5" s="1625"/>
      <c r="R5" s="1625"/>
      <c r="S5" s="1625"/>
    </row>
    <row r="6" spans="1:22" ht="14.4">
      <c r="A6" s="2779" t="str">
        <f>'数据-取费表'!AN6</f>
        <v>收益法</v>
      </c>
      <c r="B6" s="2777">
        <f ca="1">IF(F6="是",'数据-取费表'!AO6,0)</f>
        <v>20451</v>
      </c>
      <c r="C6" s="2009" t="s">
        <v>2099</v>
      </c>
      <c r="D6" s="2887"/>
      <c r="E6" s="2781">
        <f>IF(OR(A6=0,F6="否"),0,'数据-取费表'!K6+'数据-取费表'!S6)</f>
        <v>10298.76</v>
      </c>
      <c r="F6" s="2013" t="s">
        <v>2105</v>
      </c>
      <c r="G6" s="1625"/>
      <c r="H6" s="1625"/>
      <c r="I6" s="1625"/>
      <c r="J6" s="1625"/>
      <c r="K6" s="1625"/>
      <c r="L6" s="1625"/>
      <c r="M6" s="1625"/>
      <c r="N6" s="1625"/>
      <c r="O6" s="1625"/>
      <c r="P6" s="1625"/>
      <c r="Q6" s="1625"/>
      <c r="R6" s="1625"/>
      <c r="S6" s="1625"/>
    </row>
    <row r="7" spans="1:22" ht="14.4">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ht="14.4">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ht="14.4">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ht="14.4">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10298.76</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4.4">
      <c r="A4" s="361" t="s">
        <v>2115</v>
      </c>
      <c r="B4" s="362"/>
      <c r="C4" s="3468" t="s">
        <v>2116</v>
      </c>
      <c r="D4" s="3469"/>
      <c r="E4" s="3470" t="s">
        <v>2117</v>
      </c>
      <c r="F4" s="3471"/>
      <c r="G4" s="3468" t="s">
        <v>2118</v>
      </c>
      <c r="H4" s="3469"/>
      <c r="I4" s="3468" t="s">
        <v>2119</v>
      </c>
      <c r="J4" s="3469"/>
      <c r="K4" s="2026" t="s">
        <v>2120</v>
      </c>
      <c r="L4" s="2893"/>
      <c r="M4" s="2894"/>
      <c r="N4" s="2894"/>
      <c r="O4" s="2894"/>
      <c r="P4" s="3472" t="s">
        <v>2121</v>
      </c>
      <c r="Q4" s="3473"/>
      <c r="R4" s="3478" t="s">
        <v>2117</v>
      </c>
      <c r="S4" s="3479"/>
      <c r="T4" s="3478" t="s">
        <v>2118</v>
      </c>
      <c r="U4" s="3479"/>
      <c r="V4" s="3484" t="s">
        <v>2119</v>
      </c>
      <c r="W4" s="3484"/>
      <c r="X4" s="1490"/>
      <c r="Y4" s="3478" t="s">
        <v>2121</v>
      </c>
      <c r="Z4" s="3479"/>
      <c r="AA4" s="3465" t="s">
        <v>2117</v>
      </c>
      <c r="AB4" s="3465" t="s">
        <v>2118</v>
      </c>
      <c r="AC4" s="3465" t="s">
        <v>2119</v>
      </c>
    </row>
    <row r="5" spans="1:29">
      <c r="A5" s="364"/>
      <c r="B5" s="365"/>
      <c r="C5" s="3487" t="s">
        <v>2122</v>
      </c>
      <c r="D5" s="3488"/>
      <c r="E5" s="3494" t="s">
        <v>2123</v>
      </c>
      <c r="F5" s="3495"/>
      <c r="G5" s="3487" t="s">
        <v>2124</v>
      </c>
      <c r="H5" s="3488"/>
      <c r="I5" s="3487" t="s">
        <v>2125</v>
      </c>
      <c r="J5" s="3488"/>
      <c r="K5" s="2027"/>
      <c r="L5" s="2893"/>
      <c r="M5" s="2894"/>
      <c r="N5" s="2894"/>
      <c r="O5" s="2894"/>
      <c r="P5" s="3474"/>
      <c r="Q5" s="3475"/>
      <c r="R5" s="3480"/>
      <c r="S5" s="3481"/>
      <c r="T5" s="3480"/>
      <c r="U5" s="3481"/>
      <c r="V5" s="3484"/>
      <c r="W5" s="3484"/>
      <c r="X5" s="1490"/>
      <c r="Y5" s="3480"/>
      <c r="Z5" s="3481"/>
      <c r="AA5" s="3466"/>
      <c r="AB5" s="3466"/>
      <c r="AC5" s="3466"/>
    </row>
    <row r="6" spans="1:29" ht="15" thickBot="1">
      <c r="A6" s="366"/>
      <c r="B6" s="367"/>
      <c r="C6" s="3485" t="s">
        <v>2126</v>
      </c>
      <c r="D6" s="3486"/>
      <c r="E6" s="3492" t="s">
        <v>2126</v>
      </c>
      <c r="F6" s="3493"/>
      <c r="G6" s="3485" t="s">
        <v>2126</v>
      </c>
      <c r="H6" s="3486"/>
      <c r="I6" s="3485" t="s">
        <v>2126</v>
      </c>
      <c r="J6" s="3486"/>
      <c r="K6" s="2027" t="s">
        <v>2127</v>
      </c>
      <c r="L6" s="2893"/>
      <c r="M6" s="2894"/>
      <c r="N6" s="2894"/>
      <c r="O6" s="2894"/>
      <c r="P6" s="3476"/>
      <c r="Q6" s="3477"/>
      <c r="R6" s="3480"/>
      <c r="S6" s="3481"/>
      <c r="T6" s="3482"/>
      <c r="U6" s="3483"/>
      <c r="V6" s="3484"/>
      <c r="W6" s="3484"/>
      <c r="X6" s="1490"/>
      <c r="Y6" s="3482"/>
      <c r="Z6" s="3483"/>
      <c r="AA6" s="3467"/>
      <c r="AB6" s="3467"/>
      <c r="AC6" s="3467"/>
    </row>
    <row r="7" spans="1:29" s="113" customFormat="1" ht="1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89" t="s">
        <v>2129</v>
      </c>
      <c r="Q7" s="3491"/>
      <c r="R7" s="710" t="s">
        <v>23</v>
      </c>
      <c r="S7" s="711">
        <f t="shared" ref="S7:S15" si="0">F7</f>
        <v>0</v>
      </c>
      <c r="T7" s="710" t="s">
        <v>23</v>
      </c>
      <c r="U7" s="711">
        <f t="shared" ref="U7:U15" si="1">H7</f>
        <v>0</v>
      </c>
      <c r="V7" s="710" t="s">
        <v>23</v>
      </c>
      <c r="W7" s="711">
        <f t="shared" ref="W7:W15" si="2">J7</f>
        <v>0</v>
      </c>
      <c r="X7" s="712"/>
      <c r="Y7" s="3489" t="s">
        <v>2129</v>
      </c>
      <c r="Z7" s="3490"/>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89" t="s">
        <v>2132</v>
      </c>
      <c r="Q8" s="3490"/>
      <c r="R8" s="710" t="s">
        <v>23</v>
      </c>
      <c r="S8" s="711">
        <f t="shared" si="0"/>
        <v>0</v>
      </c>
      <c r="T8" s="710" t="s">
        <v>23</v>
      </c>
      <c r="U8" s="711">
        <f t="shared" si="1"/>
        <v>0</v>
      </c>
      <c r="V8" s="710" t="s">
        <v>23</v>
      </c>
      <c r="W8" s="711">
        <f t="shared" si="2"/>
        <v>0</v>
      </c>
      <c r="X8" s="712"/>
      <c r="Y8" s="3489" t="s">
        <v>2132</v>
      </c>
      <c r="Z8" s="3490"/>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4" t="s">
        <v>2135</v>
      </c>
      <c r="Q9" s="1478" t="str">
        <f t="shared" ref="Q9:Q15" si="6">B9</f>
        <v>用途</v>
      </c>
      <c r="R9" s="710" t="s">
        <v>17</v>
      </c>
      <c r="S9" s="711">
        <f t="shared" si="0"/>
        <v>100</v>
      </c>
      <c r="T9" s="710" t="s">
        <v>17</v>
      </c>
      <c r="U9" s="711">
        <f t="shared" si="1"/>
        <v>100</v>
      </c>
      <c r="V9" s="710" t="s">
        <v>17</v>
      </c>
      <c r="W9" s="711">
        <f t="shared" si="2"/>
        <v>100</v>
      </c>
      <c r="X9" s="712"/>
      <c r="Y9" s="3325"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4"/>
      <c r="Q10" s="1478" t="str">
        <f t="shared" si="6"/>
        <v>土地使用年限（年）</v>
      </c>
      <c r="R10" s="710" t="s">
        <v>17</v>
      </c>
      <c r="S10" s="711">
        <f t="shared" si="0"/>
        <v>100</v>
      </c>
      <c r="T10" s="710" t="s">
        <v>17</v>
      </c>
      <c r="U10" s="711">
        <f t="shared" si="1"/>
        <v>100</v>
      </c>
      <c r="V10" s="710" t="s">
        <v>17</v>
      </c>
      <c r="W10" s="711">
        <f t="shared" si="2"/>
        <v>100</v>
      </c>
      <c r="X10" s="712"/>
      <c r="Y10" s="332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4"/>
      <c r="Q11" s="1478" t="str">
        <f t="shared" si="6"/>
        <v>容积率</v>
      </c>
      <c r="R11" s="710" t="s">
        <v>21</v>
      </c>
      <c r="S11" s="711" t="e">
        <f t="shared" si="0"/>
        <v>#N/A</v>
      </c>
      <c r="T11" s="710" t="s">
        <v>21</v>
      </c>
      <c r="U11" s="711" t="e">
        <f t="shared" si="1"/>
        <v>#N/A</v>
      </c>
      <c r="V11" s="710" t="s">
        <v>21</v>
      </c>
      <c r="W11" s="711" t="e">
        <f t="shared" si="2"/>
        <v>#N/A</v>
      </c>
      <c r="X11" s="712"/>
      <c r="Y11" s="3325"/>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4"/>
      <c r="Q12" s="1478">
        <f t="shared" si="6"/>
        <v>111</v>
      </c>
      <c r="R12" s="710" t="s">
        <v>21</v>
      </c>
      <c r="S12" s="711">
        <f t="shared" si="0"/>
        <v>100</v>
      </c>
      <c r="T12" s="710" t="s">
        <v>21</v>
      </c>
      <c r="U12" s="711">
        <f t="shared" si="1"/>
        <v>100</v>
      </c>
      <c r="V12" s="710" t="s">
        <v>21</v>
      </c>
      <c r="W12" s="711">
        <f t="shared" si="2"/>
        <v>100</v>
      </c>
      <c r="X12" s="712"/>
      <c r="Y12" s="332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4"/>
      <c r="Q13" s="1478">
        <f t="shared" si="6"/>
        <v>111</v>
      </c>
      <c r="R13" s="710" t="s">
        <v>21</v>
      </c>
      <c r="S13" s="711">
        <f t="shared" si="0"/>
        <v>100</v>
      </c>
      <c r="T13" s="710" t="s">
        <v>21</v>
      </c>
      <c r="U13" s="711">
        <f t="shared" si="1"/>
        <v>100</v>
      </c>
      <c r="V13" s="710" t="s">
        <v>21</v>
      </c>
      <c r="W13" s="711">
        <f t="shared" si="2"/>
        <v>100</v>
      </c>
      <c r="X13" s="712"/>
      <c r="Y13" s="3325"/>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4"/>
      <c r="Q14" s="1478">
        <f t="shared" si="6"/>
        <v>111</v>
      </c>
      <c r="R14" s="710" t="s">
        <v>21</v>
      </c>
      <c r="S14" s="711">
        <f t="shared" si="0"/>
        <v>100</v>
      </c>
      <c r="T14" s="710" t="s">
        <v>21</v>
      </c>
      <c r="U14" s="711">
        <f t="shared" si="1"/>
        <v>100</v>
      </c>
      <c r="V14" s="710" t="s">
        <v>21</v>
      </c>
      <c r="W14" s="711">
        <f t="shared" si="2"/>
        <v>100</v>
      </c>
      <c r="X14" s="712"/>
      <c r="Y14" s="3325"/>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2" t="s">
        <v>2140</v>
      </c>
      <c r="Q15" s="1487" t="str">
        <f t="shared" si="6"/>
        <v>居住社区成熟度</v>
      </c>
      <c r="R15" s="714" t="s">
        <v>21</v>
      </c>
      <c r="S15" s="715">
        <f t="shared" si="0"/>
        <v>100</v>
      </c>
      <c r="T15" s="714" t="s">
        <v>21</v>
      </c>
      <c r="U15" s="715">
        <f t="shared" si="1"/>
        <v>100</v>
      </c>
      <c r="V15" s="714" t="s">
        <v>21</v>
      </c>
      <c r="W15" s="715">
        <f t="shared" si="2"/>
        <v>100</v>
      </c>
      <c r="X15" s="1490"/>
      <c r="Y15" s="3455"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63"/>
      <c r="Q16" s="1487"/>
      <c r="R16" s="714"/>
      <c r="S16" s="715"/>
      <c r="T16" s="714"/>
      <c r="U16" s="715"/>
      <c r="V16" s="714"/>
      <c r="W16" s="715"/>
      <c r="X16" s="1490"/>
      <c r="Y16" s="3456"/>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3"/>
      <c r="Q17" s="1487" t="str">
        <f>B17</f>
        <v>交通便捷度</v>
      </c>
      <c r="R17" s="714" t="s">
        <v>21</v>
      </c>
      <c r="S17" s="715">
        <f>F17</f>
        <v>100</v>
      </c>
      <c r="T17" s="714" t="s">
        <v>21</v>
      </c>
      <c r="U17" s="715">
        <f>H17</f>
        <v>100</v>
      </c>
      <c r="V17" s="714" t="s">
        <v>21</v>
      </c>
      <c r="W17" s="715">
        <f>J17</f>
        <v>100</v>
      </c>
      <c r="X17" s="1490"/>
      <c r="Y17" s="345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63"/>
      <c r="Q18" s="1487"/>
      <c r="R18" s="714"/>
      <c r="S18" s="715"/>
      <c r="T18" s="714"/>
      <c r="U18" s="715"/>
      <c r="V18" s="714"/>
      <c r="W18" s="715"/>
      <c r="X18" s="1490"/>
      <c r="Y18" s="3456"/>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3"/>
      <c r="Q19" s="1487" t="str">
        <f>B19</f>
        <v>公共配套设施</v>
      </c>
      <c r="R19" s="714" t="s">
        <v>21</v>
      </c>
      <c r="S19" s="715">
        <f>F19</f>
        <v>100</v>
      </c>
      <c r="T19" s="714" t="s">
        <v>21</v>
      </c>
      <c r="U19" s="715">
        <f>H19</f>
        <v>100</v>
      </c>
      <c r="V19" s="714" t="s">
        <v>21</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63"/>
      <c r="Q20" s="1487"/>
      <c r="R20" s="714"/>
      <c r="S20" s="715"/>
      <c r="T20" s="714"/>
      <c r="U20" s="715"/>
      <c r="V20" s="714"/>
      <c r="W20" s="715"/>
      <c r="X20" s="1490"/>
      <c r="Y20" s="3456"/>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3"/>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63"/>
      <c r="Q22" s="1487"/>
      <c r="R22" s="714"/>
      <c r="S22" s="715"/>
      <c r="T22" s="714"/>
      <c r="U22" s="715"/>
      <c r="V22" s="714"/>
      <c r="W22" s="715"/>
      <c r="X22" s="1490"/>
      <c r="Y22" s="3456"/>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3"/>
      <c r="Q23" s="1487" t="str">
        <f>B23</f>
        <v>自然及人文环境</v>
      </c>
      <c r="R23" s="714" t="s">
        <v>21</v>
      </c>
      <c r="S23" s="715">
        <f>F23</f>
        <v>100</v>
      </c>
      <c r="T23" s="714" t="s">
        <v>21</v>
      </c>
      <c r="U23" s="715">
        <f>H23</f>
        <v>100</v>
      </c>
      <c r="V23" s="714" t="s">
        <v>21</v>
      </c>
      <c r="W23" s="715">
        <f>J23</f>
        <v>100</v>
      </c>
      <c r="X23" s="1490"/>
      <c r="Y23" s="345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63"/>
      <c r="Q24" s="1487"/>
      <c r="R24" s="714"/>
      <c r="S24" s="715"/>
      <c r="T24" s="714"/>
      <c r="U24" s="715"/>
      <c r="V24" s="714"/>
      <c r="W24" s="715"/>
      <c r="X24" s="1490"/>
      <c r="Y24" s="3456"/>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6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6"/>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63"/>
      <c r="Q26" s="1487" t="str">
        <f t="shared" si="11"/>
        <v>朝向</v>
      </c>
      <c r="R26" s="714" t="s">
        <v>21</v>
      </c>
      <c r="S26" s="715">
        <f t="shared" si="12"/>
        <v>100</v>
      </c>
      <c r="T26" s="714" t="s">
        <v>21</v>
      </c>
      <c r="U26" s="715">
        <f t="shared" si="13"/>
        <v>100</v>
      </c>
      <c r="V26" s="714" t="s">
        <v>21</v>
      </c>
      <c r="W26" s="715">
        <f t="shared" si="14"/>
        <v>100</v>
      </c>
      <c r="X26" s="1490"/>
      <c r="Y26" s="345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63"/>
      <c r="Q27" s="1478">
        <f t="shared" si="11"/>
        <v>111</v>
      </c>
      <c r="R27" s="710" t="s">
        <v>21</v>
      </c>
      <c r="S27" s="711">
        <f t="shared" si="12"/>
        <v>100</v>
      </c>
      <c r="T27" s="710" t="s">
        <v>21</v>
      </c>
      <c r="U27" s="711">
        <f t="shared" si="13"/>
        <v>100</v>
      </c>
      <c r="V27" s="710" t="s">
        <v>21</v>
      </c>
      <c r="W27" s="711">
        <f t="shared" si="14"/>
        <v>100</v>
      </c>
      <c r="X27" s="712"/>
      <c r="Y27" s="345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63"/>
      <c r="Q28" s="1487">
        <f t="shared" si="11"/>
        <v>111</v>
      </c>
      <c r="R28" s="714" t="s">
        <v>21</v>
      </c>
      <c r="S28" s="715">
        <f t="shared" si="12"/>
        <v>100</v>
      </c>
      <c r="T28" s="714" t="s">
        <v>21</v>
      </c>
      <c r="U28" s="715">
        <f t="shared" si="13"/>
        <v>100</v>
      </c>
      <c r="V28" s="714" t="s">
        <v>21</v>
      </c>
      <c r="W28" s="715">
        <f t="shared" si="14"/>
        <v>100</v>
      </c>
      <c r="X28" s="1490"/>
      <c r="Y28" s="345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63"/>
      <c r="Q29" s="1487">
        <f t="shared" si="11"/>
        <v>111</v>
      </c>
      <c r="R29" s="714" t="s">
        <v>21</v>
      </c>
      <c r="S29" s="715">
        <f t="shared" si="12"/>
        <v>100</v>
      </c>
      <c r="T29" s="714" t="s">
        <v>21</v>
      </c>
      <c r="U29" s="715">
        <f t="shared" si="13"/>
        <v>100</v>
      </c>
      <c r="V29" s="714" t="s">
        <v>21</v>
      </c>
      <c r="W29" s="715">
        <f t="shared" si="14"/>
        <v>100</v>
      </c>
      <c r="X29" s="1490"/>
      <c r="Y29" s="345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63"/>
      <c r="Q30" s="1487">
        <f t="shared" si="11"/>
        <v>111</v>
      </c>
      <c r="R30" s="714" t="s">
        <v>21</v>
      </c>
      <c r="S30" s="715">
        <f t="shared" si="12"/>
        <v>100</v>
      </c>
      <c r="T30" s="714" t="s">
        <v>21</v>
      </c>
      <c r="U30" s="715">
        <f t="shared" si="13"/>
        <v>100</v>
      </c>
      <c r="V30" s="714" t="s">
        <v>21</v>
      </c>
      <c r="W30" s="715">
        <f t="shared" si="14"/>
        <v>100</v>
      </c>
      <c r="X30" s="1490"/>
      <c r="Y30" s="3456"/>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63"/>
      <c r="Q31" s="1487">
        <f t="shared" si="11"/>
        <v>111</v>
      </c>
      <c r="R31" s="714" t="s">
        <v>21</v>
      </c>
      <c r="S31" s="715">
        <f t="shared" si="12"/>
        <v>100</v>
      </c>
      <c r="T31" s="714" t="s">
        <v>21</v>
      </c>
      <c r="U31" s="715">
        <f t="shared" si="13"/>
        <v>100</v>
      </c>
      <c r="V31" s="714" t="s">
        <v>21</v>
      </c>
      <c r="W31" s="715">
        <f t="shared" si="14"/>
        <v>100</v>
      </c>
      <c r="X31" s="1490"/>
      <c r="Y31" s="3456"/>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57" t="s">
        <v>2145</v>
      </c>
      <c r="Q32" s="1487" t="str">
        <f t="shared" si="11"/>
        <v>建筑类型</v>
      </c>
      <c r="R32" s="714" t="s">
        <v>21</v>
      </c>
      <c r="S32" s="715">
        <f t="shared" si="12"/>
        <v>100</v>
      </c>
      <c r="T32" s="714" t="s">
        <v>21</v>
      </c>
      <c r="U32" s="715">
        <f t="shared" si="13"/>
        <v>100</v>
      </c>
      <c r="V32" s="714" t="s">
        <v>21</v>
      </c>
      <c r="W32" s="715">
        <f t="shared" si="14"/>
        <v>100</v>
      </c>
      <c r="X32" s="1490"/>
      <c r="Y32" s="3460"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58"/>
      <c r="Q33" s="716" t="str">
        <f t="shared" si="11"/>
        <v>项目建筑规模</v>
      </c>
      <c r="R33" s="717" t="s">
        <v>21</v>
      </c>
      <c r="S33" s="718" t="e">
        <f t="shared" si="12"/>
        <v>#N/A</v>
      </c>
      <c r="T33" s="717" t="s">
        <v>21</v>
      </c>
      <c r="U33" s="718" t="e">
        <f t="shared" si="13"/>
        <v>#N/A</v>
      </c>
      <c r="V33" s="717" t="s">
        <v>21</v>
      </c>
      <c r="W33" s="718" t="e">
        <f t="shared" si="14"/>
        <v>#N/A</v>
      </c>
      <c r="X33" s="719"/>
      <c r="Y33" s="3460"/>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58"/>
      <c r="Q34" s="1487" t="str">
        <f t="shared" si="11"/>
        <v>建筑结构</v>
      </c>
      <c r="R34" s="714" t="s">
        <v>21</v>
      </c>
      <c r="S34" s="715">
        <f t="shared" si="12"/>
        <v>100</v>
      </c>
      <c r="T34" s="714" t="s">
        <v>21</v>
      </c>
      <c r="U34" s="715">
        <f t="shared" si="13"/>
        <v>100</v>
      </c>
      <c r="V34" s="714" t="s">
        <v>21</v>
      </c>
      <c r="W34" s="715">
        <f t="shared" si="14"/>
        <v>100</v>
      </c>
      <c r="X34" s="1490"/>
      <c r="Y34" s="3460"/>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58"/>
      <c r="Q35" s="1487" t="str">
        <f t="shared" si="11"/>
        <v>建筑品质</v>
      </c>
      <c r="R35" s="714" t="s">
        <v>21</v>
      </c>
      <c r="S35" s="715">
        <f t="shared" si="12"/>
        <v>100</v>
      </c>
      <c r="T35" s="714" t="s">
        <v>21</v>
      </c>
      <c r="U35" s="715">
        <f t="shared" si="13"/>
        <v>100</v>
      </c>
      <c r="V35" s="714" t="s">
        <v>21</v>
      </c>
      <c r="W35" s="715">
        <f t="shared" si="14"/>
        <v>100</v>
      </c>
      <c r="X35" s="1490"/>
      <c r="Y35" s="3460"/>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58"/>
      <c r="Q36" s="1487" t="str">
        <f t="shared" si="11"/>
        <v>公共部分装修</v>
      </c>
      <c r="R36" s="714" t="s">
        <v>21</v>
      </c>
      <c r="S36" s="715">
        <f t="shared" si="12"/>
        <v>100</v>
      </c>
      <c r="T36" s="714" t="s">
        <v>21</v>
      </c>
      <c r="U36" s="715">
        <f t="shared" si="13"/>
        <v>100</v>
      </c>
      <c r="V36" s="714" t="s">
        <v>21</v>
      </c>
      <c r="W36" s="715">
        <f t="shared" si="14"/>
        <v>100</v>
      </c>
      <c r="X36" s="1490"/>
      <c r="Y36" s="3460"/>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58"/>
      <c r="Q37" s="1478" t="str">
        <f t="shared" si="11"/>
        <v>成新度</v>
      </c>
      <c r="R37" s="710" t="s">
        <v>21</v>
      </c>
      <c r="S37" s="711" t="e">
        <f t="shared" si="12"/>
        <v>#N/A</v>
      </c>
      <c r="T37" s="710" t="s">
        <v>21</v>
      </c>
      <c r="U37" s="711" t="e">
        <f t="shared" si="13"/>
        <v>#N/A</v>
      </c>
      <c r="V37" s="710" t="s">
        <v>21</v>
      </c>
      <c r="W37" s="711" t="e">
        <f t="shared" si="14"/>
        <v>#N/A</v>
      </c>
      <c r="X37" s="712"/>
      <c r="Y37" s="3460"/>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58" t="s">
        <v>2145</v>
      </c>
      <c r="Q38" s="1487" t="str">
        <f t="shared" si="11"/>
        <v>物业管理</v>
      </c>
      <c r="R38" s="714" t="s">
        <v>21</v>
      </c>
      <c r="S38" s="715">
        <f t="shared" si="12"/>
        <v>100</v>
      </c>
      <c r="T38" s="714" t="s">
        <v>21</v>
      </c>
      <c r="U38" s="715">
        <f t="shared" si="13"/>
        <v>100</v>
      </c>
      <c r="V38" s="714" t="s">
        <v>21</v>
      </c>
      <c r="W38" s="715">
        <f t="shared" si="14"/>
        <v>100</v>
      </c>
      <c r="X38" s="1490"/>
      <c r="Y38" s="3460"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58"/>
      <c r="Q39" s="1487" t="str">
        <f t="shared" si="11"/>
        <v>市政基础设施</v>
      </c>
      <c r="R39" s="714" t="s">
        <v>21</v>
      </c>
      <c r="S39" s="715">
        <f t="shared" si="12"/>
        <v>100</v>
      </c>
      <c r="T39" s="714" t="s">
        <v>21</v>
      </c>
      <c r="U39" s="715">
        <f t="shared" si="13"/>
        <v>100</v>
      </c>
      <c r="V39" s="714" t="s">
        <v>21</v>
      </c>
      <c r="W39" s="715">
        <f t="shared" si="14"/>
        <v>100</v>
      </c>
      <c r="X39" s="1490"/>
      <c r="Y39" s="3460"/>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58"/>
      <c r="Q40" s="1487" t="str">
        <f t="shared" si="11"/>
        <v>房型</v>
      </c>
      <c r="R40" s="714" t="s">
        <v>21</v>
      </c>
      <c r="S40" s="715">
        <f t="shared" si="12"/>
        <v>100</v>
      </c>
      <c r="T40" s="714" t="s">
        <v>21</v>
      </c>
      <c r="U40" s="715">
        <f t="shared" si="13"/>
        <v>100</v>
      </c>
      <c r="V40" s="714" t="s">
        <v>21</v>
      </c>
      <c r="W40" s="715">
        <f t="shared" si="14"/>
        <v>100</v>
      </c>
      <c r="X40" s="1490"/>
      <c r="Y40" s="3460"/>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58"/>
      <c r="Q41" s="716" t="str">
        <f t="shared" si="11"/>
        <v>单套/主力户型建筑面积</v>
      </c>
      <c r="R41" s="717" t="s">
        <v>21</v>
      </c>
      <c r="S41" s="718">
        <f t="shared" si="12"/>
        <v>100</v>
      </c>
      <c r="T41" s="717" t="s">
        <v>21</v>
      </c>
      <c r="U41" s="718">
        <f t="shared" si="13"/>
        <v>100</v>
      </c>
      <c r="V41" s="717" t="s">
        <v>21</v>
      </c>
      <c r="W41" s="718">
        <f t="shared" si="14"/>
        <v>100</v>
      </c>
      <c r="X41" s="719"/>
      <c r="Y41" s="3460"/>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58"/>
      <c r="Q42" s="1487" t="str">
        <f t="shared" si="11"/>
        <v>内部装修</v>
      </c>
      <c r="R42" s="714" t="s">
        <v>21</v>
      </c>
      <c r="S42" s="715">
        <f t="shared" si="12"/>
        <v>100</v>
      </c>
      <c r="T42" s="714" t="s">
        <v>21</v>
      </c>
      <c r="U42" s="715">
        <f t="shared" si="13"/>
        <v>100</v>
      </c>
      <c r="V42" s="714" t="s">
        <v>21</v>
      </c>
      <c r="W42" s="715">
        <f t="shared" si="14"/>
        <v>100</v>
      </c>
      <c r="X42" s="1490"/>
      <c r="Y42" s="3460"/>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58"/>
      <c r="Q43" s="1487" t="str">
        <f t="shared" si="11"/>
        <v>内部装修维护情况</v>
      </c>
      <c r="R43" s="714" t="s">
        <v>21</v>
      </c>
      <c r="S43" s="715">
        <f t="shared" si="12"/>
        <v>100</v>
      </c>
      <c r="T43" s="714" t="s">
        <v>21</v>
      </c>
      <c r="U43" s="715">
        <f t="shared" si="13"/>
        <v>100</v>
      </c>
      <c r="V43" s="714" t="s">
        <v>21</v>
      </c>
      <c r="W43" s="715">
        <f t="shared" si="14"/>
        <v>100</v>
      </c>
      <c r="X43" s="1490"/>
      <c r="Y43" s="346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58"/>
      <c r="Q44" s="1478">
        <f t="shared" si="11"/>
        <v>111</v>
      </c>
      <c r="R44" s="710" t="s">
        <v>21</v>
      </c>
      <c r="S44" s="711">
        <f t="shared" si="12"/>
        <v>100</v>
      </c>
      <c r="T44" s="710" t="s">
        <v>21</v>
      </c>
      <c r="U44" s="711">
        <f t="shared" si="13"/>
        <v>100</v>
      </c>
      <c r="V44" s="710" t="s">
        <v>21</v>
      </c>
      <c r="W44" s="711">
        <f t="shared" si="14"/>
        <v>100</v>
      </c>
      <c r="X44" s="712"/>
      <c r="Y44" s="346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58"/>
      <c r="Q45" s="1487">
        <f t="shared" si="11"/>
        <v>111</v>
      </c>
      <c r="R45" s="714" t="s">
        <v>21</v>
      </c>
      <c r="S45" s="715">
        <f t="shared" si="12"/>
        <v>100</v>
      </c>
      <c r="T45" s="714" t="s">
        <v>21</v>
      </c>
      <c r="U45" s="715">
        <f t="shared" si="13"/>
        <v>100</v>
      </c>
      <c r="V45" s="714" t="s">
        <v>21</v>
      </c>
      <c r="W45" s="715">
        <f t="shared" si="14"/>
        <v>100</v>
      </c>
      <c r="X45" s="1490"/>
      <c r="Y45" s="3460"/>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59"/>
      <c r="Q46" s="1487">
        <f t="shared" si="11"/>
        <v>111</v>
      </c>
      <c r="R46" s="714" t="s">
        <v>20</v>
      </c>
      <c r="S46" s="715">
        <f t="shared" si="12"/>
        <v>100</v>
      </c>
      <c r="T46" s="714" t="s">
        <v>20</v>
      </c>
      <c r="U46" s="715">
        <f t="shared" si="13"/>
        <v>100</v>
      </c>
      <c r="V46" s="714" t="s">
        <v>20</v>
      </c>
      <c r="W46" s="715">
        <f t="shared" si="14"/>
        <v>100</v>
      </c>
      <c r="X46" s="1490"/>
      <c r="Y46" s="3461"/>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2"/>
      <c r="M47" s="2903"/>
      <c r="N47" s="2894"/>
      <c r="O47" s="2903"/>
      <c r="P47" s="3453" t="str">
        <f>A47</f>
        <v>成交单价（元/平方米）</v>
      </c>
      <c r="Q47" s="3453"/>
      <c r="R47" s="3454">
        <f>E47</f>
        <v>0</v>
      </c>
      <c r="S47" s="3454"/>
      <c r="T47" s="3454">
        <f>G47</f>
        <v>0</v>
      </c>
      <c r="U47" s="3454"/>
      <c r="V47" s="3454">
        <f>I47</f>
        <v>0</v>
      </c>
      <c r="W47" s="3454"/>
      <c r="X47" s="699"/>
      <c r="Y47" s="721"/>
      <c r="Z47" s="699"/>
      <c r="AA47" s="699"/>
      <c r="AB47" s="699"/>
      <c r="AC47" s="699"/>
    </row>
    <row r="48" spans="1:29" ht="1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2"/>
      <c r="M49" s="2903"/>
      <c r="N49" s="2903"/>
      <c r="O49" s="2903"/>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4.4">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78" t="s">
        <v>2227</v>
      </c>
      <c r="S4" s="3479"/>
      <c r="T4" s="3478" t="s">
        <v>2228</v>
      </c>
      <c r="U4" s="3479"/>
      <c r="V4" s="3484" t="s">
        <v>2229</v>
      </c>
      <c r="W4" s="3484"/>
      <c r="X4" s="1490"/>
      <c r="Y4" s="3478" t="s">
        <v>2231</v>
      </c>
      <c r="Z4" s="3479"/>
      <c r="AA4" s="3465" t="s">
        <v>2227</v>
      </c>
      <c r="AB4" s="3484" t="s">
        <v>2228</v>
      </c>
      <c r="AC4" s="3465" t="s">
        <v>2229</v>
      </c>
    </row>
    <row r="5" spans="1:29">
      <c r="A5" s="364"/>
      <c r="B5" s="365"/>
      <c r="C5" s="3487" t="s">
        <v>2122</v>
      </c>
      <c r="D5" s="3488"/>
      <c r="E5" s="3494" t="s">
        <v>2123</v>
      </c>
      <c r="F5" s="3495"/>
      <c r="G5" s="3487" t="s">
        <v>2124</v>
      </c>
      <c r="H5" s="3488"/>
      <c r="I5" s="3487" t="s">
        <v>2125</v>
      </c>
      <c r="J5" s="3488"/>
      <c r="K5" s="567"/>
      <c r="L5" s="2893"/>
      <c r="M5" s="2894"/>
      <c r="N5" s="2894"/>
      <c r="O5" s="2894"/>
      <c r="P5" s="3474"/>
      <c r="Q5" s="3475"/>
      <c r="R5" s="3480"/>
      <c r="S5" s="3481"/>
      <c r="T5" s="3480"/>
      <c r="U5" s="3481"/>
      <c r="V5" s="3484"/>
      <c r="W5" s="3484"/>
      <c r="X5" s="1490"/>
      <c r="Y5" s="3480"/>
      <c r="Z5" s="3481"/>
      <c r="AA5" s="3466"/>
      <c r="AB5" s="3484"/>
      <c r="AC5" s="3466"/>
    </row>
    <row r="6" spans="1:29" ht="15" thickBot="1">
      <c r="A6" s="366"/>
      <c r="B6" s="367"/>
      <c r="C6" s="3485" t="s">
        <v>2126</v>
      </c>
      <c r="D6" s="3486"/>
      <c r="E6" s="3492" t="s">
        <v>2126</v>
      </c>
      <c r="F6" s="3493"/>
      <c r="G6" s="3485" t="s">
        <v>2126</v>
      </c>
      <c r="H6" s="3486"/>
      <c r="I6" s="3485" t="s">
        <v>2126</v>
      </c>
      <c r="J6" s="3486"/>
      <c r="K6" s="567" t="s">
        <v>2127</v>
      </c>
      <c r="L6" s="2893"/>
      <c r="M6" s="2894"/>
      <c r="N6" s="2894"/>
      <c r="O6" s="2894"/>
      <c r="P6" s="3476"/>
      <c r="Q6" s="3477"/>
      <c r="R6" s="3480"/>
      <c r="S6" s="3481"/>
      <c r="T6" s="3482"/>
      <c r="U6" s="3483"/>
      <c r="V6" s="3484"/>
      <c r="W6" s="3484"/>
      <c r="X6" s="1490"/>
      <c r="Y6" s="3482"/>
      <c r="Z6" s="3483"/>
      <c r="AA6" s="3467"/>
      <c r="AB6" s="3484"/>
      <c r="AC6" s="3467"/>
    </row>
    <row r="7" spans="1:29" s="113" customFormat="1" ht="1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89" t="s">
        <v>2129</v>
      </c>
      <c r="Q7" s="3491"/>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4" t="s">
        <v>2135</v>
      </c>
      <c r="Q9" s="1478" t="str">
        <f t="shared" ref="Q9:Q15" si="6">B9</f>
        <v>用途</v>
      </c>
      <c r="R9" s="710" t="s">
        <v>17</v>
      </c>
      <c r="S9" s="711">
        <f t="shared" si="0"/>
        <v>100</v>
      </c>
      <c r="T9" s="710" t="s">
        <v>17</v>
      </c>
      <c r="U9" s="711">
        <f t="shared" si="1"/>
        <v>100</v>
      </c>
      <c r="V9" s="710" t="s">
        <v>17</v>
      </c>
      <c r="W9" s="711">
        <f t="shared" si="2"/>
        <v>100</v>
      </c>
      <c r="X9" s="712"/>
      <c r="Y9" s="3325"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4"/>
      <c r="Q10" s="1478" t="str">
        <f t="shared" si="6"/>
        <v>土地使用年限（年）</v>
      </c>
      <c r="R10" s="710" t="s">
        <v>17</v>
      </c>
      <c r="S10" s="711">
        <f t="shared" si="0"/>
        <v>100</v>
      </c>
      <c r="T10" s="710" t="s">
        <v>17</v>
      </c>
      <c r="U10" s="711">
        <f t="shared" si="1"/>
        <v>100</v>
      </c>
      <c r="V10" s="710" t="s">
        <v>17</v>
      </c>
      <c r="W10" s="711">
        <f t="shared" si="2"/>
        <v>100</v>
      </c>
      <c r="X10" s="712"/>
      <c r="Y10" s="332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4"/>
      <c r="Q11" s="1478" t="str">
        <f t="shared" si="6"/>
        <v>容积率</v>
      </c>
      <c r="R11" s="710" t="s">
        <v>17</v>
      </c>
      <c r="S11" s="711" t="e">
        <f t="shared" si="0"/>
        <v>#N/A</v>
      </c>
      <c r="T11" s="710" t="s">
        <v>17</v>
      </c>
      <c r="U11" s="711" t="e">
        <f t="shared" si="1"/>
        <v>#N/A</v>
      </c>
      <c r="V11" s="710" t="s">
        <v>17</v>
      </c>
      <c r="W11" s="711" t="e">
        <f t="shared" si="2"/>
        <v>#N/A</v>
      </c>
      <c r="X11" s="712"/>
      <c r="Y11" s="332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4"/>
      <c r="Q12" s="1478">
        <f t="shared" si="6"/>
        <v>111</v>
      </c>
      <c r="R12" s="710" t="s">
        <v>17</v>
      </c>
      <c r="S12" s="711">
        <f t="shared" si="0"/>
        <v>100</v>
      </c>
      <c r="T12" s="710" t="s">
        <v>17</v>
      </c>
      <c r="U12" s="711">
        <f t="shared" si="1"/>
        <v>100</v>
      </c>
      <c r="V12" s="710" t="s">
        <v>17</v>
      </c>
      <c r="W12" s="711">
        <f t="shared" si="2"/>
        <v>100</v>
      </c>
      <c r="X12" s="712"/>
      <c r="Y12" s="332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4"/>
      <c r="Q13" s="1478">
        <f t="shared" si="6"/>
        <v>111</v>
      </c>
      <c r="R13" s="710" t="s">
        <v>17</v>
      </c>
      <c r="S13" s="711">
        <f t="shared" si="0"/>
        <v>100</v>
      </c>
      <c r="T13" s="710" t="s">
        <v>17</v>
      </c>
      <c r="U13" s="711">
        <f t="shared" si="1"/>
        <v>100</v>
      </c>
      <c r="V13" s="710" t="s">
        <v>17</v>
      </c>
      <c r="W13" s="711">
        <f t="shared" si="2"/>
        <v>100</v>
      </c>
      <c r="X13" s="712"/>
      <c r="Y13" s="3325"/>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4"/>
      <c r="Q14" s="1478">
        <f t="shared" si="6"/>
        <v>111</v>
      </c>
      <c r="R14" s="710" t="s">
        <v>17</v>
      </c>
      <c r="S14" s="711">
        <f t="shared" si="0"/>
        <v>100</v>
      </c>
      <c r="T14" s="710" t="s">
        <v>17</v>
      </c>
      <c r="U14" s="711">
        <f t="shared" si="1"/>
        <v>100</v>
      </c>
      <c r="V14" s="710" t="s">
        <v>17</v>
      </c>
      <c r="W14" s="711">
        <f t="shared" si="2"/>
        <v>100</v>
      </c>
      <c r="X14" s="712"/>
      <c r="Y14" s="3325"/>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2" t="s">
        <v>2140</v>
      </c>
      <c r="Q15" s="1487" t="str">
        <f t="shared" si="6"/>
        <v>商业繁华度</v>
      </c>
      <c r="R15" s="714" t="s">
        <v>17</v>
      </c>
      <c r="S15" s="715">
        <f t="shared" si="0"/>
        <v>100</v>
      </c>
      <c r="T15" s="714" t="s">
        <v>17</v>
      </c>
      <c r="U15" s="715">
        <f t="shared" si="1"/>
        <v>100</v>
      </c>
      <c r="V15" s="714" t="s">
        <v>17</v>
      </c>
      <c r="W15" s="715">
        <f t="shared" si="2"/>
        <v>100</v>
      </c>
      <c r="X15" s="1490"/>
      <c r="Y15" s="3455"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63"/>
      <c r="Q16" s="1487"/>
      <c r="R16" s="714"/>
      <c r="S16" s="715"/>
      <c r="T16" s="714"/>
      <c r="U16" s="715"/>
      <c r="V16" s="714"/>
      <c r="W16" s="715"/>
      <c r="X16" s="1490"/>
      <c r="Y16" s="3456"/>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3"/>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63"/>
      <c r="Q18" s="1487"/>
      <c r="R18" s="714"/>
      <c r="S18" s="715"/>
      <c r="T18" s="714"/>
      <c r="U18" s="715"/>
      <c r="V18" s="714"/>
      <c r="W18" s="715"/>
      <c r="X18" s="1490"/>
      <c r="Y18" s="3456"/>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3"/>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63"/>
      <c r="Q20" s="1487"/>
      <c r="R20" s="714"/>
      <c r="S20" s="715"/>
      <c r="T20" s="714"/>
      <c r="U20" s="715"/>
      <c r="V20" s="714"/>
      <c r="W20" s="715"/>
      <c r="X20" s="1490"/>
      <c r="Y20" s="3456"/>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3"/>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63"/>
      <c r="Q22" s="1487"/>
      <c r="R22" s="714"/>
      <c r="S22" s="715"/>
      <c r="T22" s="714"/>
      <c r="U22" s="715"/>
      <c r="V22" s="714"/>
      <c r="W22" s="715"/>
      <c r="X22" s="1490"/>
      <c r="Y22" s="3456"/>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3"/>
      <c r="Q23" s="1487" t="str">
        <f>B23</f>
        <v>自然及人文环境</v>
      </c>
      <c r="R23" s="714" t="s">
        <v>17</v>
      </c>
      <c r="S23" s="715">
        <f>F23</f>
        <v>100</v>
      </c>
      <c r="T23" s="714" t="s">
        <v>17</v>
      </c>
      <c r="U23" s="715">
        <f>H23</f>
        <v>100</v>
      </c>
      <c r="V23" s="714" t="s">
        <v>17</v>
      </c>
      <c r="W23" s="715">
        <f>J23</f>
        <v>100</v>
      </c>
      <c r="X23" s="1490"/>
      <c r="Y23" s="345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63"/>
      <c r="Q24" s="1487"/>
      <c r="R24" s="714"/>
      <c r="S24" s="715"/>
      <c r="T24" s="714"/>
      <c r="U24" s="715"/>
      <c r="V24" s="714"/>
      <c r="W24" s="715"/>
      <c r="X24" s="1490"/>
      <c r="Y24" s="3456"/>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3"/>
      <c r="Q25" s="1487" t="str">
        <f t="shared" ref="Q25:Q46" si="11">B25</f>
        <v>临街状况</v>
      </c>
      <c r="R25" s="714" t="s">
        <v>17</v>
      </c>
      <c r="S25" s="715">
        <f>F25</f>
        <v>100</v>
      </c>
      <c r="T25" s="714" t="s">
        <v>17</v>
      </c>
      <c r="U25" s="715">
        <f>H25</f>
        <v>100</v>
      </c>
      <c r="V25" s="714" t="s">
        <v>17</v>
      </c>
      <c r="W25" s="715">
        <f>J25</f>
        <v>100</v>
      </c>
      <c r="X25" s="1490"/>
      <c r="Y25" s="3456"/>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3"/>
      <c r="Q26" s="1487" t="str">
        <f t="shared" si="11"/>
        <v>平面位置/可视性</v>
      </c>
      <c r="R26" s="714" t="s">
        <v>17</v>
      </c>
      <c r="S26" s="715">
        <f>F26</f>
        <v>100</v>
      </c>
      <c r="T26" s="714" t="s">
        <v>17</v>
      </c>
      <c r="U26" s="715">
        <f>H26</f>
        <v>100</v>
      </c>
      <c r="V26" s="714" t="s">
        <v>17</v>
      </c>
      <c r="W26" s="715">
        <f>J26</f>
        <v>100</v>
      </c>
      <c r="X26" s="1490"/>
      <c r="Y26" s="3456"/>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63"/>
      <c r="Q27" s="1478" t="str">
        <f t="shared" si="11"/>
        <v>人流量</v>
      </c>
      <c r="R27" s="710" t="s">
        <v>17</v>
      </c>
      <c r="S27" s="711">
        <f>F27</f>
        <v>100</v>
      </c>
      <c r="T27" s="710" t="s">
        <v>17</v>
      </c>
      <c r="U27" s="711">
        <f>H27</f>
        <v>100</v>
      </c>
      <c r="V27" s="710" t="s">
        <v>17</v>
      </c>
      <c r="W27" s="711">
        <f>J27</f>
        <v>100</v>
      </c>
      <c r="X27" s="712"/>
      <c r="Y27" s="3456"/>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3"/>
      <c r="Q29" s="1487">
        <f t="shared" si="11"/>
        <v>111</v>
      </c>
      <c r="R29" s="714" t="s">
        <v>17</v>
      </c>
      <c r="S29" s="715">
        <f t="shared" si="12"/>
        <v>100</v>
      </c>
      <c r="T29" s="714" t="s">
        <v>17</v>
      </c>
      <c r="U29" s="715">
        <f t="shared" si="13"/>
        <v>100</v>
      </c>
      <c r="V29" s="714" t="s">
        <v>17</v>
      </c>
      <c r="W29" s="715">
        <f t="shared" si="14"/>
        <v>100</v>
      </c>
      <c r="X29" s="1490"/>
      <c r="Y29" s="345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3"/>
      <c r="Q30" s="1487">
        <f t="shared" si="11"/>
        <v>111</v>
      </c>
      <c r="R30" s="714" t="s">
        <v>17</v>
      </c>
      <c r="S30" s="715">
        <f t="shared" si="12"/>
        <v>100</v>
      </c>
      <c r="T30" s="714" t="s">
        <v>17</v>
      </c>
      <c r="U30" s="715">
        <f t="shared" si="13"/>
        <v>100</v>
      </c>
      <c r="V30" s="714" t="s">
        <v>17</v>
      </c>
      <c r="W30" s="715">
        <f t="shared" si="14"/>
        <v>100</v>
      </c>
      <c r="X30" s="1490"/>
      <c r="Y30" s="3456"/>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3"/>
      <c r="Q31" s="1487">
        <f t="shared" si="11"/>
        <v>111</v>
      </c>
      <c r="R31" s="714" t="s">
        <v>17</v>
      </c>
      <c r="S31" s="715">
        <f t="shared" si="12"/>
        <v>100</v>
      </c>
      <c r="T31" s="714" t="s">
        <v>17</v>
      </c>
      <c r="U31" s="715">
        <f t="shared" si="13"/>
        <v>100</v>
      </c>
      <c r="V31" s="714" t="s">
        <v>17</v>
      </c>
      <c r="W31" s="715">
        <f t="shared" si="14"/>
        <v>100</v>
      </c>
      <c r="X31" s="1490"/>
      <c r="Y31" s="3456"/>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57" t="s">
        <v>2145</v>
      </c>
      <c r="Q32" s="1487" t="str">
        <f t="shared" si="11"/>
        <v>商业类型</v>
      </c>
      <c r="R32" s="714" t="s">
        <v>17</v>
      </c>
      <c r="S32" s="715">
        <f t="shared" si="12"/>
        <v>100</v>
      </c>
      <c r="T32" s="714" t="s">
        <v>17</v>
      </c>
      <c r="U32" s="715">
        <f t="shared" si="13"/>
        <v>100</v>
      </c>
      <c r="V32" s="714" t="s">
        <v>17</v>
      </c>
      <c r="W32" s="715">
        <f t="shared" si="14"/>
        <v>100</v>
      </c>
      <c r="X32" s="1490"/>
      <c r="Y32" s="346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58"/>
      <c r="Q33" s="716" t="str">
        <f t="shared" si="11"/>
        <v>项目建筑规模</v>
      </c>
      <c r="R33" s="717" t="s">
        <v>17</v>
      </c>
      <c r="S33" s="718" t="e">
        <f t="shared" si="12"/>
        <v>#N/A</v>
      </c>
      <c r="T33" s="717" t="s">
        <v>17</v>
      </c>
      <c r="U33" s="718" t="e">
        <f t="shared" si="13"/>
        <v>#N/A</v>
      </c>
      <c r="V33" s="717" t="s">
        <v>17</v>
      </c>
      <c r="W33" s="718" t="e">
        <f t="shared" si="14"/>
        <v>#N/A</v>
      </c>
      <c r="X33" s="719"/>
      <c r="Y33" s="3460"/>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58"/>
      <c r="Q34" s="1487" t="str">
        <f t="shared" si="11"/>
        <v>建筑结构</v>
      </c>
      <c r="R34" s="714" t="s">
        <v>17</v>
      </c>
      <c r="S34" s="715">
        <f t="shared" si="12"/>
        <v>100</v>
      </c>
      <c r="T34" s="714" t="s">
        <v>17</v>
      </c>
      <c r="U34" s="715">
        <f t="shared" si="13"/>
        <v>100</v>
      </c>
      <c r="V34" s="714" t="s">
        <v>17</v>
      </c>
      <c r="W34" s="715">
        <f t="shared" si="14"/>
        <v>100</v>
      </c>
      <c r="X34" s="1490"/>
      <c r="Y34" s="3460"/>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58"/>
      <c r="Q35" s="1487" t="str">
        <f t="shared" si="11"/>
        <v>公共部分装修</v>
      </c>
      <c r="R35" s="714" t="s">
        <v>17</v>
      </c>
      <c r="S35" s="715">
        <f t="shared" si="12"/>
        <v>100</v>
      </c>
      <c r="T35" s="714" t="s">
        <v>17</v>
      </c>
      <c r="U35" s="715">
        <f t="shared" si="13"/>
        <v>100</v>
      </c>
      <c r="V35" s="714" t="s">
        <v>17</v>
      </c>
      <c r="W35" s="715">
        <f t="shared" si="14"/>
        <v>100</v>
      </c>
      <c r="X35" s="1490"/>
      <c r="Y35" s="346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58"/>
      <c r="Q36" s="1487" t="str">
        <f t="shared" si="11"/>
        <v>成新度</v>
      </c>
      <c r="R36" s="714" t="s">
        <v>17</v>
      </c>
      <c r="S36" s="715" t="e">
        <f t="shared" si="12"/>
        <v>#N/A</v>
      </c>
      <c r="T36" s="714" t="s">
        <v>17</v>
      </c>
      <c r="U36" s="715" t="e">
        <f t="shared" si="13"/>
        <v>#N/A</v>
      </c>
      <c r="V36" s="714" t="s">
        <v>17</v>
      </c>
      <c r="W36" s="715" t="e">
        <f t="shared" si="14"/>
        <v>#N/A</v>
      </c>
      <c r="X36" s="1490"/>
      <c r="Y36" s="3460"/>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58"/>
      <c r="Q37" s="1478" t="str">
        <f t="shared" si="11"/>
        <v>市政基础设施</v>
      </c>
      <c r="R37" s="710" t="s">
        <v>17</v>
      </c>
      <c r="S37" s="711">
        <f t="shared" si="12"/>
        <v>100</v>
      </c>
      <c r="T37" s="710" t="s">
        <v>17</v>
      </c>
      <c r="U37" s="711">
        <f t="shared" si="13"/>
        <v>100</v>
      </c>
      <c r="V37" s="710" t="s">
        <v>17</v>
      </c>
      <c r="W37" s="711">
        <f t="shared" si="14"/>
        <v>100</v>
      </c>
      <c r="X37" s="712"/>
      <c r="Y37" s="3460"/>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58" t="s">
        <v>2145</v>
      </c>
      <c r="Q38" s="1487" t="str">
        <f t="shared" si="11"/>
        <v>业态</v>
      </c>
      <c r="R38" s="714" t="s">
        <v>17</v>
      </c>
      <c r="S38" s="715">
        <f t="shared" si="12"/>
        <v>100</v>
      </c>
      <c r="T38" s="714" t="s">
        <v>17</v>
      </c>
      <c r="U38" s="715">
        <f t="shared" si="13"/>
        <v>100</v>
      </c>
      <c r="V38" s="714" t="s">
        <v>17</v>
      </c>
      <c r="W38" s="715">
        <f t="shared" si="14"/>
        <v>100</v>
      </c>
      <c r="X38" s="1490"/>
      <c r="Y38" s="3460"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58"/>
      <c r="Q39" s="1487" t="str">
        <f t="shared" si="11"/>
        <v>层高</v>
      </c>
      <c r="R39" s="714" t="s">
        <v>17</v>
      </c>
      <c r="S39" s="715">
        <f t="shared" si="12"/>
        <v>100</v>
      </c>
      <c r="T39" s="714" t="s">
        <v>17</v>
      </c>
      <c r="U39" s="715">
        <f t="shared" si="13"/>
        <v>100</v>
      </c>
      <c r="V39" s="714" t="s">
        <v>17</v>
      </c>
      <c r="W39" s="715">
        <f t="shared" si="14"/>
        <v>100</v>
      </c>
      <c r="X39" s="1490"/>
      <c r="Y39" s="346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58"/>
      <c r="Q40" s="1487" t="str">
        <f t="shared" si="11"/>
        <v>单套建筑面积</v>
      </c>
      <c r="R40" s="714" t="s">
        <v>17</v>
      </c>
      <c r="S40" s="715">
        <f t="shared" si="12"/>
        <v>100</v>
      </c>
      <c r="T40" s="714" t="s">
        <v>17</v>
      </c>
      <c r="U40" s="715">
        <f t="shared" si="13"/>
        <v>100</v>
      </c>
      <c r="V40" s="714" t="s">
        <v>17</v>
      </c>
      <c r="W40" s="715">
        <f t="shared" si="14"/>
        <v>100</v>
      </c>
      <c r="X40" s="1490"/>
      <c r="Y40" s="346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58"/>
      <c r="Q41" s="716" t="str">
        <f t="shared" si="11"/>
        <v>进深比</v>
      </c>
      <c r="R41" s="717" t="s">
        <v>17</v>
      </c>
      <c r="S41" s="718">
        <f t="shared" si="12"/>
        <v>100</v>
      </c>
      <c r="T41" s="717" t="s">
        <v>17</v>
      </c>
      <c r="U41" s="718">
        <f t="shared" si="13"/>
        <v>100</v>
      </c>
      <c r="V41" s="717" t="s">
        <v>17</v>
      </c>
      <c r="W41" s="718">
        <f t="shared" si="14"/>
        <v>100</v>
      </c>
      <c r="X41" s="719"/>
      <c r="Y41" s="3460"/>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58"/>
      <c r="Q42" s="1487" t="str">
        <f t="shared" si="11"/>
        <v>内部装修</v>
      </c>
      <c r="R42" s="714" t="s">
        <v>17</v>
      </c>
      <c r="S42" s="715">
        <f t="shared" si="12"/>
        <v>100</v>
      </c>
      <c r="T42" s="714" t="s">
        <v>17</v>
      </c>
      <c r="U42" s="715">
        <f t="shared" si="13"/>
        <v>100</v>
      </c>
      <c r="V42" s="714" t="s">
        <v>17</v>
      </c>
      <c r="W42" s="715">
        <f t="shared" si="14"/>
        <v>100</v>
      </c>
      <c r="X42" s="1490"/>
      <c r="Y42" s="3460"/>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58"/>
      <c r="Q43" s="1487" t="str">
        <f t="shared" si="11"/>
        <v>内部装修维护情况</v>
      </c>
      <c r="R43" s="714" t="s">
        <v>17</v>
      </c>
      <c r="S43" s="715">
        <f t="shared" si="12"/>
        <v>100</v>
      </c>
      <c r="T43" s="714" t="s">
        <v>17</v>
      </c>
      <c r="U43" s="715">
        <f t="shared" si="13"/>
        <v>100</v>
      </c>
      <c r="V43" s="714" t="s">
        <v>17</v>
      </c>
      <c r="W43" s="715">
        <f t="shared" si="14"/>
        <v>100</v>
      </c>
      <c r="X43" s="1490"/>
      <c r="Y43" s="346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58"/>
      <c r="Q44" s="1478">
        <f t="shared" si="11"/>
        <v>111</v>
      </c>
      <c r="R44" s="710" t="s">
        <v>17</v>
      </c>
      <c r="S44" s="711">
        <f t="shared" si="12"/>
        <v>100</v>
      </c>
      <c r="T44" s="710" t="s">
        <v>17</v>
      </c>
      <c r="U44" s="711">
        <f t="shared" si="13"/>
        <v>100</v>
      </c>
      <c r="V44" s="710" t="s">
        <v>17</v>
      </c>
      <c r="W44" s="711">
        <f t="shared" si="14"/>
        <v>100</v>
      </c>
      <c r="X44" s="712"/>
      <c r="Y44" s="346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58"/>
      <c r="Q45" s="1487">
        <f t="shared" si="11"/>
        <v>111</v>
      </c>
      <c r="R45" s="714" t="s">
        <v>17</v>
      </c>
      <c r="S45" s="715">
        <f t="shared" si="12"/>
        <v>100</v>
      </c>
      <c r="T45" s="714" t="s">
        <v>17</v>
      </c>
      <c r="U45" s="715">
        <f t="shared" si="13"/>
        <v>100</v>
      </c>
      <c r="V45" s="714" t="s">
        <v>17</v>
      </c>
      <c r="W45" s="715">
        <f t="shared" si="14"/>
        <v>100</v>
      </c>
      <c r="X45" s="1490"/>
      <c r="Y45" s="3460"/>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59"/>
      <c r="Q46" s="1487">
        <f t="shared" si="11"/>
        <v>111</v>
      </c>
      <c r="R46" s="714" t="s">
        <v>17</v>
      </c>
      <c r="S46" s="715">
        <f t="shared" si="12"/>
        <v>100</v>
      </c>
      <c r="T46" s="714" t="s">
        <v>17</v>
      </c>
      <c r="U46" s="715">
        <f t="shared" si="13"/>
        <v>100</v>
      </c>
      <c r="V46" s="714" t="s">
        <v>17</v>
      </c>
      <c r="W46" s="715">
        <f t="shared" si="14"/>
        <v>100</v>
      </c>
      <c r="X46" s="1490"/>
      <c r="Y46" s="3461"/>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2"/>
      <c r="M47" s="2903"/>
      <c r="N47" s="2894"/>
      <c r="O47" s="2903"/>
      <c r="P47" s="3453" t="str">
        <f>A47</f>
        <v>成交单价（元/平方米）</v>
      </c>
      <c r="Q47" s="3453"/>
      <c r="R47" s="3484">
        <f>E47</f>
        <v>0</v>
      </c>
      <c r="S47" s="3484"/>
      <c r="T47" s="3484">
        <f>G47</f>
        <v>0</v>
      </c>
      <c r="U47" s="3484"/>
      <c r="V47" s="3484">
        <f>I47</f>
        <v>0</v>
      </c>
      <c r="W47" s="3484"/>
      <c r="X47" s="699"/>
      <c r="Y47" s="721"/>
      <c r="Z47" s="699"/>
      <c r="AA47" s="699"/>
      <c r="AB47" s="699"/>
      <c r="AC47" s="699"/>
    </row>
    <row r="48" spans="1:29" ht="1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2"/>
      <c r="M49" s="2903"/>
      <c r="N49" s="2894"/>
      <c r="O49" s="2903"/>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2.2"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4.4">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4.4">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4.4"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4.4">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4.4"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4.4"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4.4"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4.4"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4.4"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4.4"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4.4"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4.4">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4.4"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4.4"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4.4"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4.4"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4.4"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4.4"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4.4"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4.4"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4.4"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4.4"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4.4"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4.4">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4.4"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4.4"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4.4"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4.4"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4.4"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4.4"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4.4"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4.4"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4.4">
      <c r="A4" s="361" t="s">
        <v>2225</v>
      </c>
      <c r="B4" s="362"/>
      <c r="C4" s="3468" t="s">
        <v>2226</v>
      </c>
      <c r="D4" s="3469"/>
      <c r="E4" s="3470" t="s">
        <v>2227</v>
      </c>
      <c r="F4" s="3471"/>
      <c r="G4" s="3468" t="s">
        <v>2228</v>
      </c>
      <c r="H4" s="3469"/>
      <c r="I4" s="3468" t="s">
        <v>2229</v>
      </c>
      <c r="J4" s="3469"/>
      <c r="K4" s="567" t="s">
        <v>2230</v>
      </c>
      <c r="L4" s="2893"/>
      <c r="M4" s="2894"/>
      <c r="N4" s="2894"/>
      <c r="O4" s="2894"/>
      <c r="P4" s="3502" t="s">
        <v>2231</v>
      </c>
      <c r="Q4" s="3503"/>
      <c r="R4" s="3506" t="s">
        <v>2227</v>
      </c>
      <c r="S4" s="3507"/>
      <c r="T4" s="3506" t="s">
        <v>2228</v>
      </c>
      <c r="U4" s="3507"/>
      <c r="V4" s="3508" t="s">
        <v>2229</v>
      </c>
      <c r="W4" s="3508"/>
      <c r="X4" s="2095"/>
      <c r="Y4" s="3506" t="s">
        <v>2231</v>
      </c>
      <c r="Z4" s="3507"/>
      <c r="AA4" s="3510" t="s">
        <v>2227</v>
      </c>
      <c r="AB4" s="3510" t="s">
        <v>2228</v>
      </c>
      <c r="AC4" s="3499" t="s">
        <v>2229</v>
      </c>
    </row>
    <row r="5" spans="1:29">
      <c r="A5" s="364"/>
      <c r="B5" s="365"/>
      <c r="C5" s="3487" t="s">
        <v>2122</v>
      </c>
      <c r="D5" s="3488"/>
      <c r="E5" s="3494" t="s">
        <v>2123</v>
      </c>
      <c r="F5" s="3495"/>
      <c r="G5" s="3487" t="s">
        <v>2124</v>
      </c>
      <c r="H5" s="3488"/>
      <c r="I5" s="3487" t="s">
        <v>2125</v>
      </c>
      <c r="J5" s="3488"/>
      <c r="K5" s="567"/>
      <c r="L5" s="2893"/>
      <c r="M5" s="2894"/>
      <c r="N5" s="2894"/>
      <c r="O5" s="2894"/>
      <c r="P5" s="3504"/>
      <c r="Q5" s="3475"/>
      <c r="R5" s="3480"/>
      <c r="S5" s="3481"/>
      <c r="T5" s="3480"/>
      <c r="U5" s="3481"/>
      <c r="V5" s="3484"/>
      <c r="W5" s="3484"/>
      <c r="X5" s="1490"/>
      <c r="Y5" s="3480"/>
      <c r="Z5" s="3481"/>
      <c r="AA5" s="3466"/>
      <c r="AB5" s="3466"/>
      <c r="AC5" s="3500"/>
    </row>
    <row r="6" spans="1:29" ht="15" thickBot="1">
      <c r="A6" s="366"/>
      <c r="B6" s="367"/>
      <c r="C6" s="3485" t="s">
        <v>2126</v>
      </c>
      <c r="D6" s="3486"/>
      <c r="E6" s="3492" t="s">
        <v>2126</v>
      </c>
      <c r="F6" s="3493"/>
      <c r="G6" s="3485" t="s">
        <v>2126</v>
      </c>
      <c r="H6" s="3486"/>
      <c r="I6" s="3485" t="s">
        <v>2126</v>
      </c>
      <c r="J6" s="3486"/>
      <c r="K6" s="567" t="s">
        <v>2127</v>
      </c>
      <c r="L6" s="2893"/>
      <c r="M6" s="2894"/>
      <c r="N6" s="2894"/>
      <c r="O6" s="2894"/>
      <c r="P6" s="3505"/>
      <c r="Q6" s="3477"/>
      <c r="R6" s="3480"/>
      <c r="S6" s="3481"/>
      <c r="T6" s="3482"/>
      <c r="U6" s="3483"/>
      <c r="V6" s="3484"/>
      <c r="W6" s="3484"/>
      <c r="X6" s="1490"/>
      <c r="Y6" s="3482"/>
      <c r="Z6" s="3483"/>
      <c r="AA6" s="3467"/>
      <c r="AB6" s="3467"/>
      <c r="AC6" s="3501"/>
    </row>
    <row r="7" spans="1:29" s="113" customFormat="1" ht="15" thickBot="1">
      <c r="A7" s="368" t="s">
        <v>2128</v>
      </c>
      <c r="B7" s="369"/>
      <c r="C7" s="370">
        <f>'数据-取费表'!B2</f>
        <v>44782</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09" t="s">
        <v>2129</v>
      </c>
      <c r="Q7" s="3491"/>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09" t="s">
        <v>2132</v>
      </c>
      <c r="Q8" s="3490"/>
      <c r="R8" s="710" t="s">
        <v>17</v>
      </c>
      <c r="S8" s="711">
        <f t="shared" si="0"/>
        <v>0</v>
      </c>
      <c r="T8" s="710" t="s">
        <v>17</v>
      </c>
      <c r="U8" s="711">
        <f t="shared" si="1"/>
        <v>0</v>
      </c>
      <c r="V8" s="710" t="s">
        <v>17</v>
      </c>
      <c r="W8" s="711">
        <f t="shared" si="2"/>
        <v>0</v>
      </c>
      <c r="X8" s="712"/>
      <c r="Y8" s="3489" t="s">
        <v>2132</v>
      </c>
      <c r="Z8" s="3490"/>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4" t="s">
        <v>2135</v>
      </c>
      <c r="Q9" s="1478" t="str">
        <f t="shared" ref="Q9:Q15" si="6">B9</f>
        <v>用途</v>
      </c>
      <c r="R9" s="710" t="s">
        <v>17</v>
      </c>
      <c r="S9" s="711">
        <f t="shared" si="0"/>
        <v>100</v>
      </c>
      <c r="T9" s="710" t="s">
        <v>17</v>
      </c>
      <c r="U9" s="711">
        <f t="shared" si="1"/>
        <v>100</v>
      </c>
      <c r="V9" s="710" t="s">
        <v>17</v>
      </c>
      <c r="W9" s="711">
        <f t="shared" si="2"/>
        <v>100</v>
      </c>
      <c r="X9" s="712"/>
      <c r="Y9" s="3325"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4"/>
      <c r="Q10" s="1478" t="str">
        <f t="shared" si="6"/>
        <v>土地使用年限（年）</v>
      </c>
      <c r="R10" s="710" t="s">
        <v>17</v>
      </c>
      <c r="S10" s="711">
        <f t="shared" si="0"/>
        <v>100</v>
      </c>
      <c r="T10" s="710" t="s">
        <v>17</v>
      </c>
      <c r="U10" s="711">
        <f t="shared" si="1"/>
        <v>100</v>
      </c>
      <c r="V10" s="710" t="s">
        <v>17</v>
      </c>
      <c r="W10" s="711">
        <f t="shared" si="2"/>
        <v>100</v>
      </c>
      <c r="X10" s="712"/>
      <c r="Y10" s="3325"/>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4"/>
      <c r="Q11" s="1478" t="str">
        <f t="shared" si="6"/>
        <v>容积率</v>
      </c>
      <c r="R11" s="710" t="s">
        <v>17</v>
      </c>
      <c r="S11" s="711" t="e">
        <f t="shared" si="0"/>
        <v>#N/A</v>
      </c>
      <c r="T11" s="710" t="s">
        <v>17</v>
      </c>
      <c r="U11" s="711" t="e">
        <f t="shared" si="1"/>
        <v>#N/A</v>
      </c>
      <c r="V11" s="710" t="s">
        <v>17</v>
      </c>
      <c r="W11" s="711" t="e">
        <f t="shared" si="2"/>
        <v>#N/A</v>
      </c>
      <c r="X11" s="712"/>
      <c r="Y11" s="3325"/>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4"/>
      <c r="Q12" s="1478">
        <f t="shared" si="6"/>
        <v>111</v>
      </c>
      <c r="R12" s="710" t="s">
        <v>17</v>
      </c>
      <c r="S12" s="711">
        <f t="shared" si="0"/>
        <v>100</v>
      </c>
      <c r="T12" s="710" t="s">
        <v>17</v>
      </c>
      <c r="U12" s="711">
        <f t="shared" si="1"/>
        <v>100</v>
      </c>
      <c r="V12" s="710" t="s">
        <v>17</v>
      </c>
      <c r="W12" s="711">
        <f t="shared" si="2"/>
        <v>100</v>
      </c>
      <c r="X12" s="712"/>
      <c r="Y12" s="3325"/>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4"/>
      <c r="Q13" s="1478">
        <f t="shared" si="6"/>
        <v>111</v>
      </c>
      <c r="R13" s="710" t="s">
        <v>17</v>
      </c>
      <c r="S13" s="711">
        <f t="shared" si="0"/>
        <v>100</v>
      </c>
      <c r="T13" s="710" t="s">
        <v>17</v>
      </c>
      <c r="U13" s="711">
        <f t="shared" si="1"/>
        <v>100</v>
      </c>
      <c r="V13" s="710" t="s">
        <v>17</v>
      </c>
      <c r="W13" s="711">
        <f t="shared" si="2"/>
        <v>100</v>
      </c>
      <c r="X13" s="712"/>
      <c r="Y13" s="3325"/>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4"/>
      <c r="Q14" s="1478">
        <f t="shared" si="6"/>
        <v>111</v>
      </c>
      <c r="R14" s="710" t="s">
        <v>17</v>
      </c>
      <c r="S14" s="711">
        <f t="shared" si="0"/>
        <v>100</v>
      </c>
      <c r="T14" s="710" t="s">
        <v>17</v>
      </c>
      <c r="U14" s="711">
        <f t="shared" si="1"/>
        <v>100</v>
      </c>
      <c r="V14" s="710" t="s">
        <v>17</v>
      </c>
      <c r="W14" s="711">
        <f t="shared" si="2"/>
        <v>100</v>
      </c>
      <c r="X14" s="712"/>
      <c r="Y14" s="3325"/>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2" t="s">
        <v>2140</v>
      </c>
      <c r="Q15" s="1487" t="str">
        <f t="shared" si="6"/>
        <v>办公集聚程度</v>
      </c>
      <c r="R15" s="714" t="s">
        <v>17</v>
      </c>
      <c r="S15" s="715">
        <f t="shared" si="0"/>
        <v>100</v>
      </c>
      <c r="T15" s="714" t="s">
        <v>17</v>
      </c>
      <c r="U15" s="715">
        <f t="shared" si="1"/>
        <v>100</v>
      </c>
      <c r="V15" s="714" t="s">
        <v>17</v>
      </c>
      <c r="W15" s="715">
        <f t="shared" si="2"/>
        <v>100</v>
      </c>
      <c r="X15" s="1490"/>
      <c r="Y15" s="3455"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63"/>
      <c r="Q16" s="1487"/>
      <c r="R16" s="714"/>
      <c r="S16" s="715"/>
      <c r="T16" s="714"/>
      <c r="U16" s="715"/>
      <c r="V16" s="714"/>
      <c r="W16" s="715"/>
      <c r="X16" s="1490"/>
      <c r="Y16" s="3456"/>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3"/>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63"/>
      <c r="Q18" s="1487"/>
      <c r="R18" s="714"/>
      <c r="S18" s="715"/>
      <c r="T18" s="714"/>
      <c r="U18" s="715"/>
      <c r="V18" s="714"/>
      <c r="W18" s="715"/>
      <c r="X18" s="1490"/>
      <c r="Y18" s="3456"/>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3"/>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63"/>
      <c r="Q20" s="1487"/>
      <c r="R20" s="714"/>
      <c r="S20" s="715"/>
      <c r="T20" s="714"/>
      <c r="U20" s="715"/>
      <c r="V20" s="714"/>
      <c r="W20" s="715"/>
      <c r="X20" s="1490"/>
      <c r="Y20" s="3456"/>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3"/>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63"/>
      <c r="Q22" s="1487"/>
      <c r="R22" s="714"/>
      <c r="S22" s="715"/>
      <c r="T22" s="714"/>
      <c r="U22" s="715"/>
      <c r="V22" s="714"/>
      <c r="W22" s="715"/>
      <c r="X22" s="1490"/>
      <c r="Y22" s="3456"/>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3"/>
      <c r="Q23" s="1487" t="str">
        <f>B23</f>
        <v>环境质量</v>
      </c>
      <c r="R23" s="714" t="s">
        <v>17</v>
      </c>
      <c r="S23" s="715">
        <f>F23</f>
        <v>100</v>
      </c>
      <c r="T23" s="714" t="s">
        <v>17</v>
      </c>
      <c r="U23" s="715">
        <f>H23</f>
        <v>100</v>
      </c>
      <c r="V23" s="714" t="s">
        <v>17</v>
      </c>
      <c r="W23" s="715">
        <f>J23</f>
        <v>100</v>
      </c>
      <c r="X23" s="1490"/>
      <c r="Y23" s="345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63"/>
      <c r="Q24" s="1487"/>
      <c r="R24" s="714"/>
      <c r="S24" s="715"/>
      <c r="T24" s="714"/>
      <c r="U24" s="715"/>
      <c r="V24" s="714"/>
      <c r="W24" s="715"/>
      <c r="X24" s="1490"/>
      <c r="Y24" s="3456"/>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63"/>
      <c r="Q25" s="1487" t="str">
        <f>B25</f>
        <v>毗邻道路的类型与等级</v>
      </c>
      <c r="R25" s="714" t="s">
        <v>17</v>
      </c>
      <c r="S25" s="715">
        <f>F25</f>
        <v>100</v>
      </c>
      <c r="T25" s="714" t="s">
        <v>17</v>
      </c>
      <c r="U25" s="715">
        <f>H25</f>
        <v>100</v>
      </c>
      <c r="V25" s="714" t="s">
        <v>17</v>
      </c>
      <c r="W25" s="715">
        <f>J25</f>
        <v>100</v>
      </c>
      <c r="X25" s="1490"/>
      <c r="Y25" s="345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63"/>
      <c r="Q26" s="1487"/>
      <c r="R26" s="714"/>
      <c r="S26" s="715"/>
      <c r="T26" s="714"/>
      <c r="U26" s="715"/>
      <c r="V26" s="714"/>
      <c r="W26" s="715"/>
      <c r="X26" s="1490"/>
      <c r="Y26" s="3456"/>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63"/>
      <c r="Q27" s="1487" t="str">
        <f t="shared" ref="Q27:Q47" si="11">B27</f>
        <v>楼层</v>
      </c>
      <c r="R27" s="714" t="s">
        <v>17</v>
      </c>
      <c r="S27" s="715">
        <f>F27</f>
        <v>100</v>
      </c>
      <c r="T27" s="714" t="s">
        <v>17</v>
      </c>
      <c r="U27" s="715">
        <f>H27</f>
        <v>100</v>
      </c>
      <c r="V27" s="714" t="s">
        <v>17</v>
      </c>
      <c r="W27" s="715">
        <f>J27</f>
        <v>100</v>
      </c>
      <c r="X27" s="1490"/>
      <c r="Y27" s="3456"/>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63"/>
      <c r="Q28" s="1478" t="str">
        <f t="shared" si="11"/>
        <v>朝向</v>
      </c>
      <c r="R28" s="710" t="s">
        <v>17</v>
      </c>
      <c r="S28" s="711">
        <f>F28</f>
        <v>100</v>
      </c>
      <c r="T28" s="710" t="s">
        <v>17</v>
      </c>
      <c r="U28" s="711">
        <f>H28</f>
        <v>100</v>
      </c>
      <c r="V28" s="710" t="s">
        <v>17</v>
      </c>
      <c r="W28" s="711">
        <f>J28</f>
        <v>100</v>
      </c>
      <c r="X28" s="712"/>
      <c r="Y28" s="345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63"/>
      <c r="Q29" s="1487">
        <f t="shared" si="11"/>
        <v>111</v>
      </c>
      <c r="R29" s="714" t="s">
        <v>17</v>
      </c>
      <c r="S29" s="715">
        <f t="shared" ref="S29:S47" si="12">F29</f>
        <v>100</v>
      </c>
      <c r="T29" s="714" t="s">
        <v>17</v>
      </c>
      <c r="U29" s="715">
        <f t="shared" ref="U29:U47" si="13">H29</f>
        <v>100</v>
      </c>
      <c r="V29" s="714" t="s">
        <v>17</v>
      </c>
      <c r="W29" s="715">
        <f t="shared" ref="W29:W47" si="14">J29</f>
        <v>100</v>
      </c>
      <c r="X29" s="1490"/>
      <c r="Y29" s="345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63"/>
      <c r="Q30" s="1487">
        <f t="shared" si="11"/>
        <v>111</v>
      </c>
      <c r="R30" s="714" t="s">
        <v>17</v>
      </c>
      <c r="S30" s="715">
        <f t="shared" si="12"/>
        <v>100</v>
      </c>
      <c r="T30" s="714" t="s">
        <v>17</v>
      </c>
      <c r="U30" s="715">
        <f t="shared" si="13"/>
        <v>100</v>
      </c>
      <c r="V30" s="714" t="s">
        <v>17</v>
      </c>
      <c r="W30" s="715">
        <f t="shared" si="14"/>
        <v>100</v>
      </c>
      <c r="X30" s="1490"/>
      <c r="Y30" s="345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63"/>
      <c r="Q31" s="1487">
        <f t="shared" si="11"/>
        <v>111</v>
      </c>
      <c r="R31" s="714" t="s">
        <v>17</v>
      </c>
      <c r="S31" s="715">
        <f t="shared" si="12"/>
        <v>100</v>
      </c>
      <c r="T31" s="714" t="s">
        <v>17</v>
      </c>
      <c r="U31" s="715">
        <f t="shared" si="13"/>
        <v>100</v>
      </c>
      <c r="V31" s="714" t="s">
        <v>17</v>
      </c>
      <c r="W31" s="715">
        <f t="shared" si="14"/>
        <v>100</v>
      </c>
      <c r="X31" s="1490"/>
      <c r="Y31" s="3456"/>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63"/>
      <c r="Q32" s="1487">
        <f t="shared" si="11"/>
        <v>111</v>
      </c>
      <c r="R32" s="714" t="s">
        <v>17</v>
      </c>
      <c r="S32" s="715">
        <f t="shared" si="12"/>
        <v>100</v>
      </c>
      <c r="T32" s="714" t="s">
        <v>17</v>
      </c>
      <c r="U32" s="715">
        <f t="shared" si="13"/>
        <v>100</v>
      </c>
      <c r="V32" s="714" t="s">
        <v>17</v>
      </c>
      <c r="W32" s="715">
        <f t="shared" si="14"/>
        <v>100</v>
      </c>
      <c r="X32" s="1490"/>
      <c r="Y32" s="3456"/>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57" t="s">
        <v>2145</v>
      </c>
      <c r="Q33" s="1487" t="str">
        <f t="shared" si="11"/>
        <v>建筑类型</v>
      </c>
      <c r="R33" s="714" t="s">
        <v>17</v>
      </c>
      <c r="S33" s="715">
        <f t="shared" si="12"/>
        <v>100</v>
      </c>
      <c r="T33" s="714" t="s">
        <v>17</v>
      </c>
      <c r="U33" s="715">
        <f t="shared" si="13"/>
        <v>100</v>
      </c>
      <c r="V33" s="714" t="s">
        <v>17</v>
      </c>
      <c r="W33" s="715">
        <f t="shared" si="14"/>
        <v>100</v>
      </c>
      <c r="X33" s="1490"/>
      <c r="Y33" s="3460"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58"/>
      <c r="Q34" s="716" t="str">
        <f t="shared" si="11"/>
        <v>项目建筑规模</v>
      </c>
      <c r="R34" s="717" t="s">
        <v>17</v>
      </c>
      <c r="S34" s="718" t="e">
        <f t="shared" si="12"/>
        <v>#N/A</v>
      </c>
      <c r="T34" s="717" t="s">
        <v>17</v>
      </c>
      <c r="U34" s="718" t="e">
        <f t="shared" si="13"/>
        <v>#N/A</v>
      </c>
      <c r="V34" s="717" t="s">
        <v>17</v>
      </c>
      <c r="W34" s="718" t="e">
        <f t="shared" si="14"/>
        <v>#N/A</v>
      </c>
      <c r="X34" s="719"/>
      <c r="Y34" s="3460"/>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58"/>
      <c r="Q35" s="1487" t="str">
        <f t="shared" si="11"/>
        <v>建筑结构</v>
      </c>
      <c r="R35" s="714" t="s">
        <v>17</v>
      </c>
      <c r="S35" s="715">
        <f t="shared" si="12"/>
        <v>100</v>
      </c>
      <c r="T35" s="714" t="s">
        <v>17</v>
      </c>
      <c r="U35" s="715">
        <f t="shared" si="13"/>
        <v>100</v>
      </c>
      <c r="V35" s="714" t="s">
        <v>17</v>
      </c>
      <c r="W35" s="715">
        <f t="shared" si="14"/>
        <v>100</v>
      </c>
      <c r="X35" s="1490"/>
      <c r="Y35" s="3460"/>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58"/>
      <c r="Q36" s="1487" t="str">
        <f t="shared" si="11"/>
        <v>公共部分装修</v>
      </c>
      <c r="R36" s="714" t="s">
        <v>17</v>
      </c>
      <c r="S36" s="715">
        <f t="shared" si="12"/>
        <v>100</v>
      </c>
      <c r="T36" s="714" t="s">
        <v>17</v>
      </c>
      <c r="U36" s="715">
        <f t="shared" si="13"/>
        <v>100</v>
      </c>
      <c r="V36" s="714" t="s">
        <v>17</v>
      </c>
      <c r="W36" s="715">
        <f t="shared" si="14"/>
        <v>100</v>
      </c>
      <c r="X36" s="1490"/>
      <c r="Y36" s="3460"/>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58"/>
      <c r="Q37" s="1487" t="str">
        <f t="shared" si="11"/>
        <v>成新度</v>
      </c>
      <c r="R37" s="714" t="s">
        <v>17</v>
      </c>
      <c r="S37" s="715" t="e">
        <f t="shared" si="12"/>
        <v>#N/A</v>
      </c>
      <c r="T37" s="714" t="s">
        <v>17</v>
      </c>
      <c r="U37" s="715" t="e">
        <f t="shared" si="13"/>
        <v>#N/A</v>
      </c>
      <c r="V37" s="714" t="s">
        <v>17</v>
      </c>
      <c r="W37" s="715" t="e">
        <f t="shared" si="14"/>
        <v>#N/A</v>
      </c>
      <c r="X37" s="1490"/>
      <c r="Y37" s="3460"/>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58"/>
      <c r="Q38" s="1478" t="str">
        <f t="shared" si="11"/>
        <v>写字楼等级</v>
      </c>
      <c r="R38" s="710" t="s">
        <v>17</v>
      </c>
      <c r="S38" s="711">
        <f t="shared" si="12"/>
        <v>100</v>
      </c>
      <c r="T38" s="710" t="s">
        <v>17</v>
      </c>
      <c r="U38" s="711">
        <f t="shared" si="13"/>
        <v>100</v>
      </c>
      <c r="V38" s="710" t="s">
        <v>17</v>
      </c>
      <c r="W38" s="711">
        <f t="shared" si="14"/>
        <v>100</v>
      </c>
      <c r="X38" s="712"/>
      <c r="Y38" s="3460"/>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58" t="s">
        <v>2145</v>
      </c>
      <c r="Q39" s="1487" t="str">
        <f t="shared" si="11"/>
        <v>物业管理</v>
      </c>
      <c r="R39" s="714" t="s">
        <v>17</v>
      </c>
      <c r="S39" s="715">
        <f t="shared" si="12"/>
        <v>100</v>
      </c>
      <c r="T39" s="714" t="s">
        <v>17</v>
      </c>
      <c r="U39" s="715">
        <f t="shared" si="13"/>
        <v>100</v>
      </c>
      <c r="V39" s="714" t="s">
        <v>17</v>
      </c>
      <c r="W39" s="715">
        <f t="shared" si="14"/>
        <v>100</v>
      </c>
      <c r="X39" s="1490"/>
      <c r="Y39" s="3460"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58"/>
      <c r="Q40" s="1487" t="str">
        <f t="shared" si="11"/>
        <v>市政基础设施</v>
      </c>
      <c r="R40" s="714" t="s">
        <v>17</v>
      </c>
      <c r="S40" s="715">
        <f t="shared" si="12"/>
        <v>100</v>
      </c>
      <c r="T40" s="714" t="s">
        <v>17</v>
      </c>
      <c r="U40" s="715">
        <f t="shared" si="13"/>
        <v>100</v>
      </c>
      <c r="V40" s="714" t="s">
        <v>17</v>
      </c>
      <c r="W40" s="715">
        <f t="shared" si="14"/>
        <v>100</v>
      </c>
      <c r="X40" s="1490"/>
      <c r="Y40" s="3460"/>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58"/>
      <c r="Q41" s="1487" t="str">
        <f t="shared" si="11"/>
        <v>层高</v>
      </c>
      <c r="R41" s="714" t="s">
        <v>17</v>
      </c>
      <c r="S41" s="715">
        <f t="shared" si="12"/>
        <v>100</v>
      </c>
      <c r="T41" s="714" t="s">
        <v>17</v>
      </c>
      <c r="U41" s="715">
        <f t="shared" si="13"/>
        <v>100</v>
      </c>
      <c r="V41" s="714" t="s">
        <v>17</v>
      </c>
      <c r="W41" s="715">
        <f t="shared" si="14"/>
        <v>100</v>
      </c>
      <c r="X41" s="1490"/>
      <c r="Y41" s="3460"/>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58"/>
      <c r="Q42" s="716" t="str">
        <f t="shared" si="11"/>
        <v>单套建筑面积</v>
      </c>
      <c r="R42" s="717" t="s">
        <v>17</v>
      </c>
      <c r="S42" s="718">
        <f t="shared" si="12"/>
        <v>100</v>
      </c>
      <c r="T42" s="717" t="s">
        <v>17</v>
      </c>
      <c r="U42" s="718">
        <f t="shared" si="13"/>
        <v>100</v>
      </c>
      <c r="V42" s="717" t="s">
        <v>17</v>
      </c>
      <c r="W42" s="718">
        <f t="shared" si="14"/>
        <v>100</v>
      </c>
      <c r="X42" s="719"/>
      <c r="Y42" s="3460"/>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58"/>
      <c r="Q43" s="1487" t="str">
        <f t="shared" si="11"/>
        <v>内部装修</v>
      </c>
      <c r="R43" s="714" t="s">
        <v>17</v>
      </c>
      <c r="S43" s="715">
        <f t="shared" si="12"/>
        <v>100</v>
      </c>
      <c r="T43" s="714" t="s">
        <v>17</v>
      </c>
      <c r="U43" s="715">
        <f t="shared" si="13"/>
        <v>100</v>
      </c>
      <c r="V43" s="714" t="s">
        <v>17</v>
      </c>
      <c r="W43" s="715">
        <f t="shared" si="14"/>
        <v>100</v>
      </c>
      <c r="X43" s="1490"/>
      <c r="Y43" s="3460"/>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58"/>
      <c r="Q44" s="1487" t="str">
        <f t="shared" si="11"/>
        <v>内部装修维护情况</v>
      </c>
      <c r="R44" s="714" t="s">
        <v>17</v>
      </c>
      <c r="S44" s="715">
        <f t="shared" si="12"/>
        <v>100</v>
      </c>
      <c r="T44" s="714" t="s">
        <v>17</v>
      </c>
      <c r="U44" s="715">
        <f t="shared" si="13"/>
        <v>100</v>
      </c>
      <c r="V44" s="714" t="s">
        <v>17</v>
      </c>
      <c r="W44" s="715">
        <f t="shared" si="14"/>
        <v>100</v>
      </c>
      <c r="X44" s="1490"/>
      <c r="Y44" s="3460"/>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58"/>
      <c r="Q45" s="1478">
        <f t="shared" si="11"/>
        <v>111</v>
      </c>
      <c r="R45" s="710" t="s">
        <v>17</v>
      </c>
      <c r="S45" s="711">
        <f t="shared" si="12"/>
        <v>100</v>
      </c>
      <c r="T45" s="710" t="s">
        <v>17</v>
      </c>
      <c r="U45" s="711">
        <f t="shared" si="13"/>
        <v>100</v>
      </c>
      <c r="V45" s="710" t="s">
        <v>17</v>
      </c>
      <c r="W45" s="711">
        <f t="shared" si="14"/>
        <v>100</v>
      </c>
      <c r="X45" s="712"/>
      <c r="Y45" s="3460"/>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59"/>
      <c r="Q47" s="1487">
        <f t="shared" si="11"/>
        <v>111</v>
      </c>
      <c r="R47" s="714" t="s">
        <v>17</v>
      </c>
      <c r="S47" s="715">
        <f t="shared" si="12"/>
        <v>100</v>
      </c>
      <c r="T47" s="714" t="s">
        <v>17</v>
      </c>
      <c r="U47" s="715">
        <f t="shared" si="13"/>
        <v>100</v>
      </c>
      <c r="V47" s="714" t="s">
        <v>17</v>
      </c>
      <c r="W47" s="715">
        <f t="shared" si="14"/>
        <v>100</v>
      </c>
      <c r="X47" s="1490"/>
      <c r="Y47" s="3461"/>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2"/>
      <c r="M48" s="2894"/>
      <c r="N48" s="2894"/>
      <c r="O48" s="2894"/>
      <c r="P48" s="3464" t="str">
        <f>A48</f>
        <v>成交单价（元/平方米）</v>
      </c>
      <c r="Q48" s="3453"/>
      <c r="R48" s="3454">
        <f>E48</f>
        <v>0</v>
      </c>
      <c r="S48" s="3454"/>
      <c r="T48" s="3454">
        <f>G48</f>
        <v>0</v>
      </c>
      <c r="U48" s="3454"/>
      <c r="V48" s="3454">
        <f>I48</f>
        <v>0</v>
      </c>
      <c r="W48" s="3454"/>
      <c r="X48" s="405"/>
      <c r="Y48" s="721"/>
      <c r="Z48" s="405"/>
      <c r="AA48" s="405"/>
      <c r="AB48" s="405"/>
      <c r="AC48" s="586"/>
    </row>
    <row r="49" spans="1:29" ht="1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64" t="str">
        <f>A49</f>
        <v>比较价值（元/平方米）</v>
      </c>
      <c r="Q49" s="3453"/>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2"/>
      <c r="M50" s="2894"/>
      <c r="N50" s="2894"/>
      <c r="O50" s="2894"/>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2.2"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4.4">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4.4">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4.4"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4.4">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4.4"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4.4"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4.4"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4.4"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4.4"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4.4"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4.4"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4.4">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9.4"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4.4"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4.4"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4.4"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4.4"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4.4"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4.4"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4.4"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4.4"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4.4">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4.4"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4.4"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4.4"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4.4"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4.4"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4.4"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4.4"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4.4"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10298.76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78" t="s">
        <v>2227</v>
      </c>
      <c r="S4" s="3479"/>
      <c r="T4" s="3478" t="s">
        <v>2228</v>
      </c>
      <c r="U4" s="3479"/>
      <c r="V4" s="3484" t="s">
        <v>2229</v>
      </c>
      <c r="W4" s="3484"/>
      <c r="X4" s="1490"/>
      <c r="Y4" s="3478" t="s">
        <v>2231</v>
      </c>
      <c r="Z4" s="3479"/>
      <c r="AA4" s="3465" t="s">
        <v>2227</v>
      </c>
      <c r="AB4" s="3466" t="s">
        <v>2228</v>
      </c>
      <c r="AC4" s="3465" t="s">
        <v>2229</v>
      </c>
    </row>
    <row r="5" spans="1:29">
      <c r="A5" s="364"/>
      <c r="B5" s="365"/>
      <c r="C5" s="3487" t="s">
        <v>2122</v>
      </c>
      <c r="D5" s="3488"/>
      <c r="E5" s="3494" t="s">
        <v>2123</v>
      </c>
      <c r="F5" s="3495"/>
      <c r="G5" s="3487" t="s">
        <v>2124</v>
      </c>
      <c r="H5" s="3488"/>
      <c r="I5" s="3487" t="s">
        <v>2125</v>
      </c>
      <c r="J5" s="3488"/>
      <c r="K5" s="567"/>
      <c r="L5" s="1025"/>
      <c r="M5" s="1026"/>
      <c r="N5" s="1026"/>
      <c r="O5" s="1026"/>
      <c r="P5" s="3474"/>
      <c r="Q5" s="3475"/>
      <c r="R5" s="3480"/>
      <c r="S5" s="3481"/>
      <c r="T5" s="3480"/>
      <c r="U5" s="3481"/>
      <c r="V5" s="3484"/>
      <c r="W5" s="3484"/>
      <c r="X5" s="1490"/>
      <c r="Y5" s="3480"/>
      <c r="Z5" s="3481"/>
      <c r="AA5" s="3466"/>
      <c r="AB5" s="3466"/>
      <c r="AC5" s="3466"/>
    </row>
    <row r="6" spans="1:29" ht="15" thickBot="1">
      <c r="A6" s="366"/>
      <c r="B6" s="367"/>
      <c r="C6" s="3485" t="s">
        <v>2126</v>
      </c>
      <c r="D6" s="3486"/>
      <c r="E6" s="3492" t="s">
        <v>2126</v>
      </c>
      <c r="F6" s="3493"/>
      <c r="G6" s="3485" t="s">
        <v>2126</v>
      </c>
      <c r="H6" s="3486"/>
      <c r="I6" s="3485" t="s">
        <v>2126</v>
      </c>
      <c r="J6" s="3486"/>
      <c r="K6" s="567" t="s">
        <v>2127</v>
      </c>
      <c r="L6" s="1025"/>
      <c r="M6" s="1026"/>
      <c r="N6" s="1026"/>
      <c r="O6" s="1026"/>
      <c r="P6" s="3476"/>
      <c r="Q6" s="3477"/>
      <c r="R6" s="3480"/>
      <c r="S6" s="3481"/>
      <c r="T6" s="3482"/>
      <c r="U6" s="3483"/>
      <c r="V6" s="3484"/>
      <c r="W6" s="3484"/>
      <c r="X6" s="1490"/>
      <c r="Y6" s="3482"/>
      <c r="Z6" s="3483"/>
      <c r="AA6" s="3467"/>
      <c r="AB6" s="3467"/>
      <c r="AC6" s="3467"/>
    </row>
    <row r="7" spans="1:29" s="113" customFormat="1" ht="15" thickBot="1">
      <c r="A7" s="368" t="s">
        <v>2128</v>
      </c>
      <c r="B7" s="369"/>
      <c r="C7" s="370">
        <f>'数据-取费表'!B2</f>
        <v>44782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9" t="s">
        <v>2129</v>
      </c>
      <c r="Q7" s="3491"/>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9" t="s">
        <v>2132</v>
      </c>
      <c r="Q8" s="3490"/>
      <c r="R8" s="710" t="s">
        <v>17</v>
      </c>
      <c r="S8" s="711">
        <f t="shared" si="0"/>
        <v>0</v>
      </c>
      <c r="T8" s="710" t="s">
        <v>17</v>
      </c>
      <c r="U8" s="711">
        <f t="shared" si="1"/>
        <v>0</v>
      </c>
      <c r="V8" s="710" t="s">
        <v>17</v>
      </c>
      <c r="W8" s="711">
        <f t="shared" si="2"/>
        <v>0</v>
      </c>
      <c r="X8" s="712"/>
      <c r="Y8" s="3489" t="s">
        <v>2132</v>
      </c>
      <c r="Z8" s="3490"/>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3" t="s">
        <v>2135</v>
      </c>
      <c r="Q9" s="1478" t="str">
        <f t="shared" ref="Q9:Q15" si="6">B9</f>
        <v>用途</v>
      </c>
      <c r="R9" s="710" t="s">
        <v>17</v>
      </c>
      <c r="S9" s="711">
        <f t="shared" si="0"/>
        <v>100</v>
      </c>
      <c r="T9" s="710" t="s">
        <v>17</v>
      </c>
      <c r="U9" s="711">
        <f t="shared" si="1"/>
        <v>100</v>
      </c>
      <c r="V9" s="710" t="s">
        <v>17</v>
      </c>
      <c r="W9" s="711">
        <f t="shared" si="2"/>
        <v>100</v>
      </c>
      <c r="X9" s="712"/>
      <c r="Y9" s="3325"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3"/>
      <c r="Q10" s="1478" t="str">
        <f t="shared" si="6"/>
        <v>土地使用年限（年）</v>
      </c>
      <c r="R10" s="710" t="s">
        <v>17</v>
      </c>
      <c r="S10" s="711">
        <f t="shared" si="0"/>
        <v>100</v>
      </c>
      <c r="T10" s="710" t="s">
        <v>17</v>
      </c>
      <c r="U10" s="711">
        <f t="shared" si="1"/>
        <v>100</v>
      </c>
      <c r="V10" s="710" t="s">
        <v>17</v>
      </c>
      <c r="W10" s="711">
        <f t="shared" si="2"/>
        <v>100</v>
      </c>
      <c r="X10" s="712"/>
      <c r="Y10" s="332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3"/>
      <c r="Q11" s="1478" t="str">
        <f t="shared" si="6"/>
        <v>容积率</v>
      </c>
      <c r="R11" s="710" t="s">
        <v>17</v>
      </c>
      <c r="S11" s="711" t="e">
        <f t="shared" si="0"/>
        <v>#N/A</v>
      </c>
      <c r="T11" s="710" t="s">
        <v>17</v>
      </c>
      <c r="U11" s="711" t="e">
        <f t="shared" si="1"/>
        <v>#N/A</v>
      </c>
      <c r="V11" s="710" t="s">
        <v>17</v>
      </c>
      <c r="W11" s="711" t="e">
        <f t="shared" si="2"/>
        <v>#N/A</v>
      </c>
      <c r="X11" s="712"/>
      <c r="Y11" s="332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3"/>
      <c r="Q12" s="1478">
        <f t="shared" si="6"/>
        <v>111</v>
      </c>
      <c r="R12" s="710" t="s">
        <v>17</v>
      </c>
      <c r="S12" s="711">
        <f t="shared" si="0"/>
        <v>100</v>
      </c>
      <c r="T12" s="710" t="s">
        <v>17</v>
      </c>
      <c r="U12" s="711">
        <f t="shared" si="1"/>
        <v>100</v>
      </c>
      <c r="V12" s="710" t="s">
        <v>17</v>
      </c>
      <c r="W12" s="711">
        <f t="shared" si="2"/>
        <v>100</v>
      </c>
      <c r="X12" s="712"/>
      <c r="Y12" s="3325"/>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3"/>
      <c r="Q13" s="1478">
        <f t="shared" si="6"/>
        <v>111</v>
      </c>
      <c r="R13" s="710" t="s">
        <v>17</v>
      </c>
      <c r="S13" s="711">
        <f t="shared" si="0"/>
        <v>100</v>
      </c>
      <c r="T13" s="710" t="s">
        <v>17</v>
      </c>
      <c r="U13" s="711">
        <f t="shared" si="1"/>
        <v>100</v>
      </c>
      <c r="V13" s="710" t="s">
        <v>17</v>
      </c>
      <c r="W13" s="711">
        <f t="shared" si="2"/>
        <v>100</v>
      </c>
      <c r="X13" s="712"/>
      <c r="Y13" s="3325"/>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3"/>
      <c r="Q14" s="1478">
        <f t="shared" si="6"/>
        <v>111</v>
      </c>
      <c r="R14" s="710" t="s">
        <v>17</v>
      </c>
      <c r="S14" s="711">
        <f t="shared" si="0"/>
        <v>100</v>
      </c>
      <c r="T14" s="710" t="s">
        <v>17</v>
      </c>
      <c r="U14" s="711">
        <f t="shared" si="1"/>
        <v>100</v>
      </c>
      <c r="V14" s="710" t="s">
        <v>17</v>
      </c>
      <c r="W14" s="711">
        <f t="shared" si="2"/>
        <v>100</v>
      </c>
      <c r="X14" s="712"/>
      <c r="Y14" s="3325"/>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5" t="s">
        <v>2140</v>
      </c>
      <c r="Q15" s="1487" t="str">
        <f t="shared" si="6"/>
        <v>产业集聚程度</v>
      </c>
      <c r="R15" s="714" t="s">
        <v>17</v>
      </c>
      <c r="S15" s="715">
        <f t="shared" si="0"/>
        <v>100</v>
      </c>
      <c r="T15" s="714" t="s">
        <v>17</v>
      </c>
      <c r="U15" s="715">
        <f t="shared" si="1"/>
        <v>100</v>
      </c>
      <c r="V15" s="714" t="s">
        <v>17</v>
      </c>
      <c r="W15" s="715">
        <f t="shared" si="2"/>
        <v>100</v>
      </c>
      <c r="X15" s="1490"/>
      <c r="Y15" s="3455"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6"/>
      <c r="Q16" s="1487"/>
      <c r="R16" s="714"/>
      <c r="S16" s="715"/>
      <c r="T16" s="714"/>
      <c r="U16" s="715"/>
      <c r="V16" s="714"/>
      <c r="W16" s="715"/>
      <c r="X16" s="1490"/>
      <c r="Y16" s="3456"/>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6"/>
      <c r="Q18" s="1487"/>
      <c r="R18" s="714"/>
      <c r="S18" s="715"/>
      <c r="T18" s="714"/>
      <c r="U18" s="715"/>
      <c r="V18" s="714"/>
      <c r="W18" s="715"/>
      <c r="X18" s="1490"/>
      <c r="Y18" s="3456"/>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6"/>
      <c r="Q20" s="1487"/>
      <c r="R20" s="714"/>
      <c r="S20" s="715"/>
      <c r="T20" s="714"/>
      <c r="U20" s="715"/>
      <c r="V20" s="714"/>
      <c r="W20" s="715"/>
      <c r="X20" s="1490"/>
      <c r="Y20" s="3456"/>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6"/>
      <c r="Q22" s="1487"/>
      <c r="R22" s="714"/>
      <c r="S22" s="715"/>
      <c r="T22" s="714"/>
      <c r="U22" s="715"/>
      <c r="V22" s="714"/>
      <c r="W22" s="715"/>
      <c r="X22" s="1490"/>
      <c r="Y22" s="3456"/>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6"/>
      <c r="Q23" s="1487" t="str">
        <f>B23</f>
        <v>环境质量</v>
      </c>
      <c r="R23" s="714" t="s">
        <v>17</v>
      </c>
      <c r="S23" s="715">
        <f>F23</f>
        <v>100</v>
      </c>
      <c r="T23" s="714" t="s">
        <v>17</v>
      </c>
      <c r="U23" s="715">
        <f>H23</f>
        <v>100</v>
      </c>
      <c r="V23" s="714" t="s">
        <v>17</v>
      </c>
      <c r="W23" s="715">
        <f>J23</f>
        <v>100</v>
      </c>
      <c r="X23" s="1490"/>
      <c r="Y23" s="345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6"/>
      <c r="Q24" s="1487"/>
      <c r="R24" s="714"/>
      <c r="S24" s="715"/>
      <c r="T24" s="714"/>
      <c r="U24" s="715"/>
      <c r="V24" s="714"/>
      <c r="W24" s="715"/>
      <c r="X24" s="1490"/>
      <c r="Y24" s="345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6"/>
      <c r="Q25" s="1487">
        <f>B25</f>
        <v>111</v>
      </c>
      <c r="R25" s="714" t="s">
        <v>17</v>
      </c>
      <c r="S25" s="715">
        <f>F25</f>
        <v>100</v>
      </c>
      <c r="T25" s="714" t="s">
        <v>17</v>
      </c>
      <c r="U25" s="715">
        <f>H25</f>
        <v>100</v>
      </c>
      <c r="V25" s="714" t="s">
        <v>17</v>
      </c>
      <c r="W25" s="715">
        <f>J25</f>
        <v>100</v>
      </c>
      <c r="X25" s="1490"/>
      <c r="Y25" s="345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6"/>
      <c r="Q26" s="1487">
        <f t="shared" ref="Q26:Q40" si="11">B26</f>
        <v>111</v>
      </c>
      <c r="R26" s="714" t="s">
        <v>17</v>
      </c>
      <c r="S26" s="715">
        <f>F26</f>
        <v>100</v>
      </c>
      <c r="T26" s="714" t="s">
        <v>17</v>
      </c>
      <c r="U26" s="715">
        <f>H26</f>
        <v>100</v>
      </c>
      <c r="V26" s="714" t="s">
        <v>17</v>
      </c>
      <c r="W26" s="715">
        <f>J26</f>
        <v>100</v>
      </c>
      <c r="X26" s="1490"/>
      <c r="Y26" s="345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6"/>
      <c r="Q27" s="1478">
        <f t="shared" si="11"/>
        <v>111</v>
      </c>
      <c r="R27" s="710" t="s">
        <v>17</v>
      </c>
      <c r="S27" s="711">
        <f>F27</f>
        <v>100</v>
      </c>
      <c r="T27" s="710" t="s">
        <v>17</v>
      </c>
      <c r="U27" s="711">
        <f>H27</f>
        <v>100</v>
      </c>
      <c r="V27" s="710" t="s">
        <v>17</v>
      </c>
      <c r="W27" s="711">
        <f>J27</f>
        <v>100</v>
      </c>
      <c r="X27" s="712"/>
      <c r="Y27" s="3456"/>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6"/>
      <c r="Q28" s="1487">
        <f t="shared" si="11"/>
        <v>111</v>
      </c>
      <c r="R28" s="714" t="s">
        <v>17</v>
      </c>
      <c r="S28" s="715">
        <f t="shared" ref="S28:S40" si="12">F28</f>
        <v>100</v>
      </c>
      <c r="T28" s="714" t="s">
        <v>17</v>
      </c>
      <c r="U28" s="715">
        <f t="shared" ref="U28:U40" si="13">H28</f>
        <v>100</v>
      </c>
      <c r="V28" s="714" t="s">
        <v>17</v>
      </c>
      <c r="W28" s="715">
        <f t="shared" ref="W28:W40" si="14">J28</f>
        <v>100</v>
      </c>
      <c r="X28" s="1490"/>
      <c r="Y28" s="3456"/>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6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0"/>
      <c r="Q30" s="716" t="str">
        <f t="shared" si="11"/>
        <v>项目建筑规模</v>
      </c>
      <c r="R30" s="717" t="s">
        <v>17</v>
      </c>
      <c r="S30" s="718" t="e">
        <f t="shared" si="12"/>
        <v>#N/A</v>
      </c>
      <c r="T30" s="717" t="s">
        <v>17</v>
      </c>
      <c r="U30" s="718" t="e">
        <f t="shared" si="13"/>
        <v>#N/A</v>
      </c>
      <c r="V30" s="717" t="s">
        <v>17</v>
      </c>
      <c r="W30" s="718" t="e">
        <f t="shared" si="14"/>
        <v>#N/A</v>
      </c>
      <c r="X30" s="719"/>
      <c r="Y30" s="346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0"/>
      <c r="Q31" s="1487" t="str">
        <f t="shared" si="11"/>
        <v>建筑结构</v>
      </c>
      <c r="R31" s="714" t="s">
        <v>17</v>
      </c>
      <c r="S31" s="715">
        <f t="shared" si="12"/>
        <v>100</v>
      </c>
      <c r="T31" s="714" t="s">
        <v>17</v>
      </c>
      <c r="U31" s="715">
        <f t="shared" si="13"/>
        <v>100</v>
      </c>
      <c r="V31" s="714" t="s">
        <v>17</v>
      </c>
      <c r="W31" s="715">
        <f t="shared" si="14"/>
        <v>100</v>
      </c>
      <c r="X31" s="1490"/>
      <c r="Y31" s="346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0"/>
      <c r="Q32" s="1487" t="str">
        <f t="shared" si="11"/>
        <v>公共部分装修</v>
      </c>
      <c r="R32" s="714" t="s">
        <v>17</v>
      </c>
      <c r="S32" s="715">
        <f t="shared" si="12"/>
        <v>100</v>
      </c>
      <c r="T32" s="714" t="s">
        <v>17</v>
      </c>
      <c r="U32" s="715">
        <f t="shared" si="13"/>
        <v>100</v>
      </c>
      <c r="V32" s="714" t="s">
        <v>17</v>
      </c>
      <c r="W32" s="715">
        <f t="shared" si="14"/>
        <v>100</v>
      </c>
      <c r="X32" s="1490"/>
      <c r="Y32" s="346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0"/>
      <c r="Q33" s="1487" t="str">
        <f t="shared" si="11"/>
        <v>成新度</v>
      </c>
      <c r="R33" s="714" t="s">
        <v>17</v>
      </c>
      <c r="S33" s="715" t="e">
        <f t="shared" si="12"/>
        <v>#N/A</v>
      </c>
      <c r="T33" s="714" t="s">
        <v>17</v>
      </c>
      <c r="U33" s="715" t="e">
        <f t="shared" si="13"/>
        <v>#N/A</v>
      </c>
      <c r="V33" s="714" t="s">
        <v>17</v>
      </c>
      <c r="W33" s="715" t="e">
        <f t="shared" si="14"/>
        <v>#N/A</v>
      </c>
      <c r="X33" s="1490"/>
      <c r="Y33" s="346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0"/>
      <c r="Q34" s="1478" t="str">
        <f t="shared" si="11"/>
        <v>物业管理</v>
      </c>
      <c r="R34" s="710" t="s">
        <v>17</v>
      </c>
      <c r="S34" s="711">
        <f t="shared" si="12"/>
        <v>100</v>
      </c>
      <c r="T34" s="710" t="s">
        <v>17</v>
      </c>
      <c r="U34" s="711">
        <f t="shared" si="13"/>
        <v>100</v>
      </c>
      <c r="V34" s="710" t="s">
        <v>17</v>
      </c>
      <c r="W34" s="711">
        <f t="shared" si="14"/>
        <v>100</v>
      </c>
      <c r="X34" s="712"/>
      <c r="Y34" s="346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0" t="s">
        <v>2145</v>
      </c>
      <c r="Q35" s="1487" t="str">
        <f t="shared" si="11"/>
        <v>市政基础设施</v>
      </c>
      <c r="R35" s="714" t="s">
        <v>17</v>
      </c>
      <c r="S35" s="715">
        <f t="shared" si="12"/>
        <v>100</v>
      </c>
      <c r="T35" s="714" t="s">
        <v>17</v>
      </c>
      <c r="U35" s="715">
        <f t="shared" si="13"/>
        <v>100</v>
      </c>
      <c r="V35" s="714" t="s">
        <v>17</v>
      </c>
      <c r="W35" s="715">
        <f t="shared" si="14"/>
        <v>100</v>
      </c>
      <c r="X35" s="1490"/>
      <c r="Y35" s="346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0"/>
      <c r="Q36" s="1487" t="str">
        <f t="shared" si="11"/>
        <v>内部装修</v>
      </c>
      <c r="R36" s="714" t="s">
        <v>17</v>
      </c>
      <c r="S36" s="715">
        <f t="shared" si="12"/>
        <v>100</v>
      </c>
      <c r="T36" s="714" t="s">
        <v>17</v>
      </c>
      <c r="U36" s="715">
        <f t="shared" si="13"/>
        <v>100</v>
      </c>
      <c r="V36" s="714" t="s">
        <v>17</v>
      </c>
      <c r="W36" s="715">
        <f t="shared" si="14"/>
        <v>100</v>
      </c>
      <c r="X36" s="1490"/>
      <c r="Y36" s="346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0"/>
      <c r="Q37" s="1487" t="str">
        <f t="shared" si="11"/>
        <v>内部装修状况</v>
      </c>
      <c r="R37" s="714" t="s">
        <v>17</v>
      </c>
      <c r="S37" s="715">
        <f t="shared" si="12"/>
        <v>100</v>
      </c>
      <c r="T37" s="714" t="s">
        <v>17</v>
      </c>
      <c r="U37" s="715">
        <f t="shared" si="13"/>
        <v>100</v>
      </c>
      <c r="V37" s="714" t="s">
        <v>17</v>
      </c>
      <c r="W37" s="715">
        <f t="shared" si="14"/>
        <v>100</v>
      </c>
      <c r="X37" s="1490"/>
      <c r="Y37" s="346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0"/>
      <c r="Q38" s="716">
        <f t="shared" si="11"/>
        <v>111</v>
      </c>
      <c r="R38" s="717" t="s">
        <v>17</v>
      </c>
      <c r="S38" s="718">
        <f t="shared" si="12"/>
        <v>100</v>
      </c>
      <c r="T38" s="717" t="s">
        <v>17</v>
      </c>
      <c r="U38" s="718">
        <f t="shared" si="13"/>
        <v>100</v>
      </c>
      <c r="V38" s="717" t="s">
        <v>17</v>
      </c>
      <c r="W38" s="718">
        <f t="shared" si="14"/>
        <v>100</v>
      </c>
      <c r="X38" s="719"/>
      <c r="Y38" s="346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0"/>
      <c r="Q39" s="1487">
        <f t="shared" si="11"/>
        <v>111</v>
      </c>
      <c r="R39" s="714" t="s">
        <v>17</v>
      </c>
      <c r="S39" s="715">
        <f t="shared" si="12"/>
        <v>100</v>
      </c>
      <c r="T39" s="714" t="s">
        <v>17</v>
      </c>
      <c r="U39" s="715">
        <f t="shared" si="13"/>
        <v>100</v>
      </c>
      <c r="V39" s="714" t="s">
        <v>17</v>
      </c>
      <c r="W39" s="715">
        <f t="shared" si="14"/>
        <v>100</v>
      </c>
      <c r="X39" s="1490"/>
      <c r="Y39" s="3460"/>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1"/>
      <c r="Q40" s="1487">
        <f t="shared" si="11"/>
        <v>111</v>
      </c>
      <c r="R40" s="714" t="s">
        <v>17</v>
      </c>
      <c r="S40" s="715">
        <f t="shared" si="12"/>
        <v>100</v>
      </c>
      <c r="T40" s="714" t="s">
        <v>17</v>
      </c>
      <c r="U40" s="715">
        <f t="shared" si="13"/>
        <v>100</v>
      </c>
      <c r="V40" s="714" t="s">
        <v>17</v>
      </c>
      <c r="W40" s="715">
        <f t="shared" si="14"/>
        <v>100</v>
      </c>
      <c r="X40" s="1490"/>
      <c r="Y40" s="3461"/>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53" t="str">
        <f>A41</f>
        <v>成交单价（元/平方米）</v>
      </c>
      <c r="Q41" s="3453"/>
      <c r="R41" s="3454">
        <f>E41</f>
        <v>0</v>
      </c>
      <c r="S41" s="3454"/>
      <c r="T41" s="3454">
        <f>G41</f>
        <v>0</v>
      </c>
      <c r="U41" s="3454"/>
      <c r="V41" s="3454">
        <f>I41</f>
        <v>0</v>
      </c>
      <c r="W41" s="3454"/>
      <c r="X41" s="699"/>
      <c r="Y41" s="721"/>
      <c r="Z41" s="699"/>
      <c r="AA41" s="699"/>
      <c r="AB41" s="699"/>
      <c r="AC41" s="699"/>
    </row>
    <row r="42" spans="1:29" ht="1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3" t="str">
        <f>A42</f>
        <v>比较价值（元/平方米）</v>
      </c>
      <c r="Q42" s="3453"/>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北京鑫福海工贸集团：</v>
      </c>
    </row>
    <row r="4" spans="1:1" ht="34.799999999999997">
      <c r="A4" s="1616" t="str">
        <f>"受贵公司委托，我公司对"&amp;项目基本情况!S1&amp;"进行了预评估。"</f>
        <v>受贵公司委托，我公司对北京市丰台区角门路2号院综合楼房地产抵押价值进行了预评估。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估价对象为北京市丰台区角门路2号院综合楼房地产，为北京鑫福海工贸集团所有。根据《国有土地使用证》[]，估价对象（分摊）出让国有建设用地使用权面积为5682.86平方米，建筑面积为10298.76平方米。</v>
      </c>
    </row>
    <row r="8" spans="1:1" ht="54.6">
      <c r="A8" s="1619" t="s">
        <v>1338</v>
      </c>
    </row>
    <row r="9" spans="1:1" ht="17.399999999999999">
      <c r="A9" s="1618" t="s">
        <v>1339</v>
      </c>
    </row>
    <row r="10" spans="1:1" ht="69.59999999999999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2022年8月9日（评估专业人员实地查勘之日）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16" t="str">
        <f>IF(项目基本情况!B9="房地产市场价值","——",IF(项目基本情况!E9="——","",定义!C57))</f>
        <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78" t="s">
        <v>2227</v>
      </c>
      <c r="S4" s="3479"/>
      <c r="T4" s="3478" t="s">
        <v>2228</v>
      </c>
      <c r="U4" s="3479"/>
      <c r="V4" s="3484" t="s">
        <v>2229</v>
      </c>
      <c r="W4" s="3484"/>
      <c r="X4" s="1490"/>
      <c r="Y4" s="3478" t="s">
        <v>2231</v>
      </c>
      <c r="Z4" s="3479"/>
      <c r="AA4" s="3465" t="s">
        <v>2227</v>
      </c>
      <c r="AB4" s="3466" t="s">
        <v>2228</v>
      </c>
      <c r="AC4" s="3465" t="s">
        <v>2229</v>
      </c>
    </row>
    <row r="5" spans="1:29">
      <c r="A5" s="364"/>
      <c r="B5" s="365"/>
      <c r="C5" s="3487" t="s">
        <v>2122</v>
      </c>
      <c r="D5" s="3488"/>
      <c r="E5" s="3494" t="s">
        <v>2123</v>
      </c>
      <c r="F5" s="3495"/>
      <c r="G5" s="3487" t="s">
        <v>2124</v>
      </c>
      <c r="H5" s="3488"/>
      <c r="I5" s="3487" t="s">
        <v>2125</v>
      </c>
      <c r="J5" s="3488"/>
      <c r="K5" s="567"/>
      <c r="L5" s="2893"/>
      <c r="M5" s="2894"/>
      <c r="N5" s="2894"/>
      <c r="O5" s="2894"/>
      <c r="P5" s="3474"/>
      <c r="Q5" s="3475"/>
      <c r="R5" s="3480"/>
      <c r="S5" s="3481"/>
      <c r="T5" s="3480"/>
      <c r="U5" s="3481"/>
      <c r="V5" s="3484"/>
      <c r="W5" s="3484"/>
      <c r="X5" s="1490"/>
      <c r="Y5" s="3480"/>
      <c r="Z5" s="3481"/>
      <c r="AA5" s="3466"/>
      <c r="AB5" s="3466"/>
      <c r="AC5" s="3466"/>
    </row>
    <row r="6" spans="1:29" ht="15" thickBot="1">
      <c r="A6" s="366"/>
      <c r="B6" s="367"/>
      <c r="C6" s="3485" t="s">
        <v>2126</v>
      </c>
      <c r="D6" s="3486"/>
      <c r="E6" s="3492" t="s">
        <v>2126</v>
      </c>
      <c r="F6" s="3493"/>
      <c r="G6" s="3485" t="s">
        <v>2126</v>
      </c>
      <c r="H6" s="3486"/>
      <c r="I6" s="3485" t="s">
        <v>2126</v>
      </c>
      <c r="J6" s="3486"/>
      <c r="K6" s="567" t="s">
        <v>2127</v>
      </c>
      <c r="L6" s="2893"/>
      <c r="M6" s="2894"/>
      <c r="N6" s="2894"/>
      <c r="O6" s="2894"/>
      <c r="P6" s="3476"/>
      <c r="Q6" s="3477"/>
      <c r="R6" s="3480"/>
      <c r="S6" s="3481"/>
      <c r="T6" s="3482"/>
      <c r="U6" s="3483"/>
      <c r="V6" s="3484"/>
      <c r="W6" s="3484"/>
      <c r="X6" s="1490"/>
      <c r="Y6" s="3482"/>
      <c r="Z6" s="3483"/>
      <c r="AA6" s="3467"/>
      <c r="AB6" s="3467"/>
      <c r="AC6" s="3467"/>
    </row>
    <row r="7" spans="1:29" s="113" customFormat="1" ht="15" thickBot="1">
      <c r="A7" s="368" t="s">
        <v>2128</v>
      </c>
      <c r="B7" s="369"/>
      <c r="C7" s="370">
        <f>'数据-取费表'!B2</f>
        <v>44782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89" t="s">
        <v>2129</v>
      </c>
      <c r="Q7" s="3491"/>
      <c r="R7" s="710" t="s">
        <v>17</v>
      </c>
      <c r="S7" s="711">
        <f t="shared" ref="S7:S14" si="0">F7</f>
        <v>0</v>
      </c>
      <c r="T7" s="710" t="s">
        <v>17</v>
      </c>
      <c r="U7" s="711">
        <f t="shared" ref="U7:U14" si="1">H7</f>
        <v>0</v>
      </c>
      <c r="V7" s="710" t="s">
        <v>17</v>
      </c>
      <c r="W7" s="711">
        <f t="shared" ref="W7:W14" si="2">J7</f>
        <v>0</v>
      </c>
      <c r="X7" s="712"/>
      <c r="Y7" s="3489" t="s">
        <v>2129</v>
      </c>
      <c r="Z7" s="3490"/>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3" t="s">
        <v>2135</v>
      </c>
      <c r="Q9" s="1478" t="str">
        <f t="shared" ref="Q9:Q14" si="6">B9</f>
        <v>用途</v>
      </c>
      <c r="R9" s="710" t="s">
        <v>17</v>
      </c>
      <c r="S9" s="711">
        <f t="shared" si="0"/>
        <v>100</v>
      </c>
      <c r="T9" s="710" t="s">
        <v>17</v>
      </c>
      <c r="U9" s="711">
        <f t="shared" si="1"/>
        <v>100</v>
      </c>
      <c r="V9" s="710" t="s">
        <v>17</v>
      </c>
      <c r="W9" s="711">
        <f t="shared" si="2"/>
        <v>100</v>
      </c>
      <c r="X9" s="712"/>
      <c r="Y9" s="3325"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3"/>
      <c r="Q10" s="1478" t="str">
        <f t="shared" si="6"/>
        <v>土地使用年限（年）</v>
      </c>
      <c r="R10" s="710" t="s">
        <v>17</v>
      </c>
      <c r="S10" s="711">
        <f t="shared" si="0"/>
        <v>100</v>
      </c>
      <c r="T10" s="710" t="s">
        <v>17</v>
      </c>
      <c r="U10" s="711">
        <f t="shared" si="1"/>
        <v>100</v>
      </c>
      <c r="V10" s="710" t="s">
        <v>17</v>
      </c>
      <c r="W10" s="711">
        <f t="shared" si="2"/>
        <v>100</v>
      </c>
      <c r="X10" s="712"/>
      <c r="Y10" s="332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3"/>
      <c r="Q11" s="1478">
        <f t="shared" si="6"/>
        <v>111</v>
      </c>
      <c r="R11" s="710" t="s">
        <v>17</v>
      </c>
      <c r="S11" s="711">
        <f t="shared" si="0"/>
        <v>100</v>
      </c>
      <c r="T11" s="710" t="s">
        <v>17</v>
      </c>
      <c r="U11" s="711">
        <f t="shared" si="1"/>
        <v>100</v>
      </c>
      <c r="V11" s="710" t="s">
        <v>17</v>
      </c>
      <c r="W11" s="711">
        <f t="shared" si="2"/>
        <v>100</v>
      </c>
      <c r="X11" s="712"/>
      <c r="Y11" s="332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3"/>
      <c r="Q12" s="1478">
        <f t="shared" si="6"/>
        <v>111</v>
      </c>
      <c r="R12" s="710" t="s">
        <v>17</v>
      </c>
      <c r="S12" s="711">
        <f t="shared" si="0"/>
        <v>100</v>
      </c>
      <c r="T12" s="710" t="s">
        <v>17</v>
      </c>
      <c r="U12" s="711">
        <f t="shared" si="1"/>
        <v>100</v>
      </c>
      <c r="V12" s="710" t="s">
        <v>17</v>
      </c>
      <c r="W12" s="711">
        <f t="shared" si="2"/>
        <v>100</v>
      </c>
      <c r="X12" s="712"/>
      <c r="Y12" s="3325"/>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3"/>
      <c r="Q13" s="1478">
        <f t="shared" si="6"/>
        <v>111</v>
      </c>
      <c r="R13" s="710" t="s">
        <v>17</v>
      </c>
      <c r="S13" s="711">
        <f t="shared" si="0"/>
        <v>100</v>
      </c>
      <c r="T13" s="710" t="s">
        <v>17</v>
      </c>
      <c r="U13" s="711">
        <f t="shared" si="1"/>
        <v>100</v>
      </c>
      <c r="V13" s="710" t="s">
        <v>17</v>
      </c>
      <c r="W13" s="711">
        <f t="shared" si="2"/>
        <v>100</v>
      </c>
      <c r="X13" s="712"/>
      <c r="Y13" s="3325"/>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5" t="s">
        <v>2140</v>
      </c>
      <c r="Q14" s="1487" t="str">
        <f t="shared" si="6"/>
        <v>交通便捷度</v>
      </c>
      <c r="R14" s="714" t="s">
        <v>17</v>
      </c>
      <c r="S14" s="715">
        <f t="shared" si="0"/>
        <v>100</v>
      </c>
      <c r="T14" s="714" t="s">
        <v>17</v>
      </c>
      <c r="U14" s="715">
        <f t="shared" si="1"/>
        <v>100</v>
      </c>
      <c r="V14" s="714" t="s">
        <v>17</v>
      </c>
      <c r="W14" s="715">
        <f t="shared" si="2"/>
        <v>100</v>
      </c>
      <c r="X14" s="1490"/>
      <c r="Y14" s="3455"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56"/>
      <c r="Q15" s="1487"/>
      <c r="R15" s="714"/>
      <c r="S15" s="715"/>
      <c r="T15" s="714"/>
      <c r="U15" s="715"/>
      <c r="V15" s="714"/>
      <c r="W15" s="715"/>
      <c r="X15" s="1490"/>
      <c r="Y15" s="3456"/>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56"/>
      <c r="Q16" s="1487" t="str">
        <f>B16</f>
        <v>公共配套设施</v>
      </c>
      <c r="R16" s="714" t="s">
        <v>17</v>
      </c>
      <c r="S16" s="715">
        <f>F16</f>
        <v>100</v>
      </c>
      <c r="T16" s="714" t="s">
        <v>17</v>
      </c>
      <c r="U16" s="715">
        <f>H16</f>
        <v>100</v>
      </c>
      <c r="V16" s="714" t="s">
        <v>17</v>
      </c>
      <c r="W16" s="715">
        <f>J16</f>
        <v>100</v>
      </c>
      <c r="X16" s="1490"/>
      <c r="Y16" s="345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56"/>
      <c r="Q17" s="1487"/>
      <c r="R17" s="714"/>
      <c r="S17" s="715"/>
      <c r="T17" s="714"/>
      <c r="U17" s="715"/>
      <c r="V17" s="714"/>
      <c r="W17" s="715"/>
      <c r="X17" s="1490"/>
      <c r="Y17" s="3456"/>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56"/>
      <c r="Q18" s="1487" t="str">
        <f>B18</f>
        <v>基础设施水平</v>
      </c>
      <c r="R18" s="714" t="s">
        <v>17</v>
      </c>
      <c r="S18" s="715">
        <f>F18</f>
        <v>100</v>
      </c>
      <c r="T18" s="714" t="s">
        <v>17</v>
      </c>
      <c r="U18" s="715">
        <f>H18</f>
        <v>100</v>
      </c>
      <c r="V18" s="714" t="s">
        <v>17</v>
      </c>
      <c r="W18" s="715">
        <f>J18</f>
        <v>100</v>
      </c>
      <c r="X18" s="1490"/>
      <c r="Y18" s="345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56"/>
      <c r="Q19" s="1487"/>
      <c r="R19" s="714"/>
      <c r="S19" s="715"/>
      <c r="T19" s="714"/>
      <c r="U19" s="715"/>
      <c r="V19" s="714"/>
      <c r="W19" s="715"/>
      <c r="X19" s="1490"/>
      <c r="Y19" s="3456"/>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56"/>
      <c r="Q20" s="1487" t="str">
        <f>B20</f>
        <v>自然及人文环境</v>
      </c>
      <c r="R20" s="714" t="s">
        <v>17</v>
      </c>
      <c r="S20" s="715">
        <f>F20</f>
        <v>100</v>
      </c>
      <c r="T20" s="714" t="s">
        <v>17</v>
      </c>
      <c r="U20" s="715">
        <f>H20</f>
        <v>100</v>
      </c>
      <c r="V20" s="714" t="s">
        <v>17</v>
      </c>
      <c r="W20" s="715">
        <f>J20</f>
        <v>100</v>
      </c>
      <c r="X20" s="1490"/>
      <c r="Y20" s="345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56"/>
      <c r="Q21" s="1487"/>
      <c r="R21" s="714"/>
      <c r="S21" s="715"/>
      <c r="T21" s="714"/>
      <c r="U21" s="715"/>
      <c r="V21" s="714"/>
      <c r="W21" s="715"/>
      <c r="X21" s="1490"/>
      <c r="Y21" s="3456"/>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56"/>
      <c r="Q22" s="1487" t="str">
        <f>B22</f>
        <v>楼层</v>
      </c>
      <c r="R22" s="714" t="s">
        <v>17</v>
      </c>
      <c r="S22" s="715">
        <f>F22</f>
        <v>100</v>
      </c>
      <c r="T22" s="714" t="s">
        <v>17</v>
      </c>
      <c r="U22" s="715">
        <f>H22</f>
        <v>100</v>
      </c>
      <c r="V22" s="714" t="s">
        <v>17</v>
      </c>
      <c r="W22" s="715">
        <f>J22</f>
        <v>100</v>
      </c>
      <c r="X22" s="1490"/>
      <c r="Y22" s="345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56"/>
      <c r="Q23" s="1487">
        <f>B23</f>
        <v>111</v>
      </c>
      <c r="R23" s="714" t="s">
        <v>17</v>
      </c>
      <c r="S23" s="715">
        <f>F23</f>
        <v>100</v>
      </c>
      <c r="T23" s="714" t="s">
        <v>17</v>
      </c>
      <c r="U23" s="715">
        <f>H23</f>
        <v>100</v>
      </c>
      <c r="V23" s="714" t="s">
        <v>17</v>
      </c>
      <c r="W23" s="715">
        <f>J23</f>
        <v>100</v>
      </c>
      <c r="X23" s="1490"/>
      <c r="Y23" s="345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56"/>
      <c r="Q24" s="1487">
        <f t="shared" ref="Q24:Q36" si="11">B24</f>
        <v>111</v>
      </c>
      <c r="R24" s="714" t="s">
        <v>17</v>
      </c>
      <c r="S24" s="715">
        <f>F24</f>
        <v>100</v>
      </c>
      <c r="T24" s="714" t="s">
        <v>17</v>
      </c>
      <c r="U24" s="715">
        <f>H24</f>
        <v>100</v>
      </c>
      <c r="V24" s="714" t="s">
        <v>17</v>
      </c>
      <c r="W24" s="715">
        <f>J24</f>
        <v>100</v>
      </c>
      <c r="X24" s="1490"/>
      <c r="Y24" s="3456"/>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56"/>
      <c r="Q25" s="1478">
        <f t="shared" si="11"/>
        <v>111</v>
      </c>
      <c r="R25" s="710" t="s">
        <v>17</v>
      </c>
      <c r="S25" s="711">
        <f>F25</f>
        <v>100</v>
      </c>
      <c r="T25" s="710" t="s">
        <v>17</v>
      </c>
      <c r="U25" s="711">
        <f>H25</f>
        <v>100</v>
      </c>
      <c r="V25" s="710" t="s">
        <v>17</v>
      </c>
      <c r="W25" s="711">
        <f>J25</f>
        <v>100</v>
      </c>
      <c r="X25" s="712"/>
      <c r="Y25" s="3456"/>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0"/>
      <c r="Q27" s="716" t="str">
        <f t="shared" si="11"/>
        <v>项目停车位配比</v>
      </c>
      <c r="R27" s="717" t="s">
        <v>17</v>
      </c>
      <c r="S27" s="718">
        <f t="shared" si="12"/>
        <v>100</v>
      </c>
      <c r="T27" s="717" t="s">
        <v>17</v>
      </c>
      <c r="U27" s="718">
        <f t="shared" si="13"/>
        <v>100</v>
      </c>
      <c r="V27" s="717" t="s">
        <v>17</v>
      </c>
      <c r="W27" s="718">
        <f t="shared" si="14"/>
        <v>100</v>
      </c>
      <c r="X27" s="719"/>
      <c r="Y27" s="346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0"/>
      <c r="Q28" s="1487" t="str">
        <f t="shared" si="11"/>
        <v>公共部分装修</v>
      </c>
      <c r="R28" s="714" t="s">
        <v>17</v>
      </c>
      <c r="S28" s="715">
        <f t="shared" si="12"/>
        <v>100</v>
      </c>
      <c r="T28" s="714" t="s">
        <v>17</v>
      </c>
      <c r="U28" s="715">
        <f t="shared" si="13"/>
        <v>100</v>
      </c>
      <c r="V28" s="714" t="s">
        <v>17</v>
      </c>
      <c r="W28" s="715">
        <f t="shared" si="14"/>
        <v>100</v>
      </c>
      <c r="X28" s="1490"/>
      <c r="Y28" s="346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0"/>
      <c r="Q29" s="1487" t="str">
        <f t="shared" si="11"/>
        <v>成新率</v>
      </c>
      <c r="R29" s="714" t="s">
        <v>17</v>
      </c>
      <c r="S29" s="715" t="e">
        <f t="shared" si="12"/>
        <v>#N/A</v>
      </c>
      <c r="T29" s="714" t="s">
        <v>17</v>
      </c>
      <c r="U29" s="715" t="e">
        <f t="shared" si="13"/>
        <v>#N/A</v>
      </c>
      <c r="V29" s="714" t="s">
        <v>17</v>
      </c>
      <c r="W29" s="715" t="e">
        <f t="shared" si="14"/>
        <v>#N/A</v>
      </c>
      <c r="X29" s="1490"/>
      <c r="Y29" s="346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0"/>
      <c r="Q30" s="1487" t="str">
        <f t="shared" si="11"/>
        <v>物业等级</v>
      </c>
      <c r="R30" s="714" t="s">
        <v>17</v>
      </c>
      <c r="S30" s="715">
        <f t="shared" si="12"/>
        <v>100</v>
      </c>
      <c r="T30" s="714" t="s">
        <v>17</v>
      </c>
      <c r="U30" s="715">
        <f t="shared" si="13"/>
        <v>100</v>
      </c>
      <c r="V30" s="714" t="s">
        <v>17</v>
      </c>
      <c r="W30" s="715">
        <f t="shared" si="14"/>
        <v>100</v>
      </c>
      <c r="X30" s="1490"/>
      <c r="Y30" s="346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0"/>
      <c r="Q31" s="1478" t="str">
        <f t="shared" si="11"/>
        <v>停车位面积</v>
      </c>
      <c r="R31" s="710" t="s">
        <v>17</v>
      </c>
      <c r="S31" s="711" t="e">
        <f t="shared" si="12"/>
        <v>#N/A</v>
      </c>
      <c r="T31" s="710" t="s">
        <v>17</v>
      </c>
      <c r="U31" s="711" t="e">
        <f t="shared" si="13"/>
        <v>#N/A</v>
      </c>
      <c r="V31" s="710" t="s">
        <v>17</v>
      </c>
      <c r="W31" s="711" t="e">
        <f t="shared" si="14"/>
        <v>#N/A</v>
      </c>
      <c r="X31" s="712"/>
      <c r="Y31" s="346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0" t="s">
        <v>2145</v>
      </c>
      <c r="Q32" s="1487" t="str">
        <f t="shared" si="11"/>
        <v>车位类型</v>
      </c>
      <c r="R32" s="714" t="s">
        <v>17</v>
      </c>
      <c r="S32" s="715">
        <f t="shared" si="12"/>
        <v>100</v>
      </c>
      <c r="T32" s="714" t="s">
        <v>17</v>
      </c>
      <c r="U32" s="715">
        <f t="shared" si="13"/>
        <v>100</v>
      </c>
      <c r="V32" s="714" t="s">
        <v>17</v>
      </c>
      <c r="W32" s="715">
        <f t="shared" si="14"/>
        <v>100</v>
      </c>
      <c r="X32" s="1490"/>
      <c r="Y32" s="346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0"/>
      <c r="Q33" s="1487" t="str">
        <f t="shared" si="11"/>
        <v>是否直接入户</v>
      </c>
      <c r="R33" s="714" t="s">
        <v>17</v>
      </c>
      <c r="S33" s="715">
        <f t="shared" si="12"/>
        <v>100</v>
      </c>
      <c r="T33" s="714" t="s">
        <v>17</v>
      </c>
      <c r="U33" s="715">
        <f t="shared" si="13"/>
        <v>100</v>
      </c>
      <c r="V33" s="714" t="s">
        <v>17</v>
      </c>
      <c r="W33" s="715">
        <f t="shared" si="14"/>
        <v>100</v>
      </c>
      <c r="X33" s="1490"/>
      <c r="Y33" s="346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0"/>
      <c r="Q34" s="1487">
        <f t="shared" si="11"/>
        <v>111</v>
      </c>
      <c r="R34" s="714" t="s">
        <v>17</v>
      </c>
      <c r="S34" s="715">
        <f t="shared" si="12"/>
        <v>100</v>
      </c>
      <c r="T34" s="714" t="s">
        <v>17</v>
      </c>
      <c r="U34" s="715">
        <f t="shared" si="13"/>
        <v>100</v>
      </c>
      <c r="V34" s="714" t="s">
        <v>17</v>
      </c>
      <c r="W34" s="715">
        <f t="shared" si="14"/>
        <v>100</v>
      </c>
      <c r="X34" s="1490"/>
      <c r="Y34" s="346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0"/>
      <c r="Q35" s="716">
        <f t="shared" si="11"/>
        <v>111</v>
      </c>
      <c r="R35" s="717" t="s">
        <v>17</v>
      </c>
      <c r="S35" s="718">
        <f t="shared" si="12"/>
        <v>100</v>
      </c>
      <c r="T35" s="717" t="s">
        <v>17</v>
      </c>
      <c r="U35" s="718">
        <f t="shared" si="13"/>
        <v>100</v>
      </c>
      <c r="V35" s="717" t="s">
        <v>17</v>
      </c>
      <c r="W35" s="718">
        <f t="shared" si="14"/>
        <v>100</v>
      </c>
      <c r="X35" s="719"/>
      <c r="Y35" s="3460"/>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0"/>
      <c r="Q36" s="1487">
        <f t="shared" si="11"/>
        <v>111</v>
      </c>
      <c r="R36" s="714" t="s">
        <v>17</v>
      </c>
      <c r="S36" s="715">
        <f t="shared" si="12"/>
        <v>100</v>
      </c>
      <c r="T36" s="714" t="s">
        <v>17</v>
      </c>
      <c r="U36" s="715">
        <f t="shared" si="13"/>
        <v>100</v>
      </c>
      <c r="V36" s="714" t="s">
        <v>17</v>
      </c>
      <c r="W36" s="715">
        <f t="shared" si="14"/>
        <v>100</v>
      </c>
      <c r="X36" s="1490"/>
      <c r="Y36" s="3460"/>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2"/>
      <c r="M37" s="2903"/>
      <c r="N37" s="2894"/>
      <c r="O37" s="2903"/>
      <c r="P37" s="3453" t="str">
        <f>A37</f>
        <v>成交单价</v>
      </c>
      <c r="Q37" s="3453"/>
      <c r="R37" s="3454">
        <f>E37</f>
        <v>0</v>
      </c>
      <c r="S37" s="3454"/>
      <c r="T37" s="3454">
        <f>G37</f>
        <v>0</v>
      </c>
      <c r="U37" s="3454"/>
      <c r="V37" s="3454">
        <f>I37</f>
        <v>0</v>
      </c>
      <c r="W37" s="3454"/>
      <c r="X37" s="699"/>
      <c r="Y37" s="721"/>
      <c r="Z37" s="699"/>
      <c r="AA37" s="699"/>
      <c r="AB37" s="699"/>
      <c r="AC37" s="699"/>
    </row>
    <row r="38" spans="1:29" ht="1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53" t="str">
        <f>A38</f>
        <v>比较价值（元/平方米）</v>
      </c>
      <c r="Q38" s="3453"/>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2"/>
      <c r="M39" s="2903"/>
      <c r="N39" s="2903"/>
      <c r="O39" s="2903"/>
      <c r="P39" s="3450" t="str">
        <f>A39</f>
        <v>估价对象XX用房的比较价值（楼面单价，元/平方米）</v>
      </c>
      <c r="Q39" s="3451"/>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2.2"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4.4">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4.4">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4.4"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4.4">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4.4"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4.4"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4.4"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4.4"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4.4"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4.4"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4.4"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4.4"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4.4"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4.4"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4.4"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4.4"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4.4"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9.4"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4.4"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4.4"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4.4"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4.4"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4.4"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4.4"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4.4"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78" t="s">
        <v>2227</v>
      </c>
      <c r="S4" s="3479"/>
      <c r="T4" s="3478" t="s">
        <v>2228</v>
      </c>
      <c r="U4" s="3479"/>
      <c r="V4" s="3484" t="s">
        <v>2229</v>
      </c>
      <c r="W4" s="3484"/>
      <c r="X4" s="1490"/>
      <c r="Y4" s="3478" t="s">
        <v>2231</v>
      </c>
      <c r="Z4" s="3479"/>
      <c r="AA4" s="3465" t="s">
        <v>2227</v>
      </c>
      <c r="AB4" s="3466" t="s">
        <v>2228</v>
      </c>
      <c r="AC4" s="3465" t="s">
        <v>2229</v>
      </c>
    </row>
    <row r="5" spans="1:29">
      <c r="A5" s="364"/>
      <c r="B5" s="365"/>
      <c r="C5" s="3487" t="s">
        <v>2122</v>
      </c>
      <c r="D5" s="3488"/>
      <c r="E5" s="3494" t="s">
        <v>2123</v>
      </c>
      <c r="F5" s="3495"/>
      <c r="G5" s="3487" t="s">
        <v>2124</v>
      </c>
      <c r="H5" s="3488"/>
      <c r="I5" s="3487" t="s">
        <v>2125</v>
      </c>
      <c r="J5" s="3488"/>
      <c r="K5" s="567"/>
      <c r="L5" s="2893"/>
      <c r="M5" s="2894"/>
      <c r="N5" s="2894"/>
      <c r="O5" s="2894"/>
      <c r="P5" s="3474"/>
      <c r="Q5" s="3475"/>
      <c r="R5" s="3480"/>
      <c r="S5" s="3481"/>
      <c r="T5" s="3480"/>
      <c r="U5" s="3481"/>
      <c r="V5" s="3484"/>
      <c r="W5" s="3484"/>
      <c r="X5" s="1490"/>
      <c r="Y5" s="3480"/>
      <c r="Z5" s="3481"/>
      <c r="AA5" s="3466"/>
      <c r="AB5" s="3466"/>
      <c r="AC5" s="3466"/>
    </row>
    <row r="6" spans="1:29" ht="15" thickBot="1">
      <c r="A6" s="366"/>
      <c r="B6" s="367"/>
      <c r="C6" s="3485" t="s">
        <v>2126</v>
      </c>
      <c r="D6" s="3486"/>
      <c r="E6" s="3492" t="s">
        <v>2126</v>
      </c>
      <c r="F6" s="3493"/>
      <c r="G6" s="3485" t="s">
        <v>2126</v>
      </c>
      <c r="H6" s="3486"/>
      <c r="I6" s="3485" t="s">
        <v>2126</v>
      </c>
      <c r="J6" s="3486"/>
      <c r="K6" s="567" t="s">
        <v>2127</v>
      </c>
      <c r="L6" s="2893"/>
      <c r="M6" s="2894"/>
      <c r="N6" s="2894"/>
      <c r="O6" s="2894"/>
      <c r="P6" s="3476"/>
      <c r="Q6" s="3477"/>
      <c r="R6" s="3480"/>
      <c r="S6" s="3481"/>
      <c r="T6" s="3482"/>
      <c r="U6" s="3483"/>
      <c r="V6" s="3484"/>
      <c r="W6" s="3484"/>
      <c r="X6" s="1490"/>
      <c r="Y6" s="3482"/>
      <c r="Z6" s="3483"/>
      <c r="AA6" s="3467"/>
      <c r="AB6" s="3467"/>
      <c r="AC6" s="3467"/>
    </row>
    <row r="7" spans="1:29" s="113" customFormat="1" ht="15" thickBot="1">
      <c r="A7" s="368" t="s">
        <v>2128</v>
      </c>
      <c r="B7" s="369"/>
      <c r="C7" s="370">
        <f>'数据-取费表'!B2</f>
        <v>44782</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89" t="s">
        <v>2129</v>
      </c>
      <c r="Q7" s="3491"/>
      <c r="R7" s="710" t="s">
        <v>17</v>
      </c>
      <c r="S7" s="711">
        <f t="shared" ref="S7:S14" si="0">F7</f>
        <v>0</v>
      </c>
      <c r="T7" s="710" t="s">
        <v>17</v>
      </c>
      <c r="U7" s="711">
        <f t="shared" ref="U7:U14" si="1">H7</f>
        <v>0</v>
      </c>
      <c r="V7" s="710" t="s">
        <v>17</v>
      </c>
      <c r="W7" s="711">
        <f t="shared" ref="W7:W14" si="2">J7</f>
        <v>0</v>
      </c>
      <c r="X7" s="712"/>
      <c r="Y7" s="3489" t="s">
        <v>2129</v>
      </c>
      <c r="Z7" s="3490"/>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3" t="s">
        <v>2135</v>
      </c>
      <c r="Q9" s="1478" t="str">
        <f t="shared" ref="Q9:Q14" si="6">B9</f>
        <v>用途</v>
      </c>
      <c r="R9" s="710" t="s">
        <v>17</v>
      </c>
      <c r="S9" s="711">
        <f t="shared" si="0"/>
        <v>100</v>
      </c>
      <c r="T9" s="710" t="s">
        <v>17</v>
      </c>
      <c r="U9" s="711">
        <f t="shared" si="1"/>
        <v>100</v>
      </c>
      <c r="V9" s="710" t="s">
        <v>17</v>
      </c>
      <c r="W9" s="711">
        <f t="shared" si="2"/>
        <v>100</v>
      </c>
      <c r="X9" s="712"/>
      <c r="Y9" s="3325"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3"/>
      <c r="Q10" s="1478" t="str">
        <f t="shared" si="6"/>
        <v>土地使用年限（年）</v>
      </c>
      <c r="R10" s="710" t="s">
        <v>17</v>
      </c>
      <c r="S10" s="711">
        <f t="shared" si="0"/>
        <v>100</v>
      </c>
      <c r="T10" s="710" t="s">
        <v>17</v>
      </c>
      <c r="U10" s="711">
        <f t="shared" si="1"/>
        <v>100</v>
      </c>
      <c r="V10" s="710" t="s">
        <v>17</v>
      </c>
      <c r="W10" s="711">
        <f t="shared" si="2"/>
        <v>100</v>
      </c>
      <c r="X10" s="712"/>
      <c r="Y10" s="3325"/>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3"/>
      <c r="Q11" s="1478">
        <f t="shared" si="6"/>
        <v>111</v>
      </c>
      <c r="R11" s="710" t="s">
        <v>17</v>
      </c>
      <c r="S11" s="711">
        <f t="shared" si="0"/>
        <v>100</v>
      </c>
      <c r="T11" s="710" t="s">
        <v>17</v>
      </c>
      <c r="U11" s="711">
        <f t="shared" si="1"/>
        <v>100</v>
      </c>
      <c r="V11" s="710" t="s">
        <v>17</v>
      </c>
      <c r="W11" s="711">
        <f t="shared" si="2"/>
        <v>100</v>
      </c>
      <c r="X11" s="712"/>
      <c r="Y11" s="3325"/>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3"/>
      <c r="Q12" s="1478">
        <f t="shared" si="6"/>
        <v>111</v>
      </c>
      <c r="R12" s="710" t="s">
        <v>17</v>
      </c>
      <c r="S12" s="711">
        <f t="shared" si="0"/>
        <v>100</v>
      </c>
      <c r="T12" s="710" t="s">
        <v>17</v>
      </c>
      <c r="U12" s="711">
        <f t="shared" si="1"/>
        <v>100</v>
      </c>
      <c r="V12" s="710" t="s">
        <v>17</v>
      </c>
      <c r="W12" s="711">
        <f t="shared" si="2"/>
        <v>100</v>
      </c>
      <c r="X12" s="712"/>
      <c r="Y12" s="3325"/>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53"/>
      <c r="Q13" s="1478">
        <f t="shared" si="6"/>
        <v>111</v>
      </c>
      <c r="R13" s="710" t="s">
        <v>17</v>
      </c>
      <c r="S13" s="711">
        <f t="shared" si="0"/>
        <v>100</v>
      </c>
      <c r="T13" s="710" t="s">
        <v>17</v>
      </c>
      <c r="U13" s="711">
        <f t="shared" si="1"/>
        <v>100</v>
      </c>
      <c r="V13" s="710" t="s">
        <v>17</v>
      </c>
      <c r="W13" s="711">
        <f t="shared" si="2"/>
        <v>100</v>
      </c>
      <c r="X13" s="712"/>
      <c r="Y13" s="3325"/>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5" t="s">
        <v>2140</v>
      </c>
      <c r="Q14" s="1487" t="str">
        <f t="shared" si="6"/>
        <v>交通便捷度</v>
      </c>
      <c r="R14" s="714" t="s">
        <v>17</v>
      </c>
      <c r="S14" s="715">
        <f t="shared" si="0"/>
        <v>100</v>
      </c>
      <c r="T14" s="714" t="s">
        <v>17</v>
      </c>
      <c r="U14" s="715">
        <f t="shared" si="1"/>
        <v>100</v>
      </c>
      <c r="V14" s="714" t="s">
        <v>17</v>
      </c>
      <c r="W14" s="715">
        <f t="shared" si="2"/>
        <v>100</v>
      </c>
      <c r="X14" s="1490"/>
      <c r="Y14" s="3455"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56"/>
      <c r="Q15" s="1487"/>
      <c r="R15" s="714"/>
      <c r="S15" s="715"/>
      <c r="T15" s="714"/>
      <c r="U15" s="715"/>
      <c r="V15" s="714"/>
      <c r="W15" s="715"/>
      <c r="X15" s="1490"/>
      <c r="Y15" s="3456"/>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56"/>
      <c r="Q16" s="1487" t="str">
        <f>B16</f>
        <v>公共配套设施</v>
      </c>
      <c r="R16" s="714" t="s">
        <v>17</v>
      </c>
      <c r="S16" s="715">
        <f>F16</f>
        <v>100</v>
      </c>
      <c r="T16" s="714" t="s">
        <v>17</v>
      </c>
      <c r="U16" s="715">
        <f>H16</f>
        <v>100</v>
      </c>
      <c r="V16" s="714" t="s">
        <v>17</v>
      </c>
      <c r="W16" s="715">
        <f>J16</f>
        <v>100</v>
      </c>
      <c r="X16" s="1490"/>
      <c r="Y16" s="345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56"/>
      <c r="Q17" s="1487"/>
      <c r="R17" s="714"/>
      <c r="S17" s="715"/>
      <c r="T17" s="714"/>
      <c r="U17" s="715"/>
      <c r="V17" s="714"/>
      <c r="W17" s="715"/>
      <c r="X17" s="1490"/>
      <c r="Y17" s="3456"/>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56"/>
      <c r="Q18" s="1487" t="str">
        <f>B18</f>
        <v>基础设施水平</v>
      </c>
      <c r="R18" s="714" t="s">
        <v>17</v>
      </c>
      <c r="S18" s="715">
        <f>F18</f>
        <v>100</v>
      </c>
      <c r="T18" s="714" t="s">
        <v>17</v>
      </c>
      <c r="U18" s="715">
        <f>H18</f>
        <v>100</v>
      </c>
      <c r="V18" s="714" t="s">
        <v>17</v>
      </c>
      <c r="W18" s="715">
        <f>J18</f>
        <v>100</v>
      </c>
      <c r="X18" s="1490"/>
      <c r="Y18" s="345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56"/>
      <c r="Q19" s="1487"/>
      <c r="R19" s="714"/>
      <c r="S19" s="715"/>
      <c r="T19" s="714"/>
      <c r="U19" s="715"/>
      <c r="V19" s="714"/>
      <c r="W19" s="715"/>
      <c r="X19" s="1490"/>
      <c r="Y19" s="3456"/>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56"/>
      <c r="Q20" s="1487" t="str">
        <f>B20</f>
        <v>自然及人文环境</v>
      </c>
      <c r="R20" s="714" t="s">
        <v>17</v>
      </c>
      <c r="S20" s="715">
        <f>F20</f>
        <v>100</v>
      </c>
      <c r="T20" s="714" t="s">
        <v>17</v>
      </c>
      <c r="U20" s="715">
        <f>H20</f>
        <v>100</v>
      </c>
      <c r="V20" s="714" t="s">
        <v>17</v>
      </c>
      <c r="W20" s="715">
        <f>J20</f>
        <v>100</v>
      </c>
      <c r="X20" s="1490"/>
      <c r="Y20" s="345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56"/>
      <c r="Q21" s="1487"/>
      <c r="R21" s="714"/>
      <c r="S21" s="715"/>
      <c r="T21" s="714"/>
      <c r="U21" s="715"/>
      <c r="V21" s="714"/>
      <c r="W21" s="715"/>
      <c r="X21" s="1490"/>
      <c r="Y21" s="3456"/>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56"/>
      <c r="Q22" s="1487" t="str">
        <f>B22</f>
        <v>楼层</v>
      </c>
      <c r="R22" s="714" t="s">
        <v>17</v>
      </c>
      <c r="S22" s="715">
        <f>F22</f>
        <v>100</v>
      </c>
      <c r="T22" s="714" t="s">
        <v>17</v>
      </c>
      <c r="U22" s="715">
        <f>H22</f>
        <v>100</v>
      </c>
      <c r="V22" s="714" t="s">
        <v>17</v>
      </c>
      <c r="W22" s="715">
        <f>J22</f>
        <v>100</v>
      </c>
      <c r="X22" s="1490"/>
      <c r="Y22" s="345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56"/>
      <c r="Q23" s="1487">
        <f>B23</f>
        <v>111</v>
      </c>
      <c r="R23" s="714" t="s">
        <v>17</v>
      </c>
      <c r="S23" s="715">
        <f>F23</f>
        <v>100</v>
      </c>
      <c r="T23" s="714" t="s">
        <v>17</v>
      </c>
      <c r="U23" s="715">
        <f>H23</f>
        <v>100</v>
      </c>
      <c r="V23" s="714" t="s">
        <v>17</v>
      </c>
      <c r="W23" s="715">
        <f>J23</f>
        <v>100</v>
      </c>
      <c r="X23" s="1490"/>
      <c r="Y23" s="345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56"/>
      <c r="Q24" s="1487">
        <f t="shared" ref="Q24:Q34" si="11">B24</f>
        <v>111</v>
      </c>
      <c r="R24" s="714" t="s">
        <v>17</v>
      </c>
      <c r="S24" s="715">
        <f>F24</f>
        <v>100</v>
      </c>
      <c r="T24" s="714" t="s">
        <v>17</v>
      </c>
      <c r="U24" s="715">
        <f>H24</f>
        <v>100</v>
      </c>
      <c r="V24" s="714" t="s">
        <v>17</v>
      </c>
      <c r="W24" s="715">
        <f>J24</f>
        <v>100</v>
      </c>
      <c r="X24" s="1490"/>
      <c r="Y24" s="3456"/>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56"/>
      <c r="Q25" s="1478">
        <f t="shared" si="11"/>
        <v>111</v>
      </c>
      <c r="R25" s="710" t="s">
        <v>17</v>
      </c>
      <c r="S25" s="711">
        <f>F25</f>
        <v>100</v>
      </c>
      <c r="T25" s="710" t="s">
        <v>17</v>
      </c>
      <c r="U25" s="711">
        <f>H25</f>
        <v>100</v>
      </c>
      <c r="V25" s="710" t="s">
        <v>17</v>
      </c>
      <c r="W25" s="711">
        <f>J25</f>
        <v>100</v>
      </c>
      <c r="X25" s="712"/>
      <c r="Y25" s="3456"/>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0"/>
      <c r="Q27" s="716" t="str">
        <f t="shared" si="11"/>
        <v>成新率</v>
      </c>
      <c r="R27" s="717" t="s">
        <v>17</v>
      </c>
      <c r="S27" s="718" t="e">
        <f t="shared" si="12"/>
        <v>#N/A</v>
      </c>
      <c r="T27" s="717" t="s">
        <v>17</v>
      </c>
      <c r="U27" s="718" t="e">
        <f t="shared" si="13"/>
        <v>#N/A</v>
      </c>
      <c r="V27" s="717" t="s">
        <v>17</v>
      </c>
      <c r="W27" s="718" t="e">
        <f t="shared" si="14"/>
        <v>#N/A</v>
      </c>
      <c r="X27" s="719"/>
      <c r="Y27" s="346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0"/>
      <c r="Q28" s="1487" t="str">
        <f t="shared" si="11"/>
        <v>物业等级</v>
      </c>
      <c r="R28" s="714" t="s">
        <v>17</v>
      </c>
      <c r="S28" s="715">
        <f t="shared" si="12"/>
        <v>100</v>
      </c>
      <c r="T28" s="714" t="s">
        <v>17</v>
      </c>
      <c r="U28" s="715">
        <f t="shared" si="13"/>
        <v>100</v>
      </c>
      <c r="V28" s="714" t="s">
        <v>17</v>
      </c>
      <c r="W28" s="715">
        <f t="shared" si="14"/>
        <v>100</v>
      </c>
      <c r="X28" s="1490"/>
      <c r="Y28" s="346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0"/>
      <c r="Q29" s="1487" t="str">
        <f t="shared" si="11"/>
        <v>有无电梯</v>
      </c>
      <c r="R29" s="714" t="s">
        <v>17</v>
      </c>
      <c r="S29" s="715">
        <f t="shared" si="12"/>
        <v>100</v>
      </c>
      <c r="T29" s="714" t="s">
        <v>17</v>
      </c>
      <c r="U29" s="715">
        <f t="shared" si="13"/>
        <v>100</v>
      </c>
      <c r="V29" s="714" t="s">
        <v>17</v>
      </c>
      <c r="W29" s="715">
        <f t="shared" si="14"/>
        <v>100</v>
      </c>
      <c r="X29" s="1490"/>
      <c r="Y29" s="346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0"/>
      <c r="Q30" s="1487" t="str">
        <f t="shared" si="11"/>
        <v>建筑面积</v>
      </c>
      <c r="R30" s="714" t="s">
        <v>17</v>
      </c>
      <c r="S30" s="715" t="e">
        <f t="shared" si="12"/>
        <v>#N/A</v>
      </c>
      <c r="T30" s="714" t="s">
        <v>17</v>
      </c>
      <c r="U30" s="715" t="e">
        <f t="shared" si="13"/>
        <v>#N/A</v>
      </c>
      <c r="V30" s="714" t="s">
        <v>17</v>
      </c>
      <c r="W30" s="715" t="e">
        <f t="shared" si="14"/>
        <v>#N/A</v>
      </c>
      <c r="X30" s="1490"/>
      <c r="Y30" s="346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0"/>
      <c r="Q31" s="1478" t="str">
        <f t="shared" si="11"/>
        <v>是否封闭</v>
      </c>
      <c r="R31" s="710" t="s">
        <v>17</v>
      </c>
      <c r="S31" s="711">
        <f t="shared" si="12"/>
        <v>100</v>
      </c>
      <c r="T31" s="710" t="s">
        <v>17</v>
      </c>
      <c r="U31" s="711">
        <f t="shared" si="13"/>
        <v>100</v>
      </c>
      <c r="V31" s="710" t="s">
        <v>17</v>
      </c>
      <c r="W31" s="711">
        <f t="shared" si="14"/>
        <v>100</v>
      </c>
      <c r="X31" s="712"/>
      <c r="Y31" s="3460"/>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0" t="s">
        <v>2145</v>
      </c>
      <c r="Q32" s="1487">
        <f t="shared" si="11"/>
        <v>111</v>
      </c>
      <c r="R32" s="714" t="s">
        <v>17</v>
      </c>
      <c r="S32" s="715">
        <f t="shared" si="12"/>
        <v>100</v>
      </c>
      <c r="T32" s="714" t="s">
        <v>17</v>
      </c>
      <c r="U32" s="715">
        <f t="shared" si="13"/>
        <v>100</v>
      </c>
      <c r="V32" s="714" t="s">
        <v>17</v>
      </c>
      <c r="W32" s="715">
        <f t="shared" si="14"/>
        <v>100</v>
      </c>
      <c r="X32" s="1490"/>
      <c r="Y32" s="3460"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0"/>
      <c r="Q33" s="1487">
        <f t="shared" si="11"/>
        <v>111</v>
      </c>
      <c r="R33" s="714" t="s">
        <v>17</v>
      </c>
      <c r="S33" s="715">
        <f t="shared" si="12"/>
        <v>100</v>
      </c>
      <c r="T33" s="714" t="s">
        <v>17</v>
      </c>
      <c r="U33" s="715">
        <f t="shared" si="13"/>
        <v>100</v>
      </c>
      <c r="V33" s="714" t="s">
        <v>17</v>
      </c>
      <c r="W33" s="715">
        <f t="shared" si="14"/>
        <v>100</v>
      </c>
      <c r="X33" s="1490"/>
      <c r="Y33" s="3460"/>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0"/>
      <c r="Q34" s="1487">
        <f t="shared" si="11"/>
        <v>111</v>
      </c>
      <c r="R34" s="714" t="s">
        <v>17</v>
      </c>
      <c r="S34" s="715">
        <f t="shared" si="12"/>
        <v>100</v>
      </c>
      <c r="T34" s="714" t="s">
        <v>17</v>
      </c>
      <c r="U34" s="715">
        <f t="shared" si="13"/>
        <v>100</v>
      </c>
      <c r="V34" s="714" t="s">
        <v>17</v>
      </c>
      <c r="W34" s="715">
        <f t="shared" si="14"/>
        <v>100</v>
      </c>
      <c r="X34" s="1490"/>
      <c r="Y34" s="3460"/>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2"/>
      <c r="M35" s="2903"/>
      <c r="N35" s="2894"/>
      <c r="O35" s="2903"/>
      <c r="P35" s="3453" t="str">
        <f>A35</f>
        <v>成交单价（元/平方米）</v>
      </c>
      <c r="Q35" s="3453"/>
      <c r="R35" s="3454">
        <f>E35</f>
        <v>0</v>
      </c>
      <c r="S35" s="3454"/>
      <c r="T35" s="3454">
        <f>G35</f>
        <v>0</v>
      </c>
      <c r="U35" s="3454"/>
      <c r="V35" s="3454">
        <f>I35</f>
        <v>0</v>
      </c>
      <c r="W35" s="3454"/>
      <c r="X35" s="699"/>
      <c r="Y35" s="721"/>
      <c r="Z35" s="699"/>
      <c r="AA35" s="699"/>
      <c r="AB35" s="699"/>
      <c r="AC35" s="699"/>
    </row>
    <row r="36" spans="1:30" ht="1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53" t="str">
        <f>A36</f>
        <v>比较价值（元/平方米）</v>
      </c>
      <c r="Q36" s="3453"/>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2"/>
      <c r="M37" s="2903"/>
      <c r="N37" s="2903"/>
      <c r="O37" s="2903"/>
      <c r="P37" s="3450" t="str">
        <f>A37</f>
        <v>估价对象XX用房的比较价值（楼面单价，元/平方米）</v>
      </c>
      <c r="Q37" s="3451"/>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2.2"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4.4">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4.4">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4.4"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4.4">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4.4"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4.4"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4.4"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4.4"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4.4"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4.4"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4.4"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9.4"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4.4"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4.4"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4.4"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4.4"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4.4"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4.4"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4.4"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4.4"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4.4"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4.4"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4.4"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4.4"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4.4"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4.4"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4.4"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4.4"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5" sqref="G5:H5"/>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4.4">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78" t="s">
        <v>2227</v>
      </c>
      <c r="S4" s="3479"/>
      <c r="T4" s="3478" t="s">
        <v>2228</v>
      </c>
      <c r="U4" s="3479"/>
      <c r="V4" s="3484" t="s">
        <v>2229</v>
      </c>
      <c r="W4" s="3484"/>
      <c r="X4" s="1490"/>
      <c r="Y4" s="3478" t="s">
        <v>2231</v>
      </c>
      <c r="Z4" s="3479"/>
      <c r="AA4" s="3465" t="s">
        <v>2227</v>
      </c>
      <c r="AB4" s="3466" t="s">
        <v>2228</v>
      </c>
      <c r="AC4" s="3465" t="s">
        <v>2229</v>
      </c>
    </row>
    <row r="5" spans="1:30">
      <c r="A5" s="364"/>
      <c r="B5" s="365"/>
      <c r="C5" s="3487" t="s">
        <v>2122</v>
      </c>
      <c r="D5" s="3488"/>
      <c r="E5" s="3494" t="s">
        <v>2123</v>
      </c>
      <c r="F5" s="3495"/>
      <c r="G5" s="3487" t="s">
        <v>2124</v>
      </c>
      <c r="H5" s="3488"/>
      <c r="I5" s="3487" t="s">
        <v>2125</v>
      </c>
      <c r="J5" s="3488"/>
      <c r="K5" s="567"/>
      <c r="L5" s="2893"/>
      <c r="M5" s="2894"/>
      <c r="N5" s="2894"/>
      <c r="O5" s="2894"/>
      <c r="P5" s="3474"/>
      <c r="Q5" s="3475"/>
      <c r="R5" s="3480"/>
      <c r="S5" s="3481"/>
      <c r="T5" s="3480"/>
      <c r="U5" s="3481"/>
      <c r="V5" s="3484"/>
      <c r="W5" s="3484"/>
      <c r="X5" s="1490"/>
      <c r="Y5" s="3480"/>
      <c r="Z5" s="3481"/>
      <c r="AA5" s="3466"/>
      <c r="AB5" s="3466"/>
      <c r="AC5" s="3466"/>
    </row>
    <row r="6" spans="1:30" ht="15" thickBot="1">
      <c r="A6" s="366"/>
      <c r="B6" s="367"/>
      <c r="C6" s="3485" t="s">
        <v>2126</v>
      </c>
      <c r="D6" s="3486"/>
      <c r="E6" s="3492" t="s">
        <v>2126</v>
      </c>
      <c r="F6" s="3493"/>
      <c r="G6" s="3485" t="s">
        <v>2126</v>
      </c>
      <c r="H6" s="3486"/>
      <c r="I6" s="3485" t="s">
        <v>2126</v>
      </c>
      <c r="J6" s="3486"/>
      <c r="K6" s="567" t="s">
        <v>2127</v>
      </c>
      <c r="L6" s="2893"/>
      <c r="M6" s="2894"/>
      <c r="N6" s="2894"/>
      <c r="O6" s="2894"/>
      <c r="P6" s="3476"/>
      <c r="Q6" s="3477"/>
      <c r="R6" s="3480"/>
      <c r="S6" s="3481"/>
      <c r="T6" s="3482"/>
      <c r="U6" s="3483"/>
      <c r="V6" s="3484"/>
      <c r="W6" s="3484"/>
      <c r="X6" s="1490"/>
      <c r="Y6" s="3482"/>
      <c r="Z6" s="3483"/>
      <c r="AA6" s="3467"/>
      <c r="AB6" s="3467"/>
      <c r="AC6" s="3467"/>
    </row>
    <row r="7" spans="1:30" s="113" customFormat="1" ht="15" thickBot="1">
      <c r="A7" s="368" t="s">
        <v>2128</v>
      </c>
      <c r="B7" s="369"/>
      <c r="C7" s="370">
        <f>'数据-取费表'!B2</f>
        <v>44782</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89" t="s">
        <v>2129</v>
      </c>
      <c r="Q7" s="3491"/>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53" t="s">
        <v>2135</v>
      </c>
      <c r="Q9" s="1478" t="str">
        <f t="shared" ref="Q9:Q15" si="6">B9</f>
        <v>用途</v>
      </c>
      <c r="R9" s="710" t="s">
        <v>17</v>
      </c>
      <c r="S9" s="711">
        <f t="shared" si="0"/>
        <v>100</v>
      </c>
      <c r="T9" s="710" t="s">
        <v>17</v>
      </c>
      <c r="U9" s="711">
        <f t="shared" si="1"/>
        <v>100</v>
      </c>
      <c r="V9" s="710" t="s">
        <v>17</v>
      </c>
      <c r="W9" s="711">
        <f t="shared" si="2"/>
        <v>100</v>
      </c>
      <c r="X9" s="712"/>
      <c r="Y9" s="3325"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453"/>
      <c r="Q10" s="1478" t="str">
        <f t="shared" si="6"/>
        <v>土地使用年限（年）</v>
      </c>
      <c r="R10" s="710" t="s">
        <v>17</v>
      </c>
      <c r="S10" s="711">
        <f t="shared" si="0"/>
        <v>114</v>
      </c>
      <c r="T10" s="710" t="s">
        <v>17</v>
      </c>
      <c r="U10" s="711">
        <f t="shared" si="1"/>
        <v>114</v>
      </c>
      <c r="V10" s="710" t="s">
        <v>17</v>
      </c>
      <c r="W10" s="711">
        <f t="shared" si="2"/>
        <v>114</v>
      </c>
      <c r="X10" s="712"/>
      <c r="Y10" s="3325"/>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3"/>
      <c r="Q11" s="1478" t="str">
        <f t="shared" si="6"/>
        <v>容积率</v>
      </c>
      <c r="R11" s="710" t="s">
        <v>17</v>
      </c>
      <c r="S11" s="711" t="e">
        <f t="shared" si="0"/>
        <v>#N/A</v>
      </c>
      <c r="T11" s="710" t="s">
        <v>17</v>
      </c>
      <c r="U11" s="711" t="e">
        <f t="shared" si="1"/>
        <v>#N/A</v>
      </c>
      <c r="V11" s="710" t="s">
        <v>17</v>
      </c>
      <c r="W11" s="711" t="e">
        <f t="shared" si="2"/>
        <v>#N/A</v>
      </c>
      <c r="X11" s="712"/>
      <c r="Y11" s="3325"/>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3"/>
      <c r="Q12" s="1478" t="str">
        <f t="shared" si="6"/>
        <v>配建</v>
      </c>
      <c r="R12" s="710" t="s">
        <v>17</v>
      </c>
      <c r="S12" s="711">
        <f t="shared" si="0"/>
        <v>100</v>
      </c>
      <c r="T12" s="710" t="s">
        <v>17</v>
      </c>
      <c r="U12" s="711">
        <f t="shared" si="1"/>
        <v>100</v>
      </c>
      <c r="V12" s="710" t="s">
        <v>17</v>
      </c>
      <c r="W12" s="711">
        <f t="shared" si="2"/>
        <v>100</v>
      </c>
      <c r="X12" s="712"/>
      <c r="Y12" s="3325"/>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3"/>
      <c r="Q13" s="1478">
        <f t="shared" si="6"/>
        <v>111</v>
      </c>
      <c r="R13" s="710" t="s">
        <v>17</v>
      </c>
      <c r="S13" s="711">
        <f t="shared" si="0"/>
        <v>100</v>
      </c>
      <c r="T13" s="710" t="s">
        <v>17</v>
      </c>
      <c r="U13" s="711">
        <f t="shared" si="1"/>
        <v>100</v>
      </c>
      <c r="V13" s="710" t="s">
        <v>17</v>
      </c>
      <c r="W13" s="711">
        <f t="shared" si="2"/>
        <v>100</v>
      </c>
      <c r="X13" s="712"/>
      <c r="Y13" s="3325"/>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3"/>
      <c r="Q14" s="1478">
        <f t="shared" si="6"/>
        <v>111</v>
      </c>
      <c r="R14" s="710" t="s">
        <v>17</v>
      </c>
      <c r="S14" s="711">
        <f t="shared" si="0"/>
        <v>100</v>
      </c>
      <c r="T14" s="710" t="s">
        <v>17</v>
      </c>
      <c r="U14" s="711">
        <f t="shared" si="1"/>
        <v>100</v>
      </c>
      <c r="V14" s="710" t="s">
        <v>17</v>
      </c>
      <c r="W14" s="711">
        <f t="shared" si="2"/>
        <v>100</v>
      </c>
      <c r="X14" s="712"/>
      <c r="Y14" s="3325"/>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5" t="s">
        <v>2140</v>
      </c>
      <c r="Q15" s="1487" t="str">
        <f t="shared" si="6"/>
        <v>居住社区成熟度</v>
      </c>
      <c r="R15" s="714" t="s">
        <v>17</v>
      </c>
      <c r="S15" s="715">
        <f t="shared" si="0"/>
        <v>100</v>
      </c>
      <c r="T15" s="714" t="s">
        <v>17</v>
      </c>
      <c r="U15" s="715">
        <f t="shared" si="1"/>
        <v>100</v>
      </c>
      <c r="V15" s="714" t="s">
        <v>17</v>
      </c>
      <c r="W15" s="715">
        <f t="shared" si="2"/>
        <v>100</v>
      </c>
      <c r="X15" s="1490"/>
      <c r="Y15" s="3455"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56"/>
      <c r="Q16" s="1487"/>
      <c r="R16" s="714"/>
      <c r="S16" s="715"/>
      <c r="T16" s="714"/>
      <c r="U16" s="715"/>
      <c r="V16" s="714"/>
      <c r="W16" s="715"/>
      <c r="X16" s="1490"/>
      <c r="Y16" s="3456"/>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56"/>
      <c r="Q17" s="1487" t="str">
        <f>B17</f>
        <v>商业繁华度</v>
      </c>
      <c r="R17" s="714" t="s">
        <v>17</v>
      </c>
      <c r="S17" s="715">
        <f>F17</f>
        <v>100</v>
      </c>
      <c r="T17" s="714" t="s">
        <v>17</v>
      </c>
      <c r="U17" s="715">
        <f>H17</f>
        <v>100</v>
      </c>
      <c r="V17" s="714" t="s">
        <v>17</v>
      </c>
      <c r="W17" s="715">
        <f>J17</f>
        <v>100</v>
      </c>
      <c r="X17" s="1490"/>
      <c r="Y17" s="345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56"/>
      <c r="Q18" s="1487"/>
      <c r="R18" s="714"/>
      <c r="S18" s="715"/>
      <c r="T18" s="714"/>
      <c r="U18" s="715"/>
      <c r="V18" s="714"/>
      <c r="W18" s="715"/>
      <c r="X18" s="1490"/>
      <c r="Y18" s="3456"/>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56"/>
      <c r="Q19" s="1487" t="str">
        <f>B19</f>
        <v>办公集聚程度</v>
      </c>
      <c r="R19" s="714" t="s">
        <v>17</v>
      </c>
      <c r="S19" s="715">
        <f>F19</f>
        <v>100</v>
      </c>
      <c r="T19" s="714" t="s">
        <v>17</v>
      </c>
      <c r="U19" s="715">
        <f>H19</f>
        <v>100</v>
      </c>
      <c r="V19" s="714" t="s">
        <v>17</v>
      </c>
      <c r="W19" s="715">
        <f>J19</f>
        <v>100</v>
      </c>
      <c r="X19" s="1490"/>
      <c r="Y19" s="345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56"/>
      <c r="Q20" s="1487"/>
      <c r="R20" s="714"/>
      <c r="S20" s="715"/>
      <c r="T20" s="714"/>
      <c r="U20" s="715"/>
      <c r="V20" s="714"/>
      <c r="W20" s="715"/>
      <c r="X20" s="1490"/>
      <c r="Y20" s="3456"/>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56"/>
      <c r="Q21" s="1487" t="str">
        <f>B21</f>
        <v>交通便捷度</v>
      </c>
      <c r="R21" s="714" t="s">
        <v>17</v>
      </c>
      <c r="S21" s="715">
        <f>F21</f>
        <v>100</v>
      </c>
      <c r="T21" s="714" t="s">
        <v>17</v>
      </c>
      <c r="U21" s="715">
        <f>H21</f>
        <v>100</v>
      </c>
      <c r="V21" s="714" t="s">
        <v>17</v>
      </c>
      <c r="W21" s="715">
        <f>J21</f>
        <v>100</v>
      </c>
      <c r="X21" s="1490"/>
      <c r="Y21" s="345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56"/>
      <c r="Q22" s="1487"/>
      <c r="R22" s="714"/>
      <c r="S22" s="715"/>
      <c r="T22" s="714"/>
      <c r="U22" s="715"/>
      <c r="V22" s="714"/>
      <c r="W22" s="715"/>
      <c r="X22" s="1490"/>
      <c r="Y22" s="3456"/>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56"/>
      <c r="Q23" s="1487" t="str">
        <f t="shared" ref="Q23:Q37" si="8">B23</f>
        <v>区域土地利用方向</v>
      </c>
      <c r="R23" s="714" t="s">
        <v>17</v>
      </c>
      <c r="S23" s="715">
        <f>F23</f>
        <v>100</v>
      </c>
      <c r="T23" s="714" t="s">
        <v>17</v>
      </c>
      <c r="U23" s="715">
        <f>H23</f>
        <v>100</v>
      </c>
      <c r="V23" s="714" t="s">
        <v>17</v>
      </c>
      <c r="W23" s="715">
        <f>J23</f>
        <v>100</v>
      </c>
      <c r="X23" s="1490"/>
      <c r="Y23" s="345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56"/>
      <c r="Q24" s="1487"/>
      <c r="R24" s="714"/>
      <c r="S24" s="715"/>
      <c r="T24" s="714"/>
      <c r="U24" s="715"/>
      <c r="V24" s="714"/>
      <c r="W24" s="715"/>
      <c r="X24" s="1490"/>
      <c r="Y24" s="3456"/>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56"/>
      <c r="Q25" s="1487" t="str">
        <f t="shared" si="8"/>
        <v>自然及人文环境状况</v>
      </c>
      <c r="R25" s="714" t="s">
        <v>17</v>
      </c>
      <c r="S25" s="715">
        <f>F25</f>
        <v>100</v>
      </c>
      <c r="T25" s="714" t="s">
        <v>17</v>
      </c>
      <c r="U25" s="715">
        <f>H25</f>
        <v>100</v>
      </c>
      <c r="V25" s="714" t="s">
        <v>17</v>
      </c>
      <c r="W25" s="715">
        <f>J25</f>
        <v>100</v>
      </c>
      <c r="X25" s="1490"/>
      <c r="Y25" s="345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56"/>
      <c r="Q26" s="1487"/>
      <c r="R26" s="714"/>
      <c r="S26" s="715"/>
      <c r="T26" s="714"/>
      <c r="U26" s="715"/>
      <c r="V26" s="714"/>
      <c r="W26" s="715"/>
      <c r="X26" s="1490"/>
      <c r="Y26" s="3456"/>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56"/>
      <c r="Q27" s="1478" t="str">
        <f t="shared" si="8"/>
        <v>公共配套设施</v>
      </c>
      <c r="R27" s="710" t="s">
        <v>17</v>
      </c>
      <c r="S27" s="711">
        <f>F27</f>
        <v>100</v>
      </c>
      <c r="T27" s="710" t="s">
        <v>17</v>
      </c>
      <c r="U27" s="711">
        <f>H27</f>
        <v>100</v>
      </c>
      <c r="V27" s="710" t="s">
        <v>17</v>
      </c>
      <c r="W27" s="711">
        <f>J27</f>
        <v>100</v>
      </c>
      <c r="X27" s="712"/>
      <c r="Y27" s="345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56"/>
      <c r="Q28" s="1478"/>
      <c r="R28" s="710"/>
      <c r="S28" s="711"/>
      <c r="T28" s="710"/>
      <c r="U28" s="711"/>
      <c r="V28" s="710"/>
      <c r="W28" s="711"/>
      <c r="X28" s="712"/>
      <c r="Y28" s="3456"/>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56"/>
      <c r="Q29" s="1478" t="str">
        <f t="shared" ref="Q29" si="9">B29</f>
        <v>基础设施水平</v>
      </c>
      <c r="R29" s="710" t="s">
        <v>17</v>
      </c>
      <c r="S29" s="711">
        <f>F29</f>
        <v>100</v>
      </c>
      <c r="T29" s="710" t="s">
        <v>17</v>
      </c>
      <c r="U29" s="711">
        <f>H29</f>
        <v>100</v>
      </c>
      <c r="V29" s="710" t="s">
        <v>17</v>
      </c>
      <c r="W29" s="711">
        <f>J29</f>
        <v>100</v>
      </c>
      <c r="X29" s="712"/>
      <c r="Y29" s="345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56"/>
      <c r="Q30" s="1478"/>
      <c r="R30" s="710"/>
      <c r="S30" s="711"/>
      <c r="T30" s="710"/>
      <c r="U30" s="711"/>
      <c r="V30" s="710"/>
      <c r="W30" s="711"/>
      <c r="X30" s="712"/>
      <c r="Y30" s="3456"/>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5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6"/>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56"/>
      <c r="Q32" s="1487" t="str">
        <f t="shared" si="8"/>
        <v>毗邻道路的类型与等级</v>
      </c>
      <c r="R32" s="714" t="s">
        <v>17</v>
      </c>
      <c r="S32" s="715">
        <f t="shared" si="10"/>
        <v>100</v>
      </c>
      <c r="T32" s="714" t="s">
        <v>17</v>
      </c>
      <c r="U32" s="715">
        <f t="shared" si="11"/>
        <v>100</v>
      </c>
      <c r="V32" s="714" t="s">
        <v>17</v>
      </c>
      <c r="W32" s="715">
        <f t="shared" si="12"/>
        <v>100</v>
      </c>
      <c r="X32" s="1490"/>
      <c r="Y32" s="345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56"/>
      <c r="Q33" s="1487"/>
      <c r="R33" s="714"/>
      <c r="S33" s="715"/>
      <c r="T33" s="714"/>
      <c r="U33" s="715"/>
      <c r="V33" s="714"/>
      <c r="W33" s="715"/>
      <c r="X33" s="1490"/>
      <c r="Y33" s="3456"/>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56"/>
      <c r="Q34" s="1487" t="str">
        <f t="shared" si="8"/>
        <v>土地级别</v>
      </c>
      <c r="R34" s="714" t="s">
        <v>17</v>
      </c>
      <c r="S34" s="715">
        <f t="shared" si="10"/>
        <v>100</v>
      </c>
      <c r="T34" s="714" t="s">
        <v>17</v>
      </c>
      <c r="U34" s="715">
        <f t="shared" si="11"/>
        <v>100</v>
      </c>
      <c r="V34" s="714" t="s">
        <v>17</v>
      </c>
      <c r="W34" s="715">
        <f t="shared" si="12"/>
        <v>100</v>
      </c>
      <c r="X34" s="1490"/>
      <c r="Y34" s="345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56"/>
      <c r="Q35" s="1487">
        <f t="shared" si="8"/>
        <v>111</v>
      </c>
      <c r="R35" s="714" t="s">
        <v>17</v>
      </c>
      <c r="S35" s="715">
        <f t="shared" si="10"/>
        <v>100</v>
      </c>
      <c r="T35" s="714" t="s">
        <v>17</v>
      </c>
      <c r="U35" s="715">
        <f t="shared" si="11"/>
        <v>100</v>
      </c>
      <c r="V35" s="714" t="s">
        <v>17</v>
      </c>
      <c r="W35" s="715">
        <f t="shared" si="12"/>
        <v>100</v>
      </c>
      <c r="X35" s="1490"/>
      <c r="Y35" s="345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1" t="s">
        <v>2145</v>
      </c>
      <c r="Q36" s="1487">
        <f t="shared" si="8"/>
        <v>111</v>
      </c>
      <c r="R36" s="714" t="s">
        <v>17</v>
      </c>
      <c r="S36" s="715">
        <f t="shared" si="10"/>
        <v>100</v>
      </c>
      <c r="T36" s="714" t="s">
        <v>17</v>
      </c>
      <c r="U36" s="715">
        <f t="shared" si="11"/>
        <v>100</v>
      </c>
      <c r="V36" s="714" t="s">
        <v>17</v>
      </c>
      <c r="W36" s="715">
        <f t="shared" si="12"/>
        <v>100</v>
      </c>
      <c r="X36" s="1490"/>
      <c r="Y36" s="3460"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0"/>
      <c r="Q37" s="1487">
        <f t="shared" si="8"/>
        <v>111</v>
      </c>
      <c r="R37" s="717" t="s">
        <v>17</v>
      </c>
      <c r="S37" s="718">
        <f t="shared" si="10"/>
        <v>100</v>
      </c>
      <c r="T37" s="717" t="s">
        <v>17</v>
      </c>
      <c r="U37" s="718">
        <f t="shared" si="11"/>
        <v>100</v>
      </c>
      <c r="V37" s="717" t="s">
        <v>17</v>
      </c>
      <c r="W37" s="718">
        <f t="shared" si="12"/>
        <v>100</v>
      </c>
      <c r="X37" s="719"/>
      <c r="Y37" s="3460"/>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0"/>
      <c r="Q38" s="1487" t="str">
        <f>B38</f>
        <v>宗地面积</v>
      </c>
      <c r="R38" s="714" t="s">
        <v>17</v>
      </c>
      <c r="S38" s="715" t="e">
        <f t="shared" si="10"/>
        <v>#N/A</v>
      </c>
      <c r="T38" s="714" t="s">
        <v>17</v>
      </c>
      <c r="U38" s="715" t="e">
        <f t="shared" si="11"/>
        <v>#N/A</v>
      </c>
      <c r="V38" s="714" t="s">
        <v>17</v>
      </c>
      <c r="W38" s="715" t="e">
        <f t="shared" si="12"/>
        <v>#N/A</v>
      </c>
      <c r="X38" s="1490"/>
      <c r="Y38" s="3460"/>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0"/>
      <c r="Q39" s="1487" t="str">
        <f t="shared" ref="Q39:Q45" si="14">B39</f>
        <v>宗地形状</v>
      </c>
      <c r="R39" s="714" t="s">
        <v>17</v>
      </c>
      <c r="S39" s="715">
        <f t="shared" si="10"/>
        <v>100</v>
      </c>
      <c r="T39" s="714" t="s">
        <v>17</v>
      </c>
      <c r="U39" s="715">
        <f t="shared" si="11"/>
        <v>100</v>
      </c>
      <c r="V39" s="714" t="s">
        <v>17</v>
      </c>
      <c r="W39" s="715">
        <f t="shared" si="12"/>
        <v>100</v>
      </c>
      <c r="X39" s="1490"/>
      <c r="Y39" s="3460"/>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0"/>
      <c r="Q40" s="1487" t="str">
        <f t="shared" si="14"/>
        <v>临街宽度及深度</v>
      </c>
      <c r="R40" s="714" t="s">
        <v>17</v>
      </c>
      <c r="S40" s="715">
        <f t="shared" si="10"/>
        <v>100</v>
      </c>
      <c r="T40" s="714" t="s">
        <v>17</v>
      </c>
      <c r="U40" s="715">
        <f t="shared" si="11"/>
        <v>100</v>
      </c>
      <c r="V40" s="714" t="s">
        <v>17</v>
      </c>
      <c r="W40" s="715">
        <f t="shared" si="12"/>
        <v>100</v>
      </c>
      <c r="X40" s="1490"/>
      <c r="Y40" s="3460"/>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0"/>
      <c r="Q41" s="1487" t="str">
        <f t="shared" si="14"/>
        <v>宗地开发程度</v>
      </c>
      <c r="R41" s="710" t="s">
        <v>17</v>
      </c>
      <c r="S41" s="711">
        <f t="shared" si="10"/>
        <v>100</v>
      </c>
      <c r="T41" s="710" t="s">
        <v>17</v>
      </c>
      <c r="U41" s="711">
        <f t="shared" si="11"/>
        <v>100</v>
      </c>
      <c r="V41" s="710" t="s">
        <v>17</v>
      </c>
      <c r="W41" s="711">
        <f t="shared" si="12"/>
        <v>100</v>
      </c>
      <c r="X41" s="712"/>
      <c r="Y41" s="3460"/>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0" t="s">
        <v>2145</v>
      </c>
      <c r="Q42" s="1487" t="str">
        <f t="shared" si="14"/>
        <v>工程地质条件</v>
      </c>
      <c r="R42" s="714" t="s">
        <v>17</v>
      </c>
      <c r="S42" s="715">
        <f t="shared" si="10"/>
        <v>100</v>
      </c>
      <c r="T42" s="714" t="s">
        <v>17</v>
      </c>
      <c r="U42" s="715">
        <f t="shared" si="11"/>
        <v>100</v>
      </c>
      <c r="V42" s="714" t="s">
        <v>17</v>
      </c>
      <c r="W42" s="715">
        <f t="shared" si="12"/>
        <v>100</v>
      </c>
      <c r="X42" s="1490"/>
      <c r="Y42" s="346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0"/>
      <c r="Q43" s="1487">
        <f t="shared" si="14"/>
        <v>111</v>
      </c>
      <c r="R43" s="714" t="s">
        <v>17</v>
      </c>
      <c r="S43" s="715">
        <f t="shared" si="10"/>
        <v>100</v>
      </c>
      <c r="T43" s="714" t="s">
        <v>17</v>
      </c>
      <c r="U43" s="715">
        <f t="shared" si="11"/>
        <v>100</v>
      </c>
      <c r="V43" s="714" t="s">
        <v>17</v>
      </c>
      <c r="W43" s="715">
        <f t="shared" si="12"/>
        <v>100</v>
      </c>
      <c r="X43" s="1490"/>
      <c r="Y43" s="346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0"/>
      <c r="Q44" s="1487">
        <f t="shared" si="14"/>
        <v>111</v>
      </c>
      <c r="R44" s="714" t="s">
        <v>17</v>
      </c>
      <c r="S44" s="715">
        <f t="shared" si="10"/>
        <v>100</v>
      </c>
      <c r="T44" s="714" t="s">
        <v>17</v>
      </c>
      <c r="U44" s="715">
        <f t="shared" si="11"/>
        <v>100</v>
      </c>
      <c r="V44" s="714" t="s">
        <v>17</v>
      </c>
      <c r="W44" s="715">
        <f t="shared" si="12"/>
        <v>100</v>
      </c>
      <c r="X44" s="1490"/>
      <c r="Y44" s="3460"/>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0"/>
      <c r="Q45" s="1487">
        <f t="shared" si="14"/>
        <v>111</v>
      </c>
      <c r="R45" s="717" t="s">
        <v>17</v>
      </c>
      <c r="S45" s="718">
        <f t="shared" si="10"/>
        <v>100</v>
      </c>
      <c r="T45" s="717" t="s">
        <v>17</v>
      </c>
      <c r="U45" s="718">
        <f t="shared" si="11"/>
        <v>100</v>
      </c>
      <c r="V45" s="717" t="s">
        <v>17</v>
      </c>
      <c r="W45" s="718">
        <f t="shared" si="12"/>
        <v>100</v>
      </c>
      <c r="X45" s="719"/>
      <c r="Y45" s="3460"/>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2"/>
      <c r="M46" s="2903"/>
      <c r="N46" s="2894"/>
      <c r="O46" s="2903"/>
      <c r="P46" s="3453" t="str">
        <f>A46</f>
        <v>成交单价</v>
      </c>
      <c r="Q46" s="3453"/>
      <c r="R46" s="3484">
        <f>E46</f>
        <v>0</v>
      </c>
      <c r="S46" s="3484"/>
      <c r="T46" s="3484">
        <f>G46</f>
        <v>0</v>
      </c>
      <c r="U46" s="3484"/>
      <c r="V46" s="3484">
        <f>I46</f>
        <v>0</v>
      </c>
      <c r="W46" s="3484"/>
      <c r="X46" s="699"/>
      <c r="Y46" s="721"/>
      <c r="Z46" s="699"/>
      <c r="AA46" s="699"/>
      <c r="AB46" s="699"/>
      <c r="AC46" s="699"/>
    </row>
    <row r="47" spans="1:29" ht="1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53" t="str">
        <f>A47</f>
        <v>比较价值（元/平方米）</v>
      </c>
      <c r="Q47" s="3453"/>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2"/>
      <c r="M48" s="2903"/>
      <c r="N48" s="2903"/>
      <c r="O48" s="2903"/>
      <c r="P48" s="3450" t="str">
        <f>A48</f>
        <v>估价对象XX用房的比较价值（楼面单价，元/平方米）</v>
      </c>
      <c r="Q48" s="3451"/>
      <c r="R48" s="3514" t="e">
        <f>ROUND(IF(D47="简单平均",AVERAGE(R47:W47),R47*F47+T47*H47+V47*J47),0)</f>
        <v>#DIV/0!</v>
      </c>
      <c r="S48" s="3514"/>
      <c r="T48" s="3514"/>
      <c r="U48" s="3514"/>
      <c r="V48" s="3514"/>
      <c r="W48" s="3514"/>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4.4"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10298.76</v>
      </c>
      <c r="F56" s="998" t="e">
        <f t="shared" ref="F56:F64" si="15">ROUND(B56*E56/10000,0)</f>
        <v>#DIV/0!</v>
      </c>
      <c r="G56" s="3464"/>
      <c r="H56" s="3453"/>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thickBot="1">
      <c r="A65" s="651" t="s">
        <v>2360</v>
      </c>
      <c r="B65" s="652" t="s">
        <v>28</v>
      </c>
      <c r="C65" s="652" t="s">
        <v>29</v>
      </c>
      <c r="D65" s="652" t="s">
        <v>816</v>
      </c>
      <c r="E65" s="652">
        <f>IF(B46="楼面地价",SUM(E56:E64),'数据-汇总表'!D3)</f>
        <v>10298.76</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2.2"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4.4">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4.4">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4.4"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4.4">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4.4"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9.4"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4.4"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4.4"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4.4"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4.4"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4.4"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4.4"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4.4"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4.4">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9.4"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4.4"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4.4"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4.4"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4.4"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4.4"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4.4"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4.4"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4.4"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4.4"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4.4"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4.4"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4.4"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4.4"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78" t="s">
        <v>2227</v>
      </c>
      <c r="S4" s="3479"/>
      <c r="T4" s="3478" t="s">
        <v>2228</v>
      </c>
      <c r="U4" s="3479"/>
      <c r="V4" s="3484" t="s">
        <v>2229</v>
      </c>
      <c r="W4" s="3484"/>
      <c r="X4" s="1490"/>
      <c r="Y4" s="3478" t="s">
        <v>2231</v>
      </c>
      <c r="Z4" s="3479"/>
      <c r="AA4" s="3465" t="s">
        <v>2227</v>
      </c>
      <c r="AB4" s="3466" t="s">
        <v>2228</v>
      </c>
      <c r="AC4" s="3465" t="s">
        <v>2229</v>
      </c>
    </row>
    <row r="5" spans="1:29">
      <c r="A5" s="364"/>
      <c r="B5" s="365"/>
      <c r="C5" s="3487" t="s">
        <v>2122</v>
      </c>
      <c r="D5" s="3488"/>
      <c r="E5" s="3494" t="s">
        <v>2123</v>
      </c>
      <c r="F5" s="3495"/>
      <c r="G5" s="3487" t="s">
        <v>2124</v>
      </c>
      <c r="H5" s="3488"/>
      <c r="I5" s="3487" t="s">
        <v>2125</v>
      </c>
      <c r="J5" s="3488"/>
      <c r="K5" s="567"/>
      <c r="L5" s="2893"/>
      <c r="M5" s="2894"/>
      <c r="N5" s="2894"/>
      <c r="O5" s="2894"/>
      <c r="P5" s="3474"/>
      <c r="Q5" s="3475"/>
      <c r="R5" s="3480"/>
      <c r="S5" s="3481"/>
      <c r="T5" s="3480"/>
      <c r="U5" s="3481"/>
      <c r="V5" s="3484"/>
      <c r="W5" s="3484"/>
      <c r="X5" s="1490"/>
      <c r="Y5" s="3480"/>
      <c r="Z5" s="3481"/>
      <c r="AA5" s="3466"/>
      <c r="AB5" s="3466"/>
      <c r="AC5" s="3466"/>
    </row>
    <row r="6" spans="1:29" ht="15" thickBot="1">
      <c r="A6" s="366"/>
      <c r="B6" s="367"/>
      <c r="C6" s="3516" t="s">
        <v>2376</v>
      </c>
      <c r="D6" s="3517"/>
      <c r="E6" s="3518" t="s">
        <v>2376</v>
      </c>
      <c r="F6" s="3519"/>
      <c r="G6" s="3516" t="s">
        <v>2376</v>
      </c>
      <c r="H6" s="3517"/>
      <c r="I6" s="3516" t="s">
        <v>2376</v>
      </c>
      <c r="J6" s="3517"/>
      <c r="K6" s="567" t="s">
        <v>2127</v>
      </c>
      <c r="L6" s="2893"/>
      <c r="M6" s="2894"/>
      <c r="N6" s="2894"/>
      <c r="O6" s="2894"/>
      <c r="P6" s="3476"/>
      <c r="Q6" s="3477"/>
      <c r="R6" s="3480"/>
      <c r="S6" s="3481"/>
      <c r="T6" s="3482"/>
      <c r="U6" s="3483"/>
      <c r="V6" s="3484"/>
      <c r="W6" s="3484"/>
      <c r="X6" s="1490"/>
      <c r="Y6" s="3482"/>
      <c r="Z6" s="3483"/>
      <c r="AA6" s="3467"/>
      <c r="AB6" s="3467"/>
      <c r="AC6" s="3467"/>
    </row>
    <row r="7" spans="1:29" s="113" customFormat="1" ht="15" thickBot="1">
      <c r="A7" s="368" t="s">
        <v>2128</v>
      </c>
      <c r="B7" s="369"/>
      <c r="C7" s="370">
        <f>'数据-取费表'!B2</f>
        <v>44782</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89" t="s">
        <v>2129</v>
      </c>
      <c r="Q7" s="3491"/>
      <c r="R7" s="710" t="s">
        <v>17</v>
      </c>
      <c r="S7" s="711">
        <f t="shared" ref="S7:S15" si="0">F7</f>
        <v>0</v>
      </c>
      <c r="T7" s="710" t="s">
        <v>17</v>
      </c>
      <c r="U7" s="711">
        <f t="shared" ref="U7:U15" si="1">H7</f>
        <v>0</v>
      </c>
      <c r="V7" s="710" t="s">
        <v>17</v>
      </c>
      <c r="W7" s="711">
        <f t="shared" ref="W7:W15" si="2">J7</f>
        <v>0</v>
      </c>
      <c r="X7" s="712"/>
      <c r="Y7" s="3489" t="s">
        <v>2129</v>
      </c>
      <c r="Z7" s="3490"/>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89" t="s">
        <v>2132</v>
      </c>
      <c r="Q8" s="3490"/>
      <c r="R8" s="710" t="s">
        <v>17</v>
      </c>
      <c r="S8" s="711">
        <f t="shared" si="0"/>
        <v>0</v>
      </c>
      <c r="T8" s="710" t="s">
        <v>17</v>
      </c>
      <c r="U8" s="711">
        <f t="shared" si="1"/>
        <v>0</v>
      </c>
      <c r="V8" s="710" t="s">
        <v>17</v>
      </c>
      <c r="W8" s="711">
        <f t="shared" si="2"/>
        <v>0</v>
      </c>
      <c r="X8" s="712"/>
      <c r="Y8" s="3489" t="s">
        <v>2132</v>
      </c>
      <c r="Z8" s="3490"/>
      <c r="AA8" s="713" t="e">
        <f t="shared" ref="AA8:AA40" si="3">D8/F8</f>
        <v>#DIV/0!</v>
      </c>
      <c r="AB8" s="713" t="e">
        <f t="shared" ref="AB8:AB40" si="4">D8/H8</f>
        <v>#DIV/0!</v>
      </c>
      <c r="AC8" s="713" t="e">
        <f t="shared" ref="AC8:AC40" si="5">D8/J8</f>
        <v>#DIV/0!</v>
      </c>
    </row>
    <row r="9" spans="1:29" s="113" customFormat="1" ht="14.4">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53" t="s">
        <v>2135</v>
      </c>
      <c r="Q9" s="1478" t="str">
        <f t="shared" ref="Q9:Q15" si="6">B9</f>
        <v>用途</v>
      </c>
      <c r="R9" s="710" t="s">
        <v>17</v>
      </c>
      <c r="S9" s="711">
        <f t="shared" si="0"/>
        <v>100</v>
      </c>
      <c r="T9" s="710" t="s">
        <v>17</v>
      </c>
      <c r="U9" s="711">
        <f t="shared" si="1"/>
        <v>100</v>
      </c>
      <c r="V9" s="710" t="s">
        <v>17</v>
      </c>
      <c r="W9" s="711">
        <f t="shared" si="2"/>
        <v>100</v>
      </c>
      <c r="X9" s="712"/>
      <c r="Y9" s="3325"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453"/>
      <c r="Q10" s="1478" t="str">
        <f t="shared" si="6"/>
        <v>土地使用年限（年）</v>
      </c>
      <c r="R10" s="710" t="s">
        <v>17</v>
      </c>
      <c r="S10" s="711">
        <f t="shared" si="0"/>
        <v>114</v>
      </c>
      <c r="T10" s="710" t="s">
        <v>17</v>
      </c>
      <c r="U10" s="711">
        <f t="shared" si="1"/>
        <v>114</v>
      </c>
      <c r="V10" s="710" t="s">
        <v>17</v>
      </c>
      <c r="W10" s="711">
        <f t="shared" si="2"/>
        <v>114</v>
      </c>
      <c r="X10" s="712"/>
      <c r="Y10" s="3325"/>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3"/>
      <c r="Q11" s="1478" t="str">
        <f t="shared" si="6"/>
        <v>容积率</v>
      </c>
      <c r="R11" s="710" t="s">
        <v>17</v>
      </c>
      <c r="S11" s="711" t="e">
        <f t="shared" si="0"/>
        <v>#N/A</v>
      </c>
      <c r="T11" s="710" t="s">
        <v>17</v>
      </c>
      <c r="U11" s="711" t="e">
        <f t="shared" si="1"/>
        <v>#N/A</v>
      </c>
      <c r="V11" s="710" t="s">
        <v>17</v>
      </c>
      <c r="W11" s="711" t="e">
        <f t="shared" si="2"/>
        <v>#N/A</v>
      </c>
      <c r="X11" s="712"/>
      <c r="Y11" s="3325"/>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3"/>
      <c r="Q12" s="1478">
        <f t="shared" si="6"/>
        <v>111</v>
      </c>
      <c r="R12" s="710" t="s">
        <v>17</v>
      </c>
      <c r="S12" s="711">
        <f t="shared" si="0"/>
        <v>100</v>
      </c>
      <c r="T12" s="710" t="s">
        <v>17</v>
      </c>
      <c r="U12" s="711">
        <f t="shared" si="1"/>
        <v>100</v>
      </c>
      <c r="V12" s="710" t="s">
        <v>17</v>
      </c>
      <c r="W12" s="711">
        <f t="shared" si="2"/>
        <v>100</v>
      </c>
      <c r="X12" s="712"/>
      <c r="Y12" s="3325"/>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3"/>
      <c r="Q13" s="1478">
        <f t="shared" si="6"/>
        <v>111</v>
      </c>
      <c r="R13" s="710" t="s">
        <v>17</v>
      </c>
      <c r="S13" s="711">
        <f t="shared" si="0"/>
        <v>100</v>
      </c>
      <c r="T13" s="710" t="s">
        <v>17</v>
      </c>
      <c r="U13" s="711">
        <f t="shared" si="1"/>
        <v>100</v>
      </c>
      <c r="V13" s="710" t="s">
        <v>17</v>
      </c>
      <c r="W13" s="711">
        <f t="shared" si="2"/>
        <v>100</v>
      </c>
      <c r="X13" s="712"/>
      <c r="Y13" s="3325"/>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3"/>
      <c r="Q14" s="1478">
        <f t="shared" si="6"/>
        <v>111</v>
      </c>
      <c r="R14" s="710" t="s">
        <v>17</v>
      </c>
      <c r="S14" s="711">
        <f t="shared" si="0"/>
        <v>100</v>
      </c>
      <c r="T14" s="710" t="s">
        <v>17</v>
      </c>
      <c r="U14" s="711">
        <f t="shared" si="1"/>
        <v>100</v>
      </c>
      <c r="V14" s="710" t="s">
        <v>17</v>
      </c>
      <c r="W14" s="711">
        <f t="shared" si="2"/>
        <v>100</v>
      </c>
      <c r="X14" s="712"/>
      <c r="Y14" s="3325"/>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5" t="s">
        <v>2140</v>
      </c>
      <c r="Q15" s="1487" t="str">
        <f t="shared" si="6"/>
        <v>产业集聚程度</v>
      </c>
      <c r="R15" s="714" t="s">
        <v>17</v>
      </c>
      <c r="S15" s="715">
        <f t="shared" si="0"/>
        <v>100</v>
      </c>
      <c r="T15" s="714" t="s">
        <v>17</v>
      </c>
      <c r="U15" s="715">
        <f t="shared" si="1"/>
        <v>100</v>
      </c>
      <c r="V15" s="714" t="s">
        <v>17</v>
      </c>
      <c r="W15" s="715">
        <f t="shared" si="2"/>
        <v>100</v>
      </c>
      <c r="X15" s="1490"/>
      <c r="Y15" s="3455"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56"/>
      <c r="Q16" s="1487"/>
      <c r="R16" s="714"/>
      <c r="S16" s="715"/>
      <c r="T16" s="714"/>
      <c r="U16" s="715"/>
      <c r="V16" s="714"/>
      <c r="W16" s="715"/>
      <c r="X16" s="1490"/>
      <c r="Y16" s="3456"/>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5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56"/>
      <c r="Q18" s="1487"/>
      <c r="R18" s="714"/>
      <c r="S18" s="715"/>
      <c r="T18" s="714"/>
      <c r="U18" s="715"/>
      <c r="V18" s="714"/>
      <c r="W18" s="715"/>
      <c r="X18" s="1490"/>
      <c r="Y18" s="3456"/>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56"/>
      <c r="Q19" s="1487" t="str">
        <f t="shared" ref="Q19:Q33" si="8">B19</f>
        <v>区域土地利用方向</v>
      </c>
      <c r="R19" s="714" t="s">
        <v>17</v>
      </c>
      <c r="S19" s="715">
        <f>F19</f>
        <v>100</v>
      </c>
      <c r="T19" s="714" t="s">
        <v>17</v>
      </c>
      <c r="U19" s="715">
        <f>H19</f>
        <v>100</v>
      </c>
      <c r="V19" s="714" t="s">
        <v>17</v>
      </c>
      <c r="W19" s="715">
        <f>J19</f>
        <v>100</v>
      </c>
      <c r="X19" s="1490"/>
      <c r="Y19" s="3456"/>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56"/>
      <c r="Q20" s="1487"/>
      <c r="R20" s="714"/>
      <c r="S20" s="715"/>
      <c r="T20" s="714"/>
      <c r="U20" s="715"/>
      <c r="V20" s="714"/>
      <c r="W20" s="715"/>
      <c r="X20" s="1490"/>
      <c r="Y20" s="3456"/>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56"/>
      <c r="Q21" s="1487" t="str">
        <f t="shared" si="8"/>
        <v>环境状况</v>
      </c>
      <c r="R21" s="714" t="s">
        <v>17</v>
      </c>
      <c r="S21" s="715">
        <f>F21</f>
        <v>100</v>
      </c>
      <c r="T21" s="714" t="s">
        <v>17</v>
      </c>
      <c r="U21" s="715">
        <f>H21</f>
        <v>100</v>
      </c>
      <c r="V21" s="714" t="s">
        <v>17</v>
      </c>
      <c r="W21" s="715">
        <f>J21</f>
        <v>100</v>
      </c>
      <c r="X21" s="1490"/>
      <c r="Y21" s="3456"/>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56"/>
      <c r="Q22" s="1487"/>
      <c r="R22" s="714"/>
      <c r="S22" s="715"/>
      <c r="T22" s="714"/>
      <c r="U22" s="715"/>
      <c r="V22" s="714"/>
      <c r="W22" s="715"/>
      <c r="X22" s="1490"/>
      <c r="Y22" s="3456"/>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56"/>
      <c r="Q23" s="1478" t="str">
        <f t="shared" si="8"/>
        <v>公共配套设施</v>
      </c>
      <c r="R23" s="710" t="s">
        <v>17</v>
      </c>
      <c r="S23" s="711">
        <f>F23</f>
        <v>100</v>
      </c>
      <c r="T23" s="710" t="s">
        <v>17</v>
      </c>
      <c r="U23" s="711">
        <f>H23</f>
        <v>100</v>
      </c>
      <c r="V23" s="710" t="s">
        <v>17</v>
      </c>
      <c r="W23" s="711">
        <f>J23</f>
        <v>100</v>
      </c>
      <c r="X23" s="712"/>
      <c r="Y23" s="3456"/>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56"/>
      <c r="Q24" s="1478"/>
      <c r="R24" s="710"/>
      <c r="S24" s="711"/>
      <c r="T24" s="710"/>
      <c r="U24" s="711"/>
      <c r="V24" s="710"/>
      <c r="W24" s="711"/>
      <c r="X24" s="712"/>
      <c r="Y24" s="3456"/>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56"/>
      <c r="Q25" s="1478" t="str">
        <f t="shared" ref="Q25" si="9">B25</f>
        <v>基础设施水平</v>
      </c>
      <c r="R25" s="710" t="s">
        <v>17</v>
      </c>
      <c r="S25" s="711">
        <f>F25</f>
        <v>100</v>
      </c>
      <c r="T25" s="710" t="s">
        <v>17</v>
      </c>
      <c r="U25" s="711">
        <f>H25</f>
        <v>100</v>
      </c>
      <c r="V25" s="710" t="s">
        <v>17</v>
      </c>
      <c r="W25" s="711">
        <f>J25</f>
        <v>100</v>
      </c>
      <c r="X25" s="712"/>
      <c r="Y25" s="3456"/>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56"/>
      <c r="Q26" s="1478"/>
      <c r="R26" s="710"/>
      <c r="S26" s="711"/>
      <c r="T26" s="710"/>
      <c r="U26" s="711"/>
      <c r="V26" s="710"/>
      <c r="W26" s="711"/>
      <c r="X26" s="712"/>
      <c r="Y26" s="3456"/>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5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6"/>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56"/>
      <c r="Q28" s="1487" t="str">
        <f t="shared" si="8"/>
        <v>毗邻道路的类型与等级</v>
      </c>
      <c r="R28" s="714" t="s">
        <v>17</v>
      </c>
      <c r="S28" s="715">
        <f t="shared" si="10"/>
        <v>100</v>
      </c>
      <c r="T28" s="714" t="s">
        <v>17</v>
      </c>
      <c r="U28" s="715">
        <f t="shared" si="11"/>
        <v>100</v>
      </c>
      <c r="V28" s="714" t="s">
        <v>17</v>
      </c>
      <c r="W28" s="715">
        <f t="shared" si="12"/>
        <v>100</v>
      </c>
      <c r="X28" s="1490"/>
      <c r="Y28" s="345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56"/>
      <c r="Q29" s="1487"/>
      <c r="R29" s="714"/>
      <c r="S29" s="715"/>
      <c r="T29" s="714"/>
      <c r="U29" s="715"/>
      <c r="V29" s="714"/>
      <c r="W29" s="715"/>
      <c r="X29" s="1490"/>
      <c r="Y29" s="3456"/>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56"/>
      <c r="Q30" s="1487" t="str">
        <f t="shared" si="8"/>
        <v>土地级别</v>
      </c>
      <c r="R30" s="714" t="s">
        <v>17</v>
      </c>
      <c r="S30" s="715">
        <f t="shared" si="10"/>
        <v>100</v>
      </c>
      <c r="T30" s="714" t="s">
        <v>17</v>
      </c>
      <c r="U30" s="715">
        <f t="shared" si="11"/>
        <v>100</v>
      </c>
      <c r="V30" s="714" t="s">
        <v>17</v>
      </c>
      <c r="W30" s="715">
        <f t="shared" si="12"/>
        <v>100</v>
      </c>
      <c r="X30" s="1490"/>
      <c r="Y30" s="345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56"/>
      <c r="Q31" s="1487">
        <f t="shared" si="8"/>
        <v>111</v>
      </c>
      <c r="R31" s="714" t="s">
        <v>17</v>
      </c>
      <c r="S31" s="715">
        <f t="shared" si="10"/>
        <v>100</v>
      </c>
      <c r="T31" s="714" t="s">
        <v>17</v>
      </c>
      <c r="U31" s="715">
        <f t="shared" si="11"/>
        <v>100</v>
      </c>
      <c r="V31" s="714" t="s">
        <v>17</v>
      </c>
      <c r="W31" s="715">
        <f t="shared" si="12"/>
        <v>100</v>
      </c>
      <c r="X31" s="1490"/>
      <c r="Y31" s="345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1" t="s">
        <v>2145</v>
      </c>
      <c r="Q32" s="1487">
        <f t="shared" si="8"/>
        <v>111</v>
      </c>
      <c r="R32" s="714" t="s">
        <v>17</v>
      </c>
      <c r="S32" s="715">
        <f t="shared" si="10"/>
        <v>100</v>
      </c>
      <c r="T32" s="714" t="s">
        <v>17</v>
      </c>
      <c r="U32" s="715">
        <f t="shared" si="11"/>
        <v>100</v>
      </c>
      <c r="V32" s="714" t="s">
        <v>17</v>
      </c>
      <c r="W32" s="715">
        <f t="shared" si="12"/>
        <v>100</v>
      </c>
      <c r="X32" s="1490"/>
      <c r="Y32" s="3460"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0"/>
      <c r="Q33" s="1487">
        <f t="shared" si="8"/>
        <v>111</v>
      </c>
      <c r="R33" s="717" t="s">
        <v>17</v>
      </c>
      <c r="S33" s="718">
        <f t="shared" si="10"/>
        <v>100</v>
      </c>
      <c r="T33" s="717" t="s">
        <v>17</v>
      </c>
      <c r="U33" s="718">
        <f t="shared" si="11"/>
        <v>100</v>
      </c>
      <c r="V33" s="717" t="s">
        <v>17</v>
      </c>
      <c r="W33" s="718">
        <f t="shared" si="12"/>
        <v>100</v>
      </c>
      <c r="X33" s="719"/>
      <c r="Y33" s="3460"/>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0"/>
      <c r="Q34" s="1487" t="str">
        <f>B34</f>
        <v>宗地面积</v>
      </c>
      <c r="R34" s="714" t="s">
        <v>17</v>
      </c>
      <c r="S34" s="715" t="e">
        <f t="shared" si="10"/>
        <v>#N/A</v>
      </c>
      <c r="T34" s="714" t="s">
        <v>17</v>
      </c>
      <c r="U34" s="715" t="e">
        <f t="shared" si="11"/>
        <v>#N/A</v>
      </c>
      <c r="V34" s="714" t="s">
        <v>17</v>
      </c>
      <c r="W34" s="715" t="e">
        <f t="shared" si="12"/>
        <v>#N/A</v>
      </c>
      <c r="X34" s="1490"/>
      <c r="Y34" s="3460"/>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0"/>
      <c r="Q35" s="1487" t="str">
        <f t="shared" ref="Q35:Q40" si="14">B35</f>
        <v>宗地形状</v>
      </c>
      <c r="R35" s="714" t="s">
        <v>17</v>
      </c>
      <c r="S35" s="715">
        <f t="shared" si="10"/>
        <v>100</v>
      </c>
      <c r="T35" s="714" t="s">
        <v>17</v>
      </c>
      <c r="U35" s="715">
        <f t="shared" si="11"/>
        <v>100</v>
      </c>
      <c r="V35" s="714" t="s">
        <v>17</v>
      </c>
      <c r="W35" s="715">
        <f t="shared" si="12"/>
        <v>100</v>
      </c>
      <c r="X35" s="1490"/>
      <c r="Y35" s="3460"/>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0"/>
      <c r="Q36" s="1487" t="str">
        <f t="shared" si="14"/>
        <v>宗地开发程度</v>
      </c>
      <c r="R36" s="710" t="s">
        <v>17</v>
      </c>
      <c r="S36" s="711">
        <f t="shared" si="10"/>
        <v>100</v>
      </c>
      <c r="T36" s="710" t="s">
        <v>17</v>
      </c>
      <c r="U36" s="711">
        <f t="shared" si="11"/>
        <v>100</v>
      </c>
      <c r="V36" s="710" t="s">
        <v>17</v>
      </c>
      <c r="W36" s="711">
        <f t="shared" si="12"/>
        <v>100</v>
      </c>
      <c r="X36" s="712"/>
      <c r="Y36" s="3460"/>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0" t="s">
        <v>2145</v>
      </c>
      <c r="Q37" s="1487" t="str">
        <f t="shared" si="14"/>
        <v>工程地质条件</v>
      </c>
      <c r="R37" s="714" t="s">
        <v>17</v>
      </c>
      <c r="S37" s="715">
        <f t="shared" si="10"/>
        <v>100</v>
      </c>
      <c r="T37" s="714" t="s">
        <v>17</v>
      </c>
      <c r="U37" s="715">
        <f t="shared" si="11"/>
        <v>100</v>
      </c>
      <c r="V37" s="714" t="s">
        <v>17</v>
      </c>
      <c r="W37" s="715">
        <f t="shared" si="12"/>
        <v>100</v>
      </c>
      <c r="X37" s="1490"/>
      <c r="Y37" s="3460"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0"/>
      <c r="Q38" s="1487">
        <f t="shared" si="14"/>
        <v>111</v>
      </c>
      <c r="R38" s="714" t="s">
        <v>17</v>
      </c>
      <c r="S38" s="715">
        <f t="shared" si="10"/>
        <v>100</v>
      </c>
      <c r="T38" s="714" t="s">
        <v>17</v>
      </c>
      <c r="U38" s="715">
        <f t="shared" si="11"/>
        <v>100</v>
      </c>
      <c r="V38" s="714" t="s">
        <v>17</v>
      </c>
      <c r="W38" s="715">
        <f t="shared" si="12"/>
        <v>100</v>
      </c>
      <c r="X38" s="1490"/>
      <c r="Y38" s="346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0"/>
      <c r="Q39" s="1487">
        <f t="shared" si="14"/>
        <v>111</v>
      </c>
      <c r="R39" s="714" t="s">
        <v>17</v>
      </c>
      <c r="S39" s="715">
        <f t="shared" si="10"/>
        <v>100</v>
      </c>
      <c r="T39" s="714" t="s">
        <v>17</v>
      </c>
      <c r="U39" s="715">
        <f t="shared" si="11"/>
        <v>100</v>
      </c>
      <c r="V39" s="714" t="s">
        <v>17</v>
      </c>
      <c r="W39" s="715">
        <f t="shared" si="12"/>
        <v>100</v>
      </c>
      <c r="X39" s="1490"/>
      <c r="Y39" s="3460"/>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0"/>
      <c r="Q40" s="1487">
        <f t="shared" si="14"/>
        <v>111</v>
      </c>
      <c r="R40" s="717" t="s">
        <v>17</v>
      </c>
      <c r="S40" s="718">
        <f t="shared" si="10"/>
        <v>100</v>
      </c>
      <c r="T40" s="717" t="s">
        <v>17</v>
      </c>
      <c r="U40" s="718">
        <f t="shared" si="11"/>
        <v>100</v>
      </c>
      <c r="V40" s="717" t="s">
        <v>17</v>
      </c>
      <c r="W40" s="718">
        <f t="shared" si="12"/>
        <v>100</v>
      </c>
      <c r="X40" s="719"/>
      <c r="Y40" s="3460"/>
      <c r="Z40" s="720">
        <f t="shared" si="13"/>
        <v>111</v>
      </c>
      <c r="AA40" s="1488">
        <f t="shared" si="3"/>
        <v>1</v>
      </c>
      <c r="AB40" s="1488">
        <f t="shared" si="4"/>
        <v>1</v>
      </c>
      <c r="AC40" s="1488">
        <f t="shared" si="5"/>
        <v>1</v>
      </c>
    </row>
    <row r="41" spans="1:31" ht="14.4">
      <c r="A41" s="438" t="s">
        <v>2300</v>
      </c>
      <c r="B41" s="2119" t="s">
        <v>2379</v>
      </c>
      <c r="C41" s="638" t="s">
        <v>1</v>
      </c>
      <c r="D41" s="440"/>
      <c r="E41" s="441"/>
      <c r="F41" s="442"/>
      <c r="G41" s="443"/>
      <c r="H41" s="444"/>
      <c r="I41" s="441"/>
      <c r="J41" s="444"/>
      <c r="K41" s="723"/>
      <c r="L41" s="2902"/>
      <c r="M41" s="2894"/>
      <c r="N41" s="2894"/>
      <c r="O41" s="2903"/>
      <c r="P41" s="3453" t="str">
        <f>A41</f>
        <v>成交单价</v>
      </c>
      <c r="Q41" s="3453"/>
      <c r="R41" s="3484">
        <f>E41</f>
        <v>0</v>
      </c>
      <c r="S41" s="3484"/>
      <c r="T41" s="3484">
        <f>G41</f>
        <v>0</v>
      </c>
      <c r="U41" s="3484"/>
      <c r="V41" s="3484">
        <f>I41</f>
        <v>0</v>
      </c>
      <c r="W41" s="3484"/>
      <c r="X41" s="699"/>
      <c r="Y41" s="721"/>
      <c r="Z41" s="699"/>
      <c r="AA41" s="699"/>
      <c r="AB41" s="699"/>
      <c r="AC41" s="699"/>
    </row>
    <row r="42" spans="1:31" ht="1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53" t="str">
        <f>A42</f>
        <v>比较价值（元/平方米）</v>
      </c>
      <c r="Q42" s="3453"/>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2"/>
      <c r="M43" s="2894"/>
      <c r="N43" s="2894"/>
      <c r="O43" s="2903"/>
      <c r="P43" s="3450" t="str">
        <f>A43</f>
        <v>估价对象XX用房的比较价值（楼面单价，元/平方米）</v>
      </c>
      <c r="Q43" s="3451"/>
      <c r="R43" s="3514" t="e">
        <f>ROUND(IF(D42="简单平均",AVERAGE(R42:W42),R42*F42+T42*H42+V42*J42),0)</f>
        <v>#DIV/0!</v>
      </c>
      <c r="S43" s="3514"/>
      <c r="T43" s="3514"/>
      <c r="U43" s="3514"/>
      <c r="V43" s="3514"/>
      <c r="W43" s="3514"/>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4.4"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8.8">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10298.76</v>
      </c>
      <c r="F51" s="647" t="e">
        <f t="shared" ref="F51:F60" si="15">ROUND(B51*E51/10000,0)</f>
        <v>#DIV/0!</v>
      </c>
      <c r="G51" s="3464"/>
      <c r="H51" s="3453"/>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4.4"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4.4" thickBot="1">
      <c r="A61" s="651" t="s">
        <v>2360</v>
      </c>
      <c r="B61" s="652" t="s">
        <v>28</v>
      </c>
      <c r="C61" s="652" t="s">
        <v>29</v>
      </c>
      <c r="D61" s="652" t="s">
        <v>816</v>
      </c>
      <c r="E61" s="652">
        <f>IF(B41="楼面地价",SUM(E51:E60),'数据-汇总表'!D3)</f>
        <v>5682.86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2.2"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4.4">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4.4">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4.4"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4.4">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4.4"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9.4"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4.4"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4.4"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4.4"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4.4"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4.4"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4.4"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4.4"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4.4">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9.4"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4.4"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4.4"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4.4"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4.4"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4.4"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4.4"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4.4"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4.4"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4.4"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4.4"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4.4"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4.4"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4.4"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6" t="s">
        <v>2398</v>
      </c>
      <c r="D3" s="2137" t="s">
        <v>2399</v>
      </c>
      <c r="E3" s="2142"/>
      <c r="F3" s="2143" t="s">
        <v>2400</v>
      </c>
      <c r="G3" s="837">
        <f>IF(F3="宗地容积率",'数据-汇总表'!I4,IF(F3="估价对象容积率",'数据-汇总表'!I6,'数据-汇总表'!I7))</f>
        <v>1.81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23"/>
      <c r="B4" s="3524"/>
      <c r="C4" s="3524"/>
      <c r="D4" s="3525"/>
      <c r="E4" s="3525"/>
      <c r="F4" s="3525"/>
      <c r="G4" s="3525"/>
      <c r="H4" s="3525"/>
      <c r="I4" s="3525"/>
      <c r="J4" s="3526"/>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7"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1.81</v>
      </c>
      <c r="AA7" s="1331"/>
      <c r="AB7" s="1331"/>
      <c r="AC7" s="1332"/>
      <c r="AD7" s="1333"/>
      <c r="AE7" s="1333"/>
      <c r="AF7" s="1333"/>
      <c r="AG7" s="1333"/>
      <c r="AH7" s="1333"/>
      <c r="AI7" s="1333"/>
      <c r="AJ7" s="1334"/>
    </row>
    <row r="8" spans="1:36" ht="15">
      <c r="A8" s="3528"/>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0" t="s">
        <v>2419</v>
      </c>
      <c r="X8" s="3521"/>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8"/>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2"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8"/>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2"/>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28"/>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2" t="s">
        <v>2443</v>
      </c>
      <c r="X11" s="1339" t="s">
        <v>2444</v>
      </c>
      <c r="Y11" s="1340">
        <f>$G$3</f>
        <v>1.81</v>
      </c>
      <c r="Z11" s="1340">
        <f t="shared" ref="Z11:AJ11" si="3">$G$3</f>
        <v>1.81</v>
      </c>
      <c r="AA11" s="1340">
        <f t="shared" si="3"/>
        <v>1.81</v>
      </c>
      <c r="AB11" s="1340">
        <f t="shared" si="3"/>
        <v>1.81</v>
      </c>
      <c r="AC11" s="1340">
        <f t="shared" si="3"/>
        <v>1.81</v>
      </c>
      <c r="AD11" s="1340">
        <f t="shared" si="3"/>
        <v>1.81</v>
      </c>
      <c r="AE11" s="1340">
        <f t="shared" si="3"/>
        <v>1.81</v>
      </c>
      <c r="AF11" s="1340">
        <f t="shared" si="3"/>
        <v>1.81</v>
      </c>
      <c r="AG11" s="1340">
        <f t="shared" si="3"/>
        <v>1.81</v>
      </c>
      <c r="AH11" s="1340">
        <f t="shared" si="3"/>
        <v>1.81</v>
      </c>
      <c r="AI11" s="1340">
        <f t="shared" si="3"/>
        <v>1.81</v>
      </c>
      <c r="AJ11" s="1340">
        <f t="shared" si="3"/>
        <v>1.81</v>
      </c>
    </row>
    <row r="12" spans="1:36" ht="25.8" thickBot="1">
      <c r="A12" s="3527"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2"/>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9"/>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2"/>
      <c r="X13" s="1341"/>
      <c r="Y13" s="1338">
        <f>(-0.163*(Y12^2)-0.59*Y12+7617)*(10^(-4))/Y11</f>
        <v>0.42082872928176795</v>
      </c>
      <c r="Z13" s="1338">
        <f t="shared" ref="Z13:AJ13" si="5">(-0.163*(Z12^2)-0.59*Z12+7617)*(10^(-4))/Z11</f>
        <v>0.42082872928176795</v>
      </c>
      <c r="AA13" s="1338">
        <f t="shared" si="5"/>
        <v>0.42082872928176795</v>
      </c>
      <c r="AB13" s="1338">
        <f t="shared" si="5"/>
        <v>0.42082872928176795</v>
      </c>
      <c r="AC13" s="1338">
        <f t="shared" si="5"/>
        <v>0.42082872928176795</v>
      </c>
      <c r="AD13" s="1338">
        <f t="shared" si="5"/>
        <v>0.42082872928176795</v>
      </c>
      <c r="AE13" s="1338">
        <f t="shared" si="5"/>
        <v>0.42082872928176795</v>
      </c>
      <c r="AF13" s="1338">
        <f t="shared" si="5"/>
        <v>0.42082872928176795</v>
      </c>
      <c r="AG13" s="1338">
        <f t="shared" si="5"/>
        <v>0.42082872928176795</v>
      </c>
      <c r="AH13" s="1338">
        <f t="shared" si="5"/>
        <v>0.42082872928176795</v>
      </c>
      <c r="AI13" s="1338">
        <f t="shared" si="5"/>
        <v>0.42082872928176795</v>
      </c>
      <c r="AJ13" s="1338">
        <f t="shared" si="5"/>
        <v>0.42082872928176795</v>
      </c>
    </row>
    <row r="14" spans="1:36" ht="15">
      <c r="A14" s="3529"/>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6" thickBot="1">
      <c r="A15" s="3530"/>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27" t="s">
        <v>2462</v>
      </c>
      <c r="B16" s="2160" t="s">
        <v>2463</v>
      </c>
      <c r="C16" s="2322" t="e">
        <f>ROUND(IF(F17="与级别开发程度一致",0,(G17-E17)/C17),0)</f>
        <v>#DIV/0!</v>
      </c>
      <c r="D16" s="3543" t="s">
        <v>2467</v>
      </c>
      <c r="E16" s="3544"/>
      <c r="F16" s="3543" t="s">
        <v>2464</v>
      </c>
      <c r="G16" s="354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8" thickBot="1">
      <c r="A17" s="3531"/>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9.4"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44782</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9.4"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4.4">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4">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9.4"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0"/>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1"/>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1"/>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2546</v>
      </c>
      <c r="B79" s="2277">
        <f>1+E81</f>
        <v>1</v>
      </c>
      <c r="C79" s="753"/>
      <c r="D79" s="753"/>
      <c r="E79" s="754"/>
      <c r="F79" s="2279"/>
      <c r="G79" s="6"/>
      <c r="H79" s="6"/>
      <c r="I79" s="6"/>
      <c r="J79" s="7"/>
      <c r="K79" s="7"/>
      <c r="L79" s="7"/>
      <c r="M79" s="7"/>
      <c r="N79" s="7"/>
      <c r="Z79" s="2135"/>
      <c r="AA79" s="2201"/>
      <c r="AG79" s="1235"/>
      <c r="AK79" s="2201"/>
    </row>
    <row r="80" spans="1:37" ht="25.2">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9.6">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2" t="s">
        <v>2550</v>
      </c>
      <c r="B90" s="3532"/>
      <c r="C90" s="3532"/>
      <c r="D90" s="3532"/>
      <c r="E90" s="3532"/>
      <c r="F90" s="3532"/>
      <c r="G90" s="3532"/>
      <c r="H90" s="3532"/>
      <c r="I90" s="3532"/>
      <c r="J90" s="3532"/>
      <c r="K90" s="2294"/>
      <c r="L90" s="2294"/>
      <c r="M90" s="2294"/>
      <c r="N90" s="2294"/>
    </row>
    <row r="91" spans="1:37">
      <c r="A91" s="3534" t="s">
        <v>2551</v>
      </c>
      <c r="B91" s="3534" t="s">
        <v>2552</v>
      </c>
      <c r="C91" s="2248" t="s">
        <v>2553</v>
      </c>
      <c r="D91" s="2249"/>
      <c r="E91" s="2249"/>
      <c r="F91" s="2249"/>
      <c r="G91" s="2249"/>
      <c r="H91" s="2249"/>
      <c r="I91" s="2249"/>
      <c r="J91" s="2295"/>
      <c r="K91" s="2296"/>
      <c r="L91" s="2296"/>
      <c r="M91" s="2296"/>
      <c r="N91" s="2296"/>
    </row>
    <row r="92" spans="1:37">
      <c r="A92" s="3534"/>
      <c r="B92" s="353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5" t="s">
        <v>2555</v>
      </c>
      <c r="B101" s="2301" t="s">
        <v>2556</v>
      </c>
      <c r="C101" s="2302">
        <f>$G$3</f>
        <v>1.81</v>
      </c>
      <c r="D101" s="2302">
        <f t="shared" ref="D101:N101" si="31">$G$3</f>
        <v>1.81</v>
      </c>
      <c r="E101" s="2302">
        <f t="shared" si="31"/>
        <v>1.81</v>
      </c>
      <c r="F101" s="2302">
        <f t="shared" si="31"/>
        <v>1.81</v>
      </c>
      <c r="G101" s="2302">
        <f t="shared" si="31"/>
        <v>1.81</v>
      </c>
      <c r="H101" s="2302">
        <f t="shared" si="31"/>
        <v>1.81</v>
      </c>
      <c r="I101" s="2302">
        <f t="shared" si="31"/>
        <v>1.81</v>
      </c>
      <c r="J101" s="2302">
        <f t="shared" si="31"/>
        <v>1.81</v>
      </c>
      <c r="K101" s="2302">
        <f t="shared" si="31"/>
        <v>1.81</v>
      </c>
      <c r="L101" s="2302">
        <f t="shared" si="31"/>
        <v>1.81</v>
      </c>
      <c r="M101" s="2302">
        <f t="shared" si="31"/>
        <v>1.81</v>
      </c>
      <c r="N101" s="2302">
        <f t="shared" si="31"/>
        <v>1.81</v>
      </c>
    </row>
    <row r="102" spans="1:14">
      <c r="A102" s="3536"/>
      <c r="B102" s="2297">
        <v>1</v>
      </c>
      <c r="C102" s="2298">
        <f>1.9362/C101</f>
        <v>1.0697237569060773</v>
      </c>
      <c r="D102" s="2298">
        <f>1.9362/D101</f>
        <v>1.0697237569060773</v>
      </c>
      <c r="E102" s="2298">
        <f>1.8629/E101</f>
        <v>1.0292265193370165</v>
      </c>
      <c r="F102" s="2298">
        <f>1.8629/F101</f>
        <v>1.0292265193370165</v>
      </c>
      <c r="G102" s="2298">
        <f>1.8629/G101</f>
        <v>1.0292265193370165</v>
      </c>
      <c r="H102" s="2298">
        <f>1.8629/H101</f>
        <v>1.0292265193370165</v>
      </c>
      <c r="I102" s="2298">
        <f>1.8629/I101</f>
        <v>1.0292265193370165</v>
      </c>
      <c r="J102" s="2298">
        <f>1.942/J101</f>
        <v>1.0729281767955801</v>
      </c>
      <c r="K102" s="2298">
        <f>1.942/K101</f>
        <v>1.0729281767955801</v>
      </c>
      <c r="L102" s="2298">
        <f>1.942/L101</f>
        <v>1.0729281767955801</v>
      </c>
      <c r="M102" s="2298">
        <f>1.942/M101</f>
        <v>1.0729281767955801</v>
      </c>
      <c r="N102" s="2298">
        <f>1.942/N101</f>
        <v>1.0729281767955801</v>
      </c>
    </row>
    <row r="103" spans="1:14">
      <c r="A103" s="3536"/>
      <c r="B103" s="2297">
        <v>2</v>
      </c>
      <c r="C103" s="2298">
        <f>1.4198/C101</f>
        <v>0.78441988950276242</v>
      </c>
      <c r="D103" s="2298">
        <f>1.4198/D101</f>
        <v>0.78441988950276242</v>
      </c>
      <c r="E103" s="2298">
        <f>1.3372/E101</f>
        <v>0.7387845303867403</v>
      </c>
      <c r="F103" s="2298">
        <f>1.3372/F101</f>
        <v>0.7387845303867403</v>
      </c>
      <c r="G103" s="2298">
        <f>1.3372/G101</f>
        <v>0.7387845303867403</v>
      </c>
      <c r="H103" s="2298">
        <f>1.3372/H101</f>
        <v>0.7387845303867403</v>
      </c>
      <c r="I103" s="2298">
        <f>1.3372/I101</f>
        <v>0.7387845303867403</v>
      </c>
      <c r="J103" s="2298">
        <f>1.2799/J101</f>
        <v>0.70712707182320444</v>
      </c>
      <c r="K103" s="2298">
        <f>1.2799/K101</f>
        <v>0.70712707182320444</v>
      </c>
      <c r="L103" s="2298">
        <f>1.2799/L101</f>
        <v>0.70712707182320444</v>
      </c>
      <c r="M103" s="2298">
        <f>1.2799/M101</f>
        <v>0.70712707182320444</v>
      </c>
      <c r="N103" s="2298">
        <f>1.2799/N101</f>
        <v>0.70712707182320444</v>
      </c>
    </row>
    <row r="104" spans="1:14">
      <c r="A104" s="3536"/>
      <c r="B104" s="2297">
        <v>3</v>
      </c>
      <c r="C104" s="2298">
        <f>1.1594/C101</f>
        <v>0.64055248618784533</v>
      </c>
      <c r="D104" s="2298">
        <f>1.1594/D101</f>
        <v>0.64055248618784533</v>
      </c>
      <c r="E104" s="2298">
        <f>1.0788/E101</f>
        <v>0.59602209944751383</v>
      </c>
      <c r="F104" s="2298">
        <f>1.0788/F101</f>
        <v>0.59602209944751383</v>
      </c>
      <c r="G104" s="2298">
        <f>1.0788/G101</f>
        <v>0.59602209944751383</v>
      </c>
      <c r="H104" s="2298">
        <f>1.0788/H101</f>
        <v>0.59602209944751383</v>
      </c>
      <c r="I104" s="2298">
        <f>1.0788/I101</f>
        <v>0.59602209944751383</v>
      </c>
      <c r="J104" s="2298">
        <f>1.0072/J101</f>
        <v>0.55646408839779005</v>
      </c>
      <c r="K104" s="2298">
        <f>1.0072/K101</f>
        <v>0.55646408839779005</v>
      </c>
      <c r="L104" s="2298">
        <f>1.0072/L101</f>
        <v>0.55646408839779005</v>
      </c>
      <c r="M104" s="2298">
        <f>1.0072/M101</f>
        <v>0.55646408839779005</v>
      </c>
      <c r="N104" s="2298">
        <f>1.0072/N101</f>
        <v>0.55646408839779005</v>
      </c>
    </row>
    <row r="105" spans="1:14">
      <c r="A105" s="3536"/>
      <c r="B105" s="2297">
        <v>4</v>
      </c>
      <c r="C105" s="2298">
        <f>0.9622/C101</f>
        <v>0.53160220994475138</v>
      </c>
      <c r="D105" s="2298">
        <f>0.9622/D101</f>
        <v>0.53160220994475138</v>
      </c>
      <c r="E105" s="2298">
        <f>0.8656/E101</f>
        <v>0.47823204419889503</v>
      </c>
      <c r="F105" s="2298">
        <f>0.8656/F101</f>
        <v>0.47823204419889503</v>
      </c>
      <c r="G105" s="2298">
        <f>0.8656/G101</f>
        <v>0.47823204419889503</v>
      </c>
      <c r="H105" s="2298">
        <f>0.8656/H101</f>
        <v>0.47823204419889503</v>
      </c>
      <c r="I105" s="2298">
        <f>0.8656/I101</f>
        <v>0.47823204419889503</v>
      </c>
      <c r="J105" s="2298">
        <f>0.7525/J101</f>
        <v>0.41574585635359113</v>
      </c>
      <c r="K105" s="2298">
        <f>0.7525/K101</f>
        <v>0.41574585635359113</v>
      </c>
      <c r="L105" s="2298">
        <f>0.7525/L101</f>
        <v>0.41574585635359113</v>
      </c>
      <c r="M105" s="2298">
        <f>0.7525/M101</f>
        <v>0.41574585635359113</v>
      </c>
      <c r="N105" s="2298">
        <f>0.7525/N101</f>
        <v>0.41574585635359113</v>
      </c>
    </row>
    <row r="106" spans="1:14">
      <c r="A106" s="3536"/>
      <c r="B106" s="2297">
        <v>5</v>
      </c>
      <c r="C106" s="2298">
        <f>0.8417/C101</f>
        <v>0.46502762430939226</v>
      </c>
      <c r="D106" s="2298">
        <f>0.8417/D101</f>
        <v>0.46502762430939226</v>
      </c>
      <c r="E106" s="2298">
        <f>0.7371/E101</f>
        <v>0.40723756906077346</v>
      </c>
      <c r="F106" s="2298">
        <f>0.7371/F101</f>
        <v>0.40723756906077346</v>
      </c>
      <c r="G106" s="2298">
        <f>0.7371/G101</f>
        <v>0.40723756906077346</v>
      </c>
      <c r="H106" s="2298">
        <f>0.7371/H101</f>
        <v>0.40723756906077346</v>
      </c>
      <c r="I106" s="2298">
        <f>0.7371/I101</f>
        <v>0.40723756906077346</v>
      </c>
      <c r="J106" s="2298">
        <f>0.5659/J101</f>
        <v>0.31265193370165745</v>
      </c>
      <c r="K106" s="2298">
        <f>0.5659/K101</f>
        <v>0.31265193370165745</v>
      </c>
      <c r="L106" s="2298">
        <f>0.5659/L101</f>
        <v>0.31265193370165745</v>
      </c>
      <c r="M106" s="2298">
        <f>0.5659/M101</f>
        <v>0.31265193370165745</v>
      </c>
      <c r="N106" s="2298">
        <f>0.5659/N101</f>
        <v>0.31265193370165745</v>
      </c>
    </row>
    <row r="107" spans="1:14">
      <c r="A107" s="3536"/>
      <c r="B107" s="2297">
        <v>6</v>
      </c>
      <c r="C107" s="2298">
        <f>0.7608/C101</f>
        <v>0.42033149171270717</v>
      </c>
      <c r="D107" s="2298">
        <f>0.7608/D101</f>
        <v>0.42033149171270717</v>
      </c>
      <c r="E107" s="2298">
        <f>0.6482/E101</f>
        <v>0.35812154696132598</v>
      </c>
      <c r="F107" s="2298">
        <f>0.6482/F101</f>
        <v>0.35812154696132598</v>
      </c>
      <c r="G107" s="2298">
        <f>0.6482/G101</f>
        <v>0.35812154696132598</v>
      </c>
      <c r="H107" s="2298">
        <f>0.6482/H101</f>
        <v>0.35812154696132598</v>
      </c>
      <c r="I107" s="2298">
        <f>0.6482/I101</f>
        <v>0.35812154696132598</v>
      </c>
      <c r="J107" s="2298">
        <f>0.4525/J101</f>
        <v>0.25</v>
      </c>
      <c r="K107" s="2298">
        <f>0.4525/K101</f>
        <v>0.25</v>
      </c>
      <c r="L107" s="2298">
        <f>0.4525/L101</f>
        <v>0.25</v>
      </c>
      <c r="M107" s="2298">
        <f>0.4525/M101</f>
        <v>0.25</v>
      </c>
      <c r="N107" s="2298">
        <f>0.4525/N101</f>
        <v>0.25</v>
      </c>
    </row>
    <row r="108" spans="1:14">
      <c r="A108" s="3536"/>
      <c r="B108" s="353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7"/>
      <c r="B109" s="3539"/>
      <c r="C109" s="2300">
        <f>(-0.163*(C108^2)-0.59*C108+7617)*(10^(-4))/C101</f>
        <v>0.42082872928176795</v>
      </c>
      <c r="D109" s="2300">
        <f>(-0.163*(D108^2)-0.59*D108+7617)*(10^(-4))/D101</f>
        <v>0.42082872928176795</v>
      </c>
      <c r="E109" s="2300">
        <f>(-0.161*(E108^2)-7.509*E108+6533)*(10^(-4))/E101</f>
        <v>0.36093922651933702</v>
      </c>
      <c r="F109" s="2300">
        <f>(-0.161*(F108^2)-7.509*F108+6533)*(10^(-4))/F101</f>
        <v>0.36093922651933702</v>
      </c>
      <c r="G109" s="2300">
        <f>(-0.161*(G108^2)-7.509*G108+6533)*(10^(-4))/G101</f>
        <v>0.36093922651933702</v>
      </c>
      <c r="H109" s="2300">
        <f>(-0.161*(H108^2)-7.509*H108+6533)*(10^(-4))/H101</f>
        <v>0.36093922651933702</v>
      </c>
      <c r="I109" s="2300">
        <f>(-0.161*(I108^2)-7.509*I108+6533)*(10^(-4))/I101</f>
        <v>0.36093922651933702</v>
      </c>
      <c r="J109" s="2300">
        <f>(-0.214*(J108^2)-21.991*J108+4665)*(10^(-4))/J101</f>
        <v>0.25773480662983428</v>
      </c>
      <c r="K109" s="2300">
        <f>(-0.214*(K108^2)-21.991*K108+4665)*(10^(-4))/K101</f>
        <v>0.25773480662983428</v>
      </c>
      <c r="L109" s="2300">
        <f>(-0.214*(L108^2)-21.991*L108+4665)*(10^(-4))/L101</f>
        <v>0.25773480662983428</v>
      </c>
      <c r="M109" s="2300">
        <f>(-0.214*(M108^2)-21.991*M108+4665)*(10^(-4))/M101</f>
        <v>0.25773480662983428</v>
      </c>
      <c r="N109" s="2300">
        <f>(-0.214*(N108^2)-21.991*N108+4665)*(10^(-4))/N101</f>
        <v>0.25773480662983428</v>
      </c>
    </row>
    <row r="110" spans="1:14">
      <c r="A110" s="3533" t="s">
        <v>2558</v>
      </c>
      <c r="B110" s="3533"/>
      <c r="C110" s="3533"/>
      <c r="D110" s="3533"/>
      <c r="E110" s="3533"/>
      <c r="F110" s="3533"/>
      <c r="G110" s="3533"/>
      <c r="H110" s="3533"/>
      <c r="I110" s="3533"/>
      <c r="J110" s="3533"/>
      <c r="K110" s="2303"/>
      <c r="L110" s="2303"/>
      <c r="M110" s="2303"/>
      <c r="N110" s="2303"/>
    </row>
    <row r="112" spans="1:14" ht="13.8" thickBot="1"/>
    <row r="113" spans="1:13" ht="25.8" thickBot="1">
      <c r="A113" s="824" t="s">
        <v>2559</v>
      </c>
      <c r="B113" s="1178">
        <f>G3</f>
        <v>1.81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0.91649999999999998</v>
      </c>
      <c r="C115" s="831">
        <f>B115</f>
        <v>0.91649999999999998</v>
      </c>
      <c r="D115" s="831">
        <f>ROUND(0.8331-0.0109*B113,4)</f>
        <v>0.81340000000000001</v>
      </c>
      <c r="E115" s="831">
        <f>D115</f>
        <v>0.81340000000000001</v>
      </c>
      <c r="F115" s="831">
        <f>E115</f>
        <v>0.81340000000000001</v>
      </c>
      <c r="G115" s="831">
        <f>F115</f>
        <v>0.81340000000000001</v>
      </c>
      <c r="H115" s="831">
        <f>G115</f>
        <v>0.81340000000000001</v>
      </c>
      <c r="I115" s="831">
        <f>ROUND(0.689-0.0155*B113,4)</f>
        <v>0.66090000000000004</v>
      </c>
      <c r="J115" s="831">
        <f t="shared" ref="J115:M118" si="33">I115</f>
        <v>0.66090000000000004</v>
      </c>
      <c r="K115" s="831">
        <f t="shared" si="33"/>
        <v>0.66090000000000004</v>
      </c>
      <c r="L115" s="831">
        <f t="shared" si="33"/>
        <v>0.66090000000000004</v>
      </c>
      <c r="M115" s="832">
        <f t="shared" si="33"/>
        <v>0.66090000000000004</v>
      </c>
    </row>
    <row r="116" spans="1:13">
      <c r="A116" s="830" t="s">
        <v>2459</v>
      </c>
      <c r="B116" s="831">
        <f>ROUND(0.949-0.012*B113,4)</f>
        <v>0.92730000000000001</v>
      </c>
      <c r="C116" s="831">
        <f>B116</f>
        <v>0.92730000000000001</v>
      </c>
      <c r="D116" s="831">
        <f>ROUND(0.8567-0.013*B113,4)</f>
        <v>0.83320000000000005</v>
      </c>
      <c r="E116" s="831">
        <f t="shared" ref="E116:H117" si="34">D116</f>
        <v>0.83320000000000005</v>
      </c>
      <c r="F116" s="831">
        <f t="shared" si="34"/>
        <v>0.83320000000000005</v>
      </c>
      <c r="G116" s="831">
        <f t="shared" si="34"/>
        <v>0.83320000000000005</v>
      </c>
      <c r="H116" s="831">
        <f t="shared" si="34"/>
        <v>0.83320000000000005</v>
      </c>
      <c r="I116" s="831">
        <f>ROUND(0.7694-0.014*B113,4)</f>
        <v>0.74409999999999998</v>
      </c>
      <c r="J116" s="831">
        <f t="shared" si="33"/>
        <v>0.74409999999999998</v>
      </c>
      <c r="K116" s="831">
        <f t="shared" si="33"/>
        <v>0.74409999999999998</v>
      </c>
      <c r="L116" s="831">
        <f t="shared" si="33"/>
        <v>0.74409999999999998</v>
      </c>
      <c r="M116" s="832">
        <f t="shared" si="33"/>
        <v>0.74409999999999998</v>
      </c>
    </row>
    <row r="117" spans="1:13">
      <c r="A117" s="830" t="s">
        <v>2460</v>
      </c>
      <c r="B117" s="831">
        <f>ROUND(0.8808-0.006*B113,4)</f>
        <v>0.86990000000000001</v>
      </c>
      <c r="C117" s="831">
        <f>B117</f>
        <v>0.86990000000000001</v>
      </c>
      <c r="D117" s="831">
        <f>ROUND(0.8748-0.008*B113,4)</f>
        <v>0.86029999999999995</v>
      </c>
      <c r="E117" s="831">
        <f t="shared" si="34"/>
        <v>0.86029999999999995</v>
      </c>
      <c r="F117" s="831">
        <f t="shared" si="34"/>
        <v>0.86029999999999995</v>
      </c>
      <c r="G117" s="831">
        <f t="shared" si="34"/>
        <v>0.86029999999999995</v>
      </c>
      <c r="H117" s="831">
        <f t="shared" si="34"/>
        <v>0.86029999999999995</v>
      </c>
      <c r="I117" s="831">
        <f>ROUND(0.7412-0.0095*B113,4)</f>
        <v>0.72399999999999998</v>
      </c>
      <c r="J117" s="831">
        <f t="shared" si="33"/>
        <v>0.72399999999999998</v>
      </c>
      <c r="K117" s="831">
        <f t="shared" si="33"/>
        <v>0.72399999999999998</v>
      </c>
      <c r="L117" s="831">
        <f t="shared" si="33"/>
        <v>0.72399999999999998</v>
      </c>
      <c r="M117" s="832">
        <f t="shared" si="33"/>
        <v>0.72399999999999998</v>
      </c>
    </row>
    <row r="118" spans="1:13" ht="13.8" thickBot="1">
      <c r="A118" s="670" t="s">
        <v>2461</v>
      </c>
      <c r="B118" s="833">
        <f>ROUND(0.7275-0.01*B113,4)</f>
        <v>0.70940000000000003</v>
      </c>
      <c r="C118" s="833">
        <f>B118</f>
        <v>0.70940000000000003</v>
      </c>
      <c r="D118" s="833">
        <f>ROUND(0.7043-0.012*B113,4)</f>
        <v>0.68259999999999998</v>
      </c>
      <c r="E118" s="833">
        <f>D118</f>
        <v>0.68259999999999998</v>
      </c>
      <c r="F118" s="833">
        <f>E118</f>
        <v>0.68259999999999998</v>
      </c>
      <c r="G118" s="833">
        <f>ROUND(0.6299-0.0122*B113,4)</f>
        <v>0.60780000000000001</v>
      </c>
      <c r="H118" s="833">
        <f>G118</f>
        <v>0.60780000000000001</v>
      </c>
      <c r="I118" s="833">
        <f>ROUND(0.5667-0.0136*B113,4)</f>
        <v>0.54210000000000003</v>
      </c>
      <c r="J118" s="833">
        <f t="shared" si="33"/>
        <v>0.54210000000000003</v>
      </c>
      <c r="K118" s="833">
        <f t="shared" si="33"/>
        <v>0.54210000000000003</v>
      </c>
      <c r="L118" s="833">
        <f t="shared" si="33"/>
        <v>0.54210000000000003</v>
      </c>
      <c r="M118" s="834">
        <f t="shared" si="33"/>
        <v>0.54210000000000003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55" t="s">
        <v>2955</v>
      </c>
      <c r="B20" s="3550" t="s">
        <v>2956</v>
      </c>
      <c r="C20" s="3212" t="s">
        <v>2957</v>
      </c>
      <c r="D20" s="3213"/>
      <c r="E20" s="3214">
        <v>1</v>
      </c>
      <c r="F20" s="3215" t="s">
        <v>2958</v>
      </c>
      <c r="G20" s="807"/>
      <c r="H20" s="801"/>
      <c r="I20" s="801"/>
    </row>
    <row r="21" spans="1:13" s="808" customFormat="1" ht="19.5" customHeight="1">
      <c r="A21" s="3556"/>
      <c r="B21" s="3549"/>
      <c r="C21" s="805" t="s">
        <v>2959</v>
      </c>
      <c r="D21" s="806"/>
      <c r="E21" s="3216">
        <v>1</v>
      </c>
      <c r="F21" s="3215" t="s">
        <v>2960</v>
      </c>
      <c r="G21" s="807"/>
      <c r="H21" s="801"/>
      <c r="I21" s="801"/>
    </row>
    <row r="22" spans="1:13" s="808" customFormat="1" ht="19.5" customHeight="1">
      <c r="A22" s="3556"/>
      <c r="B22" s="3549"/>
      <c r="C22" s="805" t="s">
        <v>2961</v>
      </c>
      <c r="D22" s="806"/>
      <c r="E22" s="3216">
        <v>0.9</v>
      </c>
      <c r="F22" s="3215" t="s">
        <v>2962</v>
      </c>
      <c r="G22" s="807"/>
      <c r="H22" s="801"/>
      <c r="I22" s="801"/>
    </row>
    <row r="23" spans="1:13" s="808" customFormat="1" ht="19.5" customHeight="1">
      <c r="A23" s="3556"/>
      <c r="B23" s="3549"/>
      <c r="C23" s="805" t="s">
        <v>2963</v>
      </c>
      <c r="D23" s="806"/>
      <c r="E23" s="3216">
        <v>0.9</v>
      </c>
      <c r="F23" s="3215" t="s">
        <v>2964</v>
      </c>
      <c r="G23" s="807"/>
      <c r="H23" s="801"/>
      <c r="I23" s="801"/>
    </row>
    <row r="24" spans="1:13" s="808" customFormat="1" ht="19.5" customHeight="1">
      <c r="A24" s="3556"/>
      <c r="B24" s="3549"/>
      <c r="C24" s="805" t="s">
        <v>2965</v>
      </c>
      <c r="D24" s="806"/>
      <c r="E24" s="3216">
        <v>0.8</v>
      </c>
      <c r="F24" s="3215" t="s">
        <v>2966</v>
      </c>
      <c r="G24" s="807"/>
      <c r="H24" s="801"/>
      <c r="I24" s="801"/>
    </row>
    <row r="25" spans="1:13" s="808" customFormat="1" ht="19.5" customHeight="1" thickBot="1">
      <c r="A25" s="3557"/>
      <c r="B25" s="3551"/>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52" t="s">
        <v>2972</v>
      </c>
      <c r="B27" s="3550" t="s">
        <v>2972</v>
      </c>
      <c r="C27" s="3212" t="s">
        <v>2973</v>
      </c>
      <c r="D27" s="3213"/>
      <c r="E27" s="3214">
        <v>1</v>
      </c>
      <c r="F27" s="3215" t="s">
        <v>2974</v>
      </c>
      <c r="G27" s="807"/>
      <c r="H27" s="801"/>
      <c r="I27" s="801"/>
    </row>
    <row r="28" spans="1:13" s="808" customFormat="1" ht="19.5" customHeight="1">
      <c r="A28" s="3553"/>
      <c r="B28" s="3549"/>
      <c r="C28" s="805" t="s">
        <v>2975</v>
      </c>
      <c r="D28" s="806"/>
      <c r="E28" s="3216">
        <v>1</v>
      </c>
      <c r="F28" s="3215" t="s">
        <v>2976</v>
      </c>
      <c r="G28" s="807"/>
      <c r="H28" s="801"/>
      <c r="I28" s="801"/>
    </row>
    <row r="29" spans="1:13" s="808" customFormat="1" ht="19.5" customHeight="1">
      <c r="A29" s="3553"/>
      <c r="B29" s="3549"/>
      <c r="C29" s="805" t="s">
        <v>2977</v>
      </c>
      <c r="D29" s="806"/>
      <c r="E29" s="3216">
        <v>0.8</v>
      </c>
      <c r="F29" s="3215" t="s">
        <v>2978</v>
      </c>
      <c r="G29" s="807"/>
      <c r="H29" s="801"/>
      <c r="I29" s="801"/>
    </row>
    <row r="30" spans="1:13" s="808" customFormat="1" ht="19.5" customHeight="1">
      <c r="A30" s="3553"/>
      <c r="B30" s="3549"/>
      <c r="C30" s="805" t="s">
        <v>2979</v>
      </c>
      <c r="D30" s="806"/>
      <c r="E30" s="3216">
        <v>0.8</v>
      </c>
      <c r="F30" s="3215" t="s">
        <v>2980</v>
      </c>
      <c r="G30" s="807"/>
      <c r="H30" s="801"/>
      <c r="I30" s="801"/>
    </row>
    <row r="31" spans="1:13" s="808" customFormat="1" ht="19.5" customHeight="1">
      <c r="A31" s="3553"/>
      <c r="B31" s="3549"/>
      <c r="C31" s="805" t="s">
        <v>2981</v>
      </c>
      <c r="D31" s="806"/>
      <c r="E31" s="3216">
        <v>0.8</v>
      </c>
      <c r="F31" s="3215" t="s">
        <v>2982</v>
      </c>
      <c r="G31" s="807"/>
      <c r="H31" s="801"/>
      <c r="I31" s="801"/>
    </row>
    <row r="32" spans="1:13" s="808" customFormat="1" ht="19.5" customHeight="1">
      <c r="A32" s="3553"/>
      <c r="B32" s="3549"/>
      <c r="C32" s="805" t="s">
        <v>2983</v>
      </c>
      <c r="D32" s="806"/>
      <c r="E32" s="3216">
        <v>0.7</v>
      </c>
      <c r="F32" s="3215" t="s">
        <v>2984</v>
      </c>
      <c r="G32" s="807"/>
      <c r="H32" s="801"/>
      <c r="I32" s="801"/>
    </row>
    <row r="33" spans="1:9" s="808" customFormat="1" ht="19.5" customHeight="1">
      <c r="A33" s="3553"/>
      <c r="B33" s="3549"/>
      <c r="C33" s="805" t="s">
        <v>2985</v>
      </c>
      <c r="D33" s="806"/>
      <c r="E33" s="3216">
        <v>0.8</v>
      </c>
      <c r="F33" s="3215" t="s">
        <v>2986</v>
      </c>
      <c r="G33" s="807"/>
      <c r="H33" s="801"/>
      <c r="I33" s="801"/>
    </row>
    <row r="34" spans="1:9" s="808" customFormat="1" ht="19.5" customHeight="1">
      <c r="A34" s="3553"/>
      <c r="B34" s="3549"/>
      <c r="C34" s="805" t="s">
        <v>2987</v>
      </c>
      <c r="D34" s="806"/>
      <c r="E34" s="3216">
        <v>0.6</v>
      </c>
      <c r="F34" s="3215" t="s">
        <v>2988</v>
      </c>
      <c r="G34" s="807"/>
      <c r="H34" s="801"/>
      <c r="I34" s="801"/>
    </row>
    <row r="35" spans="1:9" s="808" customFormat="1" ht="19.5" customHeight="1">
      <c r="A35" s="3553"/>
      <c r="B35" s="3549"/>
      <c r="C35" s="805" t="s">
        <v>2989</v>
      </c>
      <c r="D35" s="806"/>
      <c r="E35" s="3216">
        <v>0.2</v>
      </c>
      <c r="F35" s="3215" t="s">
        <v>2990</v>
      </c>
      <c r="G35" s="807"/>
      <c r="H35" s="801"/>
      <c r="I35" s="801"/>
    </row>
    <row r="36" spans="1:9" s="808" customFormat="1" ht="19.5" customHeight="1">
      <c r="A36" s="3553"/>
      <c r="B36" s="3549"/>
      <c r="C36" s="805" t="s">
        <v>2991</v>
      </c>
      <c r="D36" s="806"/>
      <c r="E36" s="3216">
        <v>0.2</v>
      </c>
      <c r="F36" s="3215" t="s">
        <v>2992</v>
      </c>
      <c r="G36" s="807"/>
      <c r="H36" s="801"/>
      <c r="I36" s="801"/>
    </row>
    <row r="37" spans="1:9" s="808" customFormat="1" ht="19.5" customHeight="1">
      <c r="A37" s="3553"/>
      <c r="B37" s="3547" t="s">
        <v>2993</v>
      </c>
      <c r="C37" s="805" t="s">
        <v>2994</v>
      </c>
      <c r="D37" s="806"/>
      <c r="E37" s="3216">
        <v>0.6</v>
      </c>
      <c r="F37" s="3215" t="s">
        <v>2995</v>
      </c>
      <c r="G37" s="807"/>
      <c r="H37" s="801"/>
      <c r="I37" s="801"/>
    </row>
    <row r="38" spans="1:9" s="808" customFormat="1" ht="19.5" customHeight="1">
      <c r="A38" s="3553"/>
      <c r="B38" s="3549"/>
      <c r="C38" s="805" t="s">
        <v>2996</v>
      </c>
      <c r="D38" s="806"/>
      <c r="E38" s="3216">
        <v>0.6</v>
      </c>
      <c r="F38" s="3215" t="s">
        <v>2997</v>
      </c>
      <c r="G38" s="807"/>
      <c r="H38" s="801"/>
      <c r="I38" s="801"/>
    </row>
    <row r="39" spans="1:9" s="808" customFormat="1" ht="19.5" customHeight="1" thickBot="1">
      <c r="A39" s="3554"/>
      <c r="B39" s="3551"/>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55" t="s">
        <v>3003</v>
      </c>
      <c r="B41" s="3550" t="s">
        <v>3004</v>
      </c>
      <c r="C41" s="3212" t="s">
        <v>3005</v>
      </c>
      <c r="D41" s="3213"/>
      <c r="E41" s="3214">
        <v>1</v>
      </c>
      <c r="F41" s="3215" t="s">
        <v>3006</v>
      </c>
      <c r="G41" s="807"/>
      <c r="H41" s="801"/>
      <c r="I41" s="801"/>
    </row>
    <row r="42" spans="1:9" s="808" customFormat="1" ht="19.5" customHeight="1">
      <c r="A42" s="3556"/>
      <c r="B42" s="3549"/>
      <c r="C42" s="805" t="s">
        <v>3007</v>
      </c>
      <c r="D42" s="806"/>
      <c r="E42" s="3216">
        <v>1</v>
      </c>
      <c r="F42" s="3215" t="s">
        <v>3008</v>
      </c>
      <c r="G42" s="807"/>
      <c r="H42" s="801"/>
      <c r="I42" s="801"/>
    </row>
    <row r="43" spans="1:9" s="808" customFormat="1" ht="19.5" customHeight="1">
      <c r="A43" s="3556"/>
      <c r="B43" s="3548"/>
      <c r="C43" s="805" t="s">
        <v>3009</v>
      </c>
      <c r="D43" s="806"/>
      <c r="E43" s="3216">
        <v>1.5</v>
      </c>
      <c r="F43" s="3215" t="s">
        <v>3010</v>
      </c>
      <c r="G43" s="807"/>
      <c r="H43" s="801"/>
      <c r="I43" s="801"/>
    </row>
    <row r="44" spans="1:9" s="808" customFormat="1" ht="19.5" customHeight="1">
      <c r="A44" s="3556"/>
      <c r="B44" s="3225" t="s">
        <v>2972</v>
      </c>
      <c r="C44" s="805" t="s">
        <v>3011</v>
      </c>
      <c r="D44" s="806"/>
      <c r="E44" s="3216">
        <v>2</v>
      </c>
      <c r="F44" s="3215" t="s">
        <v>3012</v>
      </c>
      <c r="G44" s="807"/>
      <c r="H44" s="801"/>
      <c r="I44" s="801"/>
    </row>
    <row r="45" spans="1:9" s="808" customFormat="1" ht="19.5" customHeight="1">
      <c r="A45" s="3556"/>
      <c r="B45" s="3547" t="s">
        <v>3013</v>
      </c>
      <c r="C45" s="805" t="s">
        <v>3014</v>
      </c>
      <c r="D45" s="806"/>
      <c r="E45" s="3216">
        <v>1</v>
      </c>
      <c r="F45" s="3215" t="s">
        <v>3015</v>
      </c>
      <c r="G45" s="807"/>
      <c r="H45" s="801"/>
      <c r="I45" s="801"/>
    </row>
    <row r="46" spans="1:9" s="808" customFormat="1" ht="19.5" customHeight="1">
      <c r="A46" s="3556"/>
      <c r="B46" s="3549"/>
      <c r="C46" s="805" t="s">
        <v>3016</v>
      </c>
      <c r="D46" s="806"/>
      <c r="E46" s="3216">
        <v>1</v>
      </c>
      <c r="F46" s="3215" t="s">
        <v>3017</v>
      </c>
      <c r="G46" s="807"/>
      <c r="H46" s="801"/>
      <c r="I46" s="801"/>
    </row>
    <row r="47" spans="1:9" s="808" customFormat="1" ht="19.5" customHeight="1">
      <c r="A47" s="3556"/>
      <c r="B47" s="3549"/>
      <c r="C47" s="805" t="s">
        <v>3018</v>
      </c>
      <c r="D47" s="806"/>
      <c r="E47" s="3216">
        <v>1</v>
      </c>
      <c r="F47" s="3215" t="s">
        <v>3019</v>
      </c>
      <c r="G47" s="807"/>
      <c r="H47" s="801"/>
      <c r="I47" s="801"/>
    </row>
    <row r="48" spans="1:9" s="808" customFormat="1" ht="19.5" customHeight="1">
      <c r="A48" s="3556"/>
      <c r="B48" s="3549"/>
      <c r="C48" s="805" t="s">
        <v>3020</v>
      </c>
      <c r="D48" s="806"/>
      <c r="E48" s="3216">
        <v>1</v>
      </c>
      <c r="F48" s="3215" t="s">
        <v>3021</v>
      </c>
      <c r="G48" s="807"/>
      <c r="H48" s="801"/>
      <c r="I48" s="801"/>
    </row>
    <row r="49" spans="1:9" s="808" customFormat="1" ht="19.5" customHeight="1">
      <c r="A49" s="3556"/>
      <c r="B49" s="3549"/>
      <c r="C49" s="805" t="s">
        <v>3022</v>
      </c>
      <c r="D49" s="806"/>
      <c r="E49" s="3216">
        <v>1</v>
      </c>
      <c r="F49" s="3215" t="s">
        <v>3023</v>
      </c>
      <c r="G49" s="807"/>
      <c r="H49" s="801"/>
      <c r="I49" s="801"/>
    </row>
    <row r="50" spans="1:9" s="808" customFormat="1" ht="19.5" customHeight="1">
      <c r="A50" s="3556"/>
      <c r="B50" s="3549"/>
      <c r="C50" s="805" t="s">
        <v>3024</v>
      </c>
      <c r="D50" s="806"/>
      <c r="E50" s="3216">
        <v>1</v>
      </c>
      <c r="F50" s="3215" t="s">
        <v>3025</v>
      </c>
      <c r="G50" s="807"/>
      <c r="H50" s="801"/>
      <c r="I50" s="801"/>
    </row>
    <row r="51" spans="1:9" s="808" customFormat="1" ht="19.5" customHeight="1" thickBot="1">
      <c r="A51" s="3557"/>
      <c r="B51" s="3551"/>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3028</v>
      </c>
      <c r="D72" s="859"/>
      <c r="E72" s="816" t="s">
        <v>1</v>
      </c>
      <c r="F72" s="859" t="s">
        <v>1</v>
      </c>
    </row>
    <row r="73" spans="1:7" s="801" customFormat="1" ht="14.4">
      <c r="A73" s="3225">
        <v>1</v>
      </c>
      <c r="B73" s="3547" t="s">
        <v>3029</v>
      </c>
      <c r="C73" s="3205" t="s">
        <v>3030</v>
      </c>
      <c r="D73" s="3205" t="s">
        <v>3031</v>
      </c>
      <c r="E73" s="3226">
        <v>0.2</v>
      </c>
      <c r="F73" s="3225">
        <v>25</v>
      </c>
    </row>
    <row r="74" spans="1:7" s="801" customFormat="1" ht="24">
      <c r="A74" s="3225">
        <v>2</v>
      </c>
      <c r="B74" s="3549"/>
      <c r="C74" s="3205" t="s">
        <v>3032</v>
      </c>
      <c r="D74" s="3205" t="s">
        <v>3033</v>
      </c>
      <c r="E74" s="3226">
        <v>0.2</v>
      </c>
      <c r="F74" s="3225">
        <v>25</v>
      </c>
    </row>
    <row r="75" spans="1:7" s="801" customFormat="1" ht="24">
      <c r="A75" s="3225">
        <v>3</v>
      </c>
      <c r="B75" s="3549"/>
      <c r="C75" s="3205" t="s">
        <v>3034</v>
      </c>
      <c r="D75" s="3205" t="s">
        <v>3035</v>
      </c>
      <c r="E75" s="3226">
        <v>0.2</v>
      </c>
      <c r="F75" s="3225">
        <v>25</v>
      </c>
    </row>
    <row r="76" spans="1:7" s="801" customFormat="1" ht="14.4">
      <c r="A76" s="3225">
        <v>4</v>
      </c>
      <c r="B76" s="3549"/>
      <c r="C76" s="3205" t="s">
        <v>3036</v>
      </c>
      <c r="D76" s="3205" t="s">
        <v>3037</v>
      </c>
      <c r="E76" s="3226">
        <v>0.15</v>
      </c>
      <c r="F76" s="3225">
        <v>20</v>
      </c>
    </row>
    <row r="77" spans="1:7" s="801" customFormat="1" ht="24">
      <c r="A77" s="3225">
        <v>5</v>
      </c>
      <c r="B77" s="3549"/>
      <c r="C77" s="3205" t="s">
        <v>3038</v>
      </c>
      <c r="D77" s="3205" t="s">
        <v>3039</v>
      </c>
      <c r="E77" s="3226">
        <v>0.15</v>
      </c>
      <c r="F77" s="3225">
        <v>20</v>
      </c>
    </row>
    <row r="78" spans="1:7" s="801" customFormat="1" ht="24">
      <c r="A78" s="3225">
        <v>6</v>
      </c>
      <c r="B78" s="3549"/>
      <c r="C78" s="3205" t="s">
        <v>3040</v>
      </c>
      <c r="D78" s="3205" t="s">
        <v>3041</v>
      </c>
      <c r="E78" s="3226">
        <v>0.15</v>
      </c>
      <c r="F78" s="3225">
        <v>20</v>
      </c>
    </row>
    <row r="79" spans="1:7" s="801" customFormat="1" ht="24">
      <c r="A79" s="3225">
        <v>7</v>
      </c>
      <c r="B79" s="3549"/>
      <c r="C79" s="3205" t="s">
        <v>3042</v>
      </c>
      <c r="D79" s="3205" t="s">
        <v>3043</v>
      </c>
      <c r="E79" s="3226">
        <v>0.15</v>
      </c>
      <c r="F79" s="3225">
        <v>20</v>
      </c>
    </row>
    <row r="80" spans="1:7" s="801" customFormat="1" ht="24">
      <c r="A80" s="3225">
        <v>8</v>
      </c>
      <c r="B80" s="3549"/>
      <c r="C80" s="3205" t="s">
        <v>3044</v>
      </c>
      <c r="D80" s="3205" t="s">
        <v>3045</v>
      </c>
      <c r="E80" s="3226">
        <v>0.1</v>
      </c>
      <c r="F80" s="3225">
        <v>15</v>
      </c>
    </row>
    <row r="81" spans="1:6" s="801" customFormat="1" ht="24">
      <c r="A81" s="3225">
        <v>9</v>
      </c>
      <c r="B81" s="3549"/>
      <c r="C81" s="3205" t="s">
        <v>3046</v>
      </c>
      <c r="D81" s="3205" t="s">
        <v>3047</v>
      </c>
      <c r="E81" s="3226">
        <v>0.1</v>
      </c>
      <c r="F81" s="3225">
        <v>15</v>
      </c>
    </row>
    <row r="82" spans="1:6" s="801" customFormat="1" ht="24">
      <c r="A82" s="3225">
        <v>10</v>
      </c>
      <c r="B82" s="3549"/>
      <c r="C82" s="3205" t="s">
        <v>3048</v>
      </c>
      <c r="D82" s="3205" t="s">
        <v>3049</v>
      </c>
      <c r="E82" s="3226">
        <v>0.1</v>
      </c>
      <c r="F82" s="3225">
        <v>15</v>
      </c>
    </row>
    <row r="83" spans="1:6" s="801" customFormat="1" ht="24">
      <c r="A83" s="3225">
        <v>11</v>
      </c>
      <c r="B83" s="3549"/>
      <c r="C83" s="3205" t="s">
        <v>3050</v>
      </c>
      <c r="D83" s="3205" t="s">
        <v>3051</v>
      </c>
      <c r="E83" s="3226">
        <v>0.1</v>
      </c>
      <c r="F83" s="3225">
        <v>15</v>
      </c>
    </row>
    <row r="84" spans="1:6" s="801" customFormat="1" ht="24">
      <c r="A84" s="3225">
        <v>12</v>
      </c>
      <c r="B84" s="3549"/>
      <c r="C84" s="3205" t="s">
        <v>3052</v>
      </c>
      <c r="D84" s="3205" t="s">
        <v>3053</v>
      </c>
      <c r="E84" s="3226">
        <v>0.1</v>
      </c>
      <c r="F84" s="3225">
        <v>15</v>
      </c>
    </row>
    <row r="85" spans="1:6" s="801" customFormat="1" ht="24">
      <c r="A85" s="3225">
        <v>13</v>
      </c>
      <c r="B85" s="3549"/>
      <c r="C85" s="3205" t="s">
        <v>3054</v>
      </c>
      <c r="D85" s="3205" t="s">
        <v>3055</v>
      </c>
      <c r="E85" s="3226">
        <v>0.1</v>
      </c>
      <c r="F85" s="3225">
        <v>15</v>
      </c>
    </row>
    <row r="86" spans="1:6" s="801" customFormat="1" ht="24">
      <c r="A86" s="3225">
        <v>14</v>
      </c>
      <c r="B86" s="3549"/>
      <c r="C86" s="3205" t="s">
        <v>3056</v>
      </c>
      <c r="D86" s="3205" t="s">
        <v>3057</v>
      </c>
      <c r="E86" s="3226">
        <v>0.1</v>
      </c>
      <c r="F86" s="3225">
        <v>15</v>
      </c>
    </row>
    <row r="87" spans="1:6" s="801" customFormat="1" ht="24">
      <c r="A87" s="3225">
        <v>15</v>
      </c>
      <c r="B87" s="3549"/>
      <c r="C87" s="3205" t="s">
        <v>3058</v>
      </c>
      <c r="D87" s="3205" t="s">
        <v>3059</v>
      </c>
      <c r="E87" s="3226">
        <v>0.1</v>
      </c>
      <c r="F87" s="3225">
        <v>15</v>
      </c>
    </row>
    <row r="88" spans="1:6" s="801" customFormat="1" ht="24">
      <c r="A88" s="3225">
        <v>16</v>
      </c>
      <c r="B88" s="3549"/>
      <c r="C88" s="3205" t="s">
        <v>3060</v>
      </c>
      <c r="D88" s="3205" t="s">
        <v>3061</v>
      </c>
      <c r="E88" s="3226">
        <v>0.1</v>
      </c>
      <c r="F88" s="3225">
        <v>15</v>
      </c>
    </row>
    <row r="89" spans="1:6" s="801" customFormat="1" ht="24">
      <c r="A89" s="3225">
        <v>17</v>
      </c>
      <c r="B89" s="3548"/>
      <c r="C89" s="3205" t="s">
        <v>3062</v>
      </c>
      <c r="D89" s="3205" t="s">
        <v>3063</v>
      </c>
      <c r="E89" s="3226">
        <v>0.1</v>
      </c>
      <c r="F89" s="3225">
        <v>15</v>
      </c>
    </row>
    <row r="90" spans="1:6" s="801" customFormat="1" ht="14.4">
      <c r="A90" s="3225">
        <v>18</v>
      </c>
      <c r="B90" s="3547" t="s">
        <v>3064</v>
      </c>
      <c r="C90" s="3205" t="s">
        <v>3065</v>
      </c>
      <c r="D90" s="3205" t="s">
        <v>3066</v>
      </c>
      <c r="E90" s="3226">
        <v>0.2</v>
      </c>
      <c r="F90" s="3225">
        <v>25</v>
      </c>
    </row>
    <row r="91" spans="1:6" s="801" customFormat="1" ht="24">
      <c r="A91" s="3225">
        <v>19</v>
      </c>
      <c r="B91" s="3549"/>
      <c r="C91" s="3205" t="s">
        <v>3067</v>
      </c>
      <c r="D91" s="3205" t="s">
        <v>3068</v>
      </c>
      <c r="E91" s="3226">
        <v>0.2</v>
      </c>
      <c r="F91" s="3225">
        <v>25</v>
      </c>
    </row>
    <row r="92" spans="1:6" s="801" customFormat="1" ht="14.4">
      <c r="A92" s="3225">
        <v>20</v>
      </c>
      <c r="B92" s="3549"/>
      <c r="C92" s="3205" t="s">
        <v>3069</v>
      </c>
      <c r="D92" s="3205" t="s">
        <v>3070</v>
      </c>
      <c r="E92" s="3226">
        <v>0.15</v>
      </c>
      <c r="F92" s="3225">
        <v>20</v>
      </c>
    </row>
    <row r="93" spans="1:6" s="801" customFormat="1" ht="24">
      <c r="A93" s="3225">
        <v>21</v>
      </c>
      <c r="B93" s="3549"/>
      <c r="C93" s="3205" t="s">
        <v>3071</v>
      </c>
      <c r="D93" s="3205" t="s">
        <v>3072</v>
      </c>
      <c r="E93" s="3226">
        <v>0.15</v>
      </c>
      <c r="F93" s="3225">
        <v>20</v>
      </c>
    </row>
    <row r="94" spans="1:6" s="801" customFormat="1" ht="24">
      <c r="A94" s="3225">
        <v>22</v>
      </c>
      <c r="B94" s="3549"/>
      <c r="C94" s="3205" t="s">
        <v>3073</v>
      </c>
      <c r="D94" s="3205" t="s">
        <v>3074</v>
      </c>
      <c r="E94" s="3226">
        <v>0.15</v>
      </c>
      <c r="F94" s="3225">
        <v>20</v>
      </c>
    </row>
    <row r="95" spans="1:6" s="801" customFormat="1" ht="36">
      <c r="A95" s="3225">
        <v>23</v>
      </c>
      <c r="B95" s="3549"/>
      <c r="C95" s="3205" t="s">
        <v>3075</v>
      </c>
      <c r="D95" s="3205" t="s">
        <v>3076</v>
      </c>
      <c r="E95" s="3226">
        <v>0.15</v>
      </c>
      <c r="F95" s="3225">
        <v>20</v>
      </c>
    </row>
    <row r="96" spans="1:6" s="801" customFormat="1" ht="24">
      <c r="A96" s="3225">
        <v>24</v>
      </c>
      <c r="B96" s="3549"/>
      <c r="C96" s="3205" t="s">
        <v>3077</v>
      </c>
      <c r="D96" s="3205" t="s">
        <v>3078</v>
      </c>
      <c r="E96" s="3226">
        <v>0.1</v>
      </c>
      <c r="F96" s="3225">
        <v>15</v>
      </c>
    </row>
    <row r="97" spans="1:6" s="801" customFormat="1" ht="24">
      <c r="A97" s="3225">
        <v>25</v>
      </c>
      <c r="B97" s="3549"/>
      <c r="C97" s="3205" t="s">
        <v>3079</v>
      </c>
      <c r="D97" s="3205" t="s">
        <v>3080</v>
      </c>
      <c r="E97" s="3226">
        <v>0.1</v>
      </c>
      <c r="F97" s="3225">
        <v>15</v>
      </c>
    </row>
    <row r="98" spans="1:6" s="801" customFormat="1" ht="24">
      <c r="A98" s="3225">
        <v>26</v>
      </c>
      <c r="B98" s="3549"/>
      <c r="C98" s="3205" t="s">
        <v>3081</v>
      </c>
      <c r="D98" s="3205" t="s">
        <v>3082</v>
      </c>
      <c r="E98" s="3226">
        <v>0.1</v>
      </c>
      <c r="F98" s="3225">
        <v>15</v>
      </c>
    </row>
    <row r="99" spans="1:6" s="801" customFormat="1" ht="24">
      <c r="A99" s="3225">
        <v>27</v>
      </c>
      <c r="B99" s="3549"/>
      <c r="C99" s="3205" t="s">
        <v>3083</v>
      </c>
      <c r="D99" s="3205" t="s">
        <v>3084</v>
      </c>
      <c r="E99" s="3226">
        <v>0.1</v>
      </c>
      <c r="F99" s="3225">
        <v>15</v>
      </c>
    </row>
    <row r="100" spans="1:6" s="801" customFormat="1" ht="24">
      <c r="A100" s="3225">
        <v>28</v>
      </c>
      <c r="B100" s="3549"/>
      <c r="C100" s="3205" t="s">
        <v>3085</v>
      </c>
      <c r="D100" s="3205" t="s">
        <v>3086</v>
      </c>
      <c r="E100" s="3226">
        <v>0.1</v>
      </c>
      <c r="F100" s="3225">
        <v>15</v>
      </c>
    </row>
    <row r="101" spans="1:6" s="801" customFormat="1" ht="24">
      <c r="A101" s="3225">
        <v>29</v>
      </c>
      <c r="B101" s="3549"/>
      <c r="C101" s="3205" t="s">
        <v>3087</v>
      </c>
      <c r="D101" s="3205" t="s">
        <v>3088</v>
      </c>
      <c r="E101" s="3226">
        <v>0.1</v>
      </c>
      <c r="F101" s="3225">
        <v>15</v>
      </c>
    </row>
    <row r="102" spans="1:6" s="801" customFormat="1" ht="24">
      <c r="A102" s="3225">
        <v>30</v>
      </c>
      <c r="B102" s="3549"/>
      <c r="C102" s="3205" t="s">
        <v>3089</v>
      </c>
      <c r="D102" s="3205" t="s">
        <v>3090</v>
      </c>
      <c r="E102" s="3226">
        <v>0.1</v>
      </c>
      <c r="F102" s="3225">
        <v>15</v>
      </c>
    </row>
    <row r="103" spans="1:6" s="801" customFormat="1" ht="24">
      <c r="A103" s="3225">
        <v>31</v>
      </c>
      <c r="B103" s="3549"/>
      <c r="C103" s="3205" t="s">
        <v>3091</v>
      </c>
      <c r="D103" s="3205" t="s">
        <v>3092</v>
      </c>
      <c r="E103" s="3226">
        <v>0.1</v>
      </c>
      <c r="F103" s="3225">
        <v>15</v>
      </c>
    </row>
    <row r="104" spans="1:6" s="801" customFormat="1" ht="24">
      <c r="A104" s="3225">
        <v>32</v>
      </c>
      <c r="B104" s="3549"/>
      <c r="C104" s="3205" t="s">
        <v>3093</v>
      </c>
      <c r="D104" s="3205" t="s">
        <v>3094</v>
      </c>
      <c r="E104" s="3226">
        <v>0.1</v>
      </c>
      <c r="F104" s="3225">
        <v>15</v>
      </c>
    </row>
    <row r="105" spans="1:6" s="801" customFormat="1" ht="24">
      <c r="A105" s="3225">
        <v>33</v>
      </c>
      <c r="B105" s="3549"/>
      <c r="C105" s="3205" t="s">
        <v>3095</v>
      </c>
      <c r="D105" s="3205" t="s">
        <v>3096</v>
      </c>
      <c r="E105" s="3226">
        <v>0.1</v>
      </c>
      <c r="F105" s="3225">
        <v>15</v>
      </c>
    </row>
    <row r="106" spans="1:6" s="801" customFormat="1" ht="24">
      <c r="A106" s="3225">
        <v>34</v>
      </c>
      <c r="B106" s="3548"/>
      <c r="C106" s="3205" t="s">
        <v>3097</v>
      </c>
      <c r="D106" s="3205" t="s">
        <v>3098</v>
      </c>
      <c r="E106" s="3226">
        <v>0.1</v>
      </c>
      <c r="F106" s="3225">
        <v>15</v>
      </c>
    </row>
    <row r="107" spans="1:6" s="801" customFormat="1" ht="36">
      <c r="A107" s="3225">
        <v>35</v>
      </c>
      <c r="B107" s="3547" t="s">
        <v>3099</v>
      </c>
      <c r="C107" s="3225" t="s">
        <v>3100</v>
      </c>
      <c r="D107" s="3205" t="s">
        <v>3101</v>
      </c>
      <c r="E107" s="3226">
        <v>0.15</v>
      </c>
      <c r="F107" s="3225">
        <v>20</v>
      </c>
    </row>
    <row r="108" spans="1:6" s="801" customFormat="1" ht="24">
      <c r="A108" s="3225">
        <v>36</v>
      </c>
      <c r="B108" s="3549"/>
      <c r="C108" s="3225" t="s">
        <v>3102</v>
      </c>
      <c r="D108" s="3205" t="s">
        <v>3103</v>
      </c>
      <c r="E108" s="3226">
        <v>0.15</v>
      </c>
      <c r="F108" s="3225">
        <v>20</v>
      </c>
    </row>
    <row r="109" spans="1:6" s="801" customFormat="1" ht="24">
      <c r="A109" s="3225">
        <v>37</v>
      </c>
      <c r="B109" s="3549"/>
      <c r="C109" s="3225" t="s">
        <v>3104</v>
      </c>
      <c r="D109" s="3205" t="s">
        <v>3105</v>
      </c>
      <c r="E109" s="3226">
        <v>0.15</v>
      </c>
      <c r="F109" s="3225">
        <v>20</v>
      </c>
    </row>
    <row r="110" spans="1:6" s="801" customFormat="1" ht="24">
      <c r="A110" s="3225">
        <v>38</v>
      </c>
      <c r="B110" s="3549"/>
      <c r="C110" s="3225" t="s">
        <v>3106</v>
      </c>
      <c r="D110" s="3205" t="s">
        <v>3107</v>
      </c>
      <c r="E110" s="3226">
        <v>0.1</v>
      </c>
      <c r="F110" s="3225">
        <v>15</v>
      </c>
    </row>
    <row r="111" spans="1:6" s="801" customFormat="1" ht="24">
      <c r="A111" s="3225">
        <v>39</v>
      </c>
      <c r="B111" s="3549"/>
      <c r="C111" s="3225" t="s">
        <v>3108</v>
      </c>
      <c r="D111" s="3205" t="s">
        <v>3109</v>
      </c>
      <c r="E111" s="3226">
        <v>0.1</v>
      </c>
      <c r="F111" s="3225">
        <v>15</v>
      </c>
    </row>
    <row r="112" spans="1:6" s="801" customFormat="1" ht="24">
      <c r="A112" s="3225">
        <v>40</v>
      </c>
      <c r="B112" s="3548"/>
      <c r="C112" s="3225" t="s">
        <v>3110</v>
      </c>
      <c r="D112" s="3205" t="s">
        <v>3111</v>
      </c>
      <c r="E112" s="3226">
        <v>0.1</v>
      </c>
      <c r="F112" s="3225">
        <v>15</v>
      </c>
    </row>
    <row r="113" spans="1:6" s="801" customFormat="1" ht="24">
      <c r="A113" s="3225">
        <v>41</v>
      </c>
      <c r="B113" s="3546" t="s">
        <v>3112</v>
      </c>
      <c r="C113" s="3225" t="s">
        <v>3113</v>
      </c>
      <c r="D113" s="3205" t="s">
        <v>3114</v>
      </c>
      <c r="E113" s="3226">
        <v>0.1</v>
      </c>
      <c r="F113" s="3225">
        <v>15</v>
      </c>
    </row>
    <row r="114" spans="1:6" s="801" customFormat="1" ht="24">
      <c r="A114" s="3225">
        <v>42</v>
      </c>
      <c r="B114" s="3546"/>
      <c r="C114" s="3225" t="s">
        <v>3115</v>
      </c>
      <c r="D114" s="3205" t="s">
        <v>3116</v>
      </c>
      <c r="E114" s="3226">
        <v>0.1</v>
      </c>
      <c r="F114" s="3225">
        <v>15</v>
      </c>
    </row>
    <row r="115" spans="1:6" s="801" customFormat="1" ht="24">
      <c r="A115" s="3225">
        <v>43</v>
      </c>
      <c r="B115" s="3546"/>
      <c r="C115" s="3225" t="s">
        <v>3117</v>
      </c>
      <c r="D115" s="3205" t="s">
        <v>3118</v>
      </c>
      <c r="E115" s="3226">
        <v>0.1</v>
      </c>
      <c r="F115" s="3225">
        <v>15</v>
      </c>
    </row>
    <row r="116" spans="1:6" s="801" customFormat="1" ht="24">
      <c r="A116" s="3225">
        <v>44</v>
      </c>
      <c r="B116" s="3547" t="s">
        <v>3119</v>
      </c>
      <c r="C116" s="3225" t="s">
        <v>3120</v>
      </c>
      <c r="D116" s="3205" t="s">
        <v>3121</v>
      </c>
      <c r="E116" s="3226">
        <v>0.1</v>
      </c>
      <c r="F116" s="3225">
        <v>15</v>
      </c>
    </row>
    <row r="117" spans="1:6" s="801" customFormat="1" ht="24">
      <c r="A117" s="3225">
        <v>45</v>
      </c>
      <c r="B117" s="3548"/>
      <c r="C117" s="3205" t="s">
        <v>3122</v>
      </c>
      <c r="D117" s="3205" t="s">
        <v>3123</v>
      </c>
      <c r="E117" s="3226">
        <v>0.1</v>
      </c>
      <c r="F117" s="3225">
        <v>15</v>
      </c>
    </row>
    <row r="118" spans="1:6" s="801" customFormat="1" ht="24">
      <c r="A118" s="3225">
        <v>46</v>
      </c>
      <c r="B118" s="3547" t="s">
        <v>3124</v>
      </c>
      <c r="C118" s="3225" t="s">
        <v>3125</v>
      </c>
      <c r="D118" s="3205" t="s">
        <v>3126</v>
      </c>
      <c r="E118" s="3226">
        <v>0.1</v>
      </c>
      <c r="F118" s="3225">
        <v>15</v>
      </c>
    </row>
    <row r="119" spans="1:6" s="801" customFormat="1" ht="24">
      <c r="A119" s="3225">
        <v>47</v>
      </c>
      <c r="B119" s="3548"/>
      <c r="C119" s="3225" t="s">
        <v>3127</v>
      </c>
      <c r="D119" s="3205" t="s">
        <v>3128</v>
      </c>
      <c r="E119" s="3226">
        <v>0.1</v>
      </c>
      <c r="F119" s="3225">
        <v>15</v>
      </c>
    </row>
    <row r="120" spans="1:6" s="801" customFormat="1" ht="24">
      <c r="A120" s="3225">
        <v>48</v>
      </c>
      <c r="B120" s="3547" t="s">
        <v>3129</v>
      </c>
      <c r="C120" s="3225" t="s">
        <v>3130</v>
      </c>
      <c r="D120" s="3205" t="s">
        <v>3131</v>
      </c>
      <c r="E120" s="3226">
        <v>0.1</v>
      </c>
      <c r="F120" s="3225">
        <v>15</v>
      </c>
    </row>
    <row r="121" spans="1:6" s="801" customFormat="1" ht="24">
      <c r="A121" s="3225">
        <v>49</v>
      </c>
      <c r="B121" s="3548"/>
      <c r="C121" s="3225" t="s">
        <v>3132</v>
      </c>
      <c r="D121" s="3205" t="s">
        <v>3133</v>
      </c>
      <c r="E121" s="3226">
        <v>0.1</v>
      </c>
      <c r="F121" s="3225">
        <v>15</v>
      </c>
    </row>
    <row r="122" spans="1:6" s="801" customFormat="1" ht="24">
      <c r="A122" s="3225">
        <v>50</v>
      </c>
      <c r="B122" s="3546" t="s">
        <v>3134</v>
      </c>
      <c r="C122" s="3225" t="s">
        <v>3135</v>
      </c>
      <c r="D122" s="3205" t="s">
        <v>3136</v>
      </c>
      <c r="E122" s="3226">
        <v>0.1</v>
      </c>
      <c r="F122" s="3225">
        <v>15</v>
      </c>
    </row>
    <row r="123" spans="1:6" s="801" customFormat="1" ht="24">
      <c r="A123" s="3225">
        <v>51</v>
      </c>
      <c r="B123" s="3546"/>
      <c r="C123" s="3225" t="s">
        <v>3137</v>
      </c>
      <c r="D123" s="3205" t="s">
        <v>3138</v>
      </c>
      <c r="E123" s="3226">
        <v>0.1</v>
      </c>
      <c r="F123" s="3225">
        <v>15</v>
      </c>
    </row>
    <row r="124" spans="1:6" s="801" customFormat="1" ht="24">
      <c r="A124" s="3225">
        <v>52</v>
      </c>
      <c r="B124" s="3546" t="s">
        <v>3139</v>
      </c>
      <c r="C124" s="3225" t="s">
        <v>3140</v>
      </c>
      <c r="D124" s="3205" t="s">
        <v>3141</v>
      </c>
      <c r="E124" s="3226">
        <v>0.1</v>
      </c>
      <c r="F124" s="3225">
        <v>15</v>
      </c>
    </row>
    <row r="125" spans="1:6" s="801" customFormat="1" ht="24">
      <c r="A125" s="3225">
        <v>53</v>
      </c>
      <c r="B125" s="3546"/>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24">
      <c r="A127" s="3225">
        <v>55</v>
      </c>
      <c r="B127" s="3546" t="s">
        <v>3147</v>
      </c>
      <c r="C127" s="3225" t="s">
        <v>3148</v>
      </c>
      <c r="D127" s="3205" t="s">
        <v>3149</v>
      </c>
      <c r="E127" s="3226">
        <v>0.1</v>
      </c>
      <c r="F127" s="3225">
        <v>15</v>
      </c>
    </row>
    <row r="128" spans="1:6" ht="24">
      <c r="A128" s="3225">
        <v>56</v>
      </c>
      <c r="B128" s="3546"/>
      <c r="C128" s="3225" t="s">
        <v>3150</v>
      </c>
      <c r="D128" s="3205" t="s">
        <v>3151</v>
      </c>
      <c r="E128" s="3226">
        <v>0.1</v>
      </c>
      <c r="F128" s="3225">
        <v>15</v>
      </c>
    </row>
    <row r="129" spans="1:6" ht="24">
      <c r="A129" s="3225">
        <v>57</v>
      </c>
      <c r="B129" s="3546"/>
      <c r="C129" s="3225" t="s">
        <v>3152</v>
      </c>
      <c r="D129" s="3205" t="s">
        <v>3153</v>
      </c>
      <c r="E129" s="3226">
        <v>0.1</v>
      </c>
      <c r="F129" s="3225">
        <v>15</v>
      </c>
    </row>
    <row r="130" spans="1:6" ht="24">
      <c r="A130" s="3225">
        <v>58</v>
      </c>
      <c r="B130" s="3546" t="s">
        <v>3154</v>
      </c>
      <c r="C130" s="3225" t="s">
        <v>3155</v>
      </c>
      <c r="D130" s="3205" t="s">
        <v>3156</v>
      </c>
      <c r="E130" s="3226">
        <v>0.1</v>
      </c>
      <c r="F130" s="3225">
        <v>15</v>
      </c>
    </row>
    <row r="131" spans="1:6" ht="24">
      <c r="A131" s="3225">
        <v>59</v>
      </c>
      <c r="B131" s="3546"/>
      <c r="C131" s="3225" t="s">
        <v>3157</v>
      </c>
      <c r="D131" s="3205" t="s">
        <v>3158</v>
      </c>
      <c r="E131" s="3226">
        <v>0.1</v>
      </c>
      <c r="F131" s="3225">
        <v>15</v>
      </c>
    </row>
    <row r="132" spans="1:6" ht="24">
      <c r="A132" s="3225">
        <v>60</v>
      </c>
      <c r="B132" s="3547" t="s">
        <v>3159</v>
      </c>
      <c r="C132" s="3225" t="s">
        <v>3160</v>
      </c>
      <c r="D132" s="3205" t="s">
        <v>3161</v>
      </c>
      <c r="E132" s="3226">
        <v>0.1</v>
      </c>
      <c r="F132" s="3225">
        <v>15</v>
      </c>
    </row>
    <row r="133" spans="1:6" ht="24">
      <c r="A133" s="3225">
        <v>61</v>
      </c>
      <c r="B133" s="3548"/>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46" t="s">
        <v>3167</v>
      </c>
      <c r="C135" s="3225" t="s">
        <v>3168</v>
      </c>
      <c r="D135" s="3205" t="s">
        <v>3169</v>
      </c>
      <c r="E135" s="3226">
        <v>0.1</v>
      </c>
      <c r="F135" s="3225">
        <v>15</v>
      </c>
    </row>
    <row r="136" spans="1:6" ht="24">
      <c r="A136" s="3225">
        <v>64</v>
      </c>
      <c r="B136" s="3546"/>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2581</v>
      </c>
      <c r="B1" s="2314"/>
      <c r="C1" s="2314"/>
      <c r="D1" s="2314"/>
      <c r="E1" s="2314"/>
      <c r="F1" s="2973"/>
      <c r="G1" s="2973"/>
      <c r="H1" s="2973"/>
      <c r="I1" s="2973"/>
      <c r="J1" s="2973"/>
      <c r="K1" s="2973"/>
      <c r="L1" s="2973"/>
      <c r="M1" s="2973"/>
      <c r="N1" s="2973"/>
      <c r="O1" s="2973"/>
      <c r="P1" s="2973"/>
    </row>
    <row r="2" spans="1:16" ht="15.6">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6">
      <c r="A3" s="2312" t="s">
        <v>2576</v>
      </c>
      <c r="B3" s="2777" t="e">
        <f ca="1">ROUND(B2*10000/E2,0)</f>
        <v>#DIV/0!</v>
      </c>
      <c r="C3" s="2312" t="s">
        <v>2582</v>
      </c>
      <c r="D3" s="2973"/>
      <c r="E3" s="2973"/>
      <c r="F3" s="2973"/>
      <c r="G3" s="2973"/>
      <c r="H3" s="2973"/>
      <c r="I3" s="2973"/>
      <c r="J3" s="2973"/>
      <c r="K3" s="2973"/>
      <c r="L3" s="2973"/>
      <c r="M3" s="2973"/>
      <c r="N3" s="2973"/>
      <c r="O3" s="2973"/>
      <c r="P3" s="2973"/>
    </row>
    <row r="4" spans="1:16" ht="15.6">
      <c r="A4" s="2974"/>
      <c r="B4" s="2973"/>
      <c r="C4" s="2973"/>
      <c r="D4" s="2973"/>
      <c r="E4" s="2973"/>
      <c r="F4" s="2973"/>
      <c r="G4" s="2973"/>
      <c r="H4" s="2973"/>
      <c r="I4" s="2973"/>
      <c r="J4" s="2973"/>
      <c r="K4" s="2973"/>
      <c r="L4" s="2973"/>
      <c r="M4" s="2973"/>
      <c r="N4" s="2973"/>
      <c r="O4" s="2973"/>
      <c r="P4" s="2973"/>
    </row>
    <row r="5" spans="1:16" ht="31.2">
      <c r="A5" s="2783" t="s">
        <v>2577</v>
      </c>
      <c r="B5" s="2785" t="s">
        <v>2578</v>
      </c>
      <c r="C5" s="2313"/>
      <c r="D5" s="2973"/>
      <c r="E5" s="2786" t="s">
        <v>2579</v>
      </c>
      <c r="F5" s="2973"/>
      <c r="G5" s="2973"/>
      <c r="H5" s="2973"/>
      <c r="I5" s="2973"/>
      <c r="J5" s="2973"/>
      <c r="K5" s="2973"/>
      <c r="L5" s="2973"/>
      <c r="M5" s="2973"/>
      <c r="N5" s="2973"/>
      <c r="O5" s="2973"/>
      <c r="P5" s="2973"/>
    </row>
    <row r="6" spans="1:16" ht="15.6">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6">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6">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6">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6">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6">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6">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6">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3" t="s">
        <v>877</v>
      </c>
      <c r="C1" s="3563"/>
      <c r="D1" s="3563"/>
      <c r="E1" s="3563"/>
      <c r="F1" s="3563"/>
      <c r="G1" s="3562" t="s">
        <v>878</v>
      </c>
      <c r="H1" s="3562"/>
      <c r="I1" s="3562"/>
      <c r="J1" s="3562"/>
      <c r="K1" s="3562"/>
      <c r="L1" s="3562"/>
      <c r="N1" s="3562" t="s">
        <v>879</v>
      </c>
      <c r="O1" s="3562"/>
      <c r="P1" s="3562"/>
      <c r="Q1" s="3562"/>
      <c r="S1" s="3562" t="s">
        <v>880</v>
      </c>
      <c r="T1" s="3562"/>
      <c r="U1" s="3562"/>
      <c r="V1" s="3562"/>
      <c r="X1" s="3561" t="s">
        <v>881</v>
      </c>
      <c r="Y1" s="3562"/>
      <c r="Z1" s="3562"/>
      <c r="AA1" s="3562"/>
      <c r="AB1" s="3562"/>
      <c r="AD1" s="3561" t="s">
        <v>882</v>
      </c>
      <c r="AE1" s="3562"/>
      <c r="AF1" s="3562"/>
      <c r="AG1" s="3562"/>
      <c r="AH1" s="3562"/>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5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5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5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5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5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5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5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5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5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5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5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5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9">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0">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5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9">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0">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7.399999999999999">
      <c r="A3" s="3238" t="str">
        <f>IF(项目基本情况!B9="房地产市场价值","估价结果一览表（市场价值不需“结果表-1”）","估价结果一览表")</f>
        <v>估价结果一览表</v>
      </c>
      <c r="B3" s="3238"/>
      <c r="C3" s="3238"/>
      <c r="D3" s="3238"/>
      <c r="E3" s="3238"/>
    </row>
    <row r="4" spans="1:5" ht="18" thickBot="1">
      <c r="A4" s="1629"/>
      <c r="B4" s="3236" t="s">
        <v>1354</v>
      </c>
      <c r="C4" s="3236"/>
      <c r="D4" s="3236"/>
      <c r="E4" s="1629"/>
    </row>
    <row r="5" spans="1:5" ht="16.2" thickTop="1">
      <c r="A5" s="1627"/>
      <c r="B5" s="3234" t="s">
        <v>1346</v>
      </c>
      <c r="C5" s="1630" t="s">
        <v>1347</v>
      </c>
      <c r="D5" s="940">
        <f ca="1">结果表!H101</f>
        <v>23508</v>
      </c>
      <c r="E5" s="1627"/>
    </row>
    <row r="6" spans="1:5" ht="15.6">
      <c r="A6" s="1627"/>
      <c r="B6" s="3234"/>
      <c r="C6" s="1630" t="s">
        <v>1348</v>
      </c>
      <c r="D6" s="940" t="str">
        <f ca="1">NUMBERSTRING(INT(D5*10000),2)&amp;"元整"</f>
        <v>贰亿叁仟伍佰零捌万元整</v>
      </c>
      <c r="E6" s="1627"/>
    </row>
    <row r="7" spans="1:5" ht="15.6">
      <c r="A7" s="1627"/>
      <c r="B7" s="3239"/>
      <c r="C7" s="1631" t="s">
        <v>1349</v>
      </c>
      <c r="D7" s="941">
        <f ca="1">结果表!H102</f>
        <v>22826</v>
      </c>
      <c r="E7" s="1627"/>
    </row>
    <row r="8" spans="1:5" ht="15.6">
      <c r="A8" s="1627"/>
      <c r="B8" s="3240" t="str">
        <f>结果表!E103</f>
        <v>2.估价师知悉的法定优先受偿款</v>
      </c>
      <c r="C8" s="1632" t="s">
        <v>1350</v>
      </c>
      <c r="D8" s="941">
        <f>结果表!H103</f>
        <v>0</v>
      </c>
      <c r="E8" s="1627"/>
    </row>
    <row r="9" spans="1:5" ht="15.6">
      <c r="A9" s="1627"/>
      <c r="B9" s="3242"/>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3" t="str">
        <f>结果表!E107</f>
        <v>3.房地产抵押价值</v>
      </c>
      <c r="C13" s="1635" t="s">
        <v>1347</v>
      </c>
      <c r="D13" s="943">
        <f ca="1">结果表!H107</f>
        <v>23508</v>
      </c>
      <c r="E13" s="1627"/>
    </row>
    <row r="14" spans="1:5" ht="15.6">
      <c r="A14" s="1627"/>
      <c r="B14" s="3234"/>
      <c r="C14" s="1630" t="s">
        <v>1348</v>
      </c>
      <c r="D14" s="940" t="str">
        <f ca="1">NUMBERSTRING(INT(D13*10000),2)&amp;"元整"</f>
        <v>贰亿叁仟伍佰零捌万元整</v>
      </c>
      <c r="E14" s="1627"/>
    </row>
    <row r="15" spans="1:5" ht="15.6">
      <c r="A15" s="1627"/>
      <c r="B15" s="3239"/>
      <c r="C15" s="1631" t="s">
        <v>1358</v>
      </c>
      <c r="D15" s="949">
        <f ca="1">结果表!H108</f>
        <v>22826</v>
      </c>
      <c r="E15" s="1627"/>
    </row>
    <row r="16" spans="1:5" ht="15.6">
      <c r="A16" s="1627"/>
      <c r="B16" s="3240" t="str">
        <f>结果表!E109</f>
        <v>——</v>
      </c>
      <c r="C16" s="1635" t="s">
        <v>1359</v>
      </c>
      <c r="D16" s="1636" t="str">
        <f>结果表!H109</f>
        <v>——</v>
      </c>
      <c r="E16" s="1627"/>
    </row>
    <row r="17" spans="1:5" ht="15.6">
      <c r="A17" s="1627"/>
      <c r="B17" s="3241"/>
      <c r="C17" s="1630" t="s">
        <v>1360</v>
      </c>
      <c r="D17" s="940" t="e">
        <f>NUMBERSTRING(INT(D16*10000),2)&amp;"元整"</f>
        <v>#VALUE!</v>
      </c>
      <c r="E17" s="1627"/>
    </row>
    <row r="18" spans="1:5" ht="15.6">
      <c r="A18" s="1627"/>
      <c r="B18" s="3242"/>
      <c r="C18" s="1631" t="s">
        <v>1349</v>
      </c>
      <c r="D18" s="949" t="str">
        <f>结果表!H110</f>
        <v>——</v>
      </c>
      <c r="E18" s="1627"/>
    </row>
    <row r="19" spans="1:5" ht="15.6">
      <c r="A19" s="1627"/>
      <c r="B19" s="3233" t="str">
        <f>结果表!E111</f>
        <v>——</v>
      </c>
      <c r="C19" s="1635" t="s">
        <v>1347</v>
      </c>
      <c r="D19" s="941" t="str">
        <f>结果表!H111</f>
        <v>——</v>
      </c>
      <c r="E19" s="1627"/>
    </row>
    <row r="20" spans="1:5" ht="15.6">
      <c r="A20" s="1627"/>
      <c r="B20" s="3234"/>
      <c r="C20" s="1630" t="s">
        <v>1360</v>
      </c>
      <c r="D20" s="940" t="e">
        <f>NUMBERSTRING(INT(D19*10000),2)&amp;"元整"</f>
        <v>#VALUE!</v>
      </c>
      <c r="E20" s="1627"/>
    </row>
    <row r="21" spans="1:5" ht="16.2" thickBot="1">
      <c r="A21" s="1627"/>
      <c r="B21" s="3235"/>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31131</v>
      </c>
      <c r="C2" s="2" t="s">
        <v>133</v>
      </c>
      <c r="D2" s="205"/>
      <c r="E2" s="205"/>
      <c r="F2" s="205"/>
      <c r="G2" s="205"/>
    </row>
    <row r="3" spans="1:7" s="206" customFormat="1" ht="18" customHeight="1" thickBot="1">
      <c r="A3" s="209" t="s">
        <v>85</v>
      </c>
      <c r="B3" s="210">
        <f ca="1">ROUND(B2*10000/'数据-汇总表'!E3,0)</f>
        <v>30228</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206</v>
      </c>
      <c r="D10" s="935">
        <f>'数据-汇总表'!E6</f>
        <v>10298.76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206</v>
      </c>
      <c r="D19" s="939">
        <f>'数据-汇总表'!E3</f>
        <v>10298.76</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1338</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6.4">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27902</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3435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3090</v>
      </c>
      <c r="D34" s="223"/>
      <c r="E34" s="226"/>
      <c r="F34" s="263">
        <f>IF('数据-取费表'!B24=0,1,'数据-取费表'!N16)</f>
        <v>1</v>
      </c>
      <c r="G34" s="225" t="s">
        <v>116</v>
      </c>
    </row>
    <row r="35" spans="1:7" ht="13.5" customHeight="1">
      <c r="A35" s="869" t="s">
        <v>615</v>
      </c>
      <c r="B35" s="221" t="s">
        <v>60</v>
      </c>
      <c r="C35" s="226">
        <f>ROUND(C34*F35,0)</f>
        <v>93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206</v>
      </c>
      <c r="D37" s="223">
        <f>'数据-汇总表'!E3</f>
        <v>10298.76</v>
      </c>
      <c r="E37" s="255">
        <f>'数据-取费表'!B35</f>
        <v>200</v>
      </c>
      <c r="F37" s="265"/>
      <c r="G37" s="267" t="s">
        <v>119</v>
      </c>
    </row>
    <row r="38" spans="1:7" ht="13.5" customHeight="1">
      <c r="A38" s="869" t="s">
        <v>618</v>
      </c>
      <c r="B38" s="221" t="s">
        <v>63</v>
      </c>
      <c r="C38" s="226">
        <f>ROUND(C34*F38,0)</f>
        <v>46</v>
      </c>
      <c r="D38" s="226"/>
      <c r="E38" s="226"/>
      <c r="F38" s="265">
        <f>'数据-取费表'!B36</f>
        <v>1.4999999999999999E-2</v>
      </c>
      <c r="G38" s="225" t="s">
        <v>117</v>
      </c>
    </row>
    <row r="39" spans="1:7" s="220" customFormat="1" ht="13.5" customHeight="1">
      <c r="A39" s="866" t="s">
        <v>602</v>
      </c>
      <c r="B39" s="216" t="s">
        <v>104</v>
      </c>
      <c r="C39" s="238">
        <f>ROUND(C33*F20,0)</f>
        <v>69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110</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108</v>
      </c>
      <c r="D42" s="244"/>
      <c r="E42" s="244"/>
      <c r="F42" s="245"/>
      <c r="G42" s="3421" t="s">
        <v>121</v>
      </c>
    </row>
    <row r="43" spans="1:7" ht="13.5" customHeight="1">
      <c r="A43" s="869" t="s">
        <v>611</v>
      </c>
      <c r="B43" s="221" t="s">
        <v>851</v>
      </c>
      <c r="C43" s="244">
        <f ca="1">ROUND(IF('数据-取费表'!B22&lt;=1,C39*F22*'数据-取费表'!B21/2,C39*(POWER((1+F22),'数据-取费表'!B21/2)-1)),0)</f>
        <v>2</v>
      </c>
      <c r="D43" s="244"/>
      <c r="E43" s="244"/>
      <c r="F43" s="245"/>
      <c r="G43" s="3422"/>
    </row>
    <row r="44" spans="1:7" ht="13.5" customHeight="1">
      <c r="A44" s="869" t="s">
        <v>612</v>
      </c>
      <c r="B44" s="221" t="s">
        <v>853</v>
      </c>
      <c r="C44" s="244">
        <f ca="1">ROUND(IF('数据-取费表'!B22&lt;=1,C40*F22*'数据-取费表'!B21/2,C40*(POWER((1+F22),'数据-取费表'!B21/2)-1)),4)</f>
        <v>5.9999999999999995E-4</v>
      </c>
      <c r="D44" s="244"/>
      <c r="E44" s="244"/>
      <c r="F44" s="245"/>
      <c r="G44" s="3423"/>
    </row>
    <row r="45" spans="1:7" s="220" customFormat="1" ht="13.5" customHeight="1">
      <c r="A45" s="866" t="s">
        <v>605</v>
      </c>
      <c r="B45" s="250" t="s">
        <v>112</v>
      </c>
      <c r="C45" s="251">
        <f>C46</f>
        <v>526</v>
      </c>
      <c r="D45" s="241">
        <f>C47</f>
        <v>3.0000000000000001E-3</v>
      </c>
      <c r="E45" s="242" t="s">
        <v>129</v>
      </c>
      <c r="F45" s="252"/>
      <c r="G45" s="253" t="s">
        <v>859</v>
      </c>
    </row>
    <row r="46" spans="1:7" s="220" customFormat="1" ht="13.5" customHeight="1">
      <c r="A46" s="869" t="s">
        <v>613</v>
      </c>
      <c r="B46" s="254" t="s">
        <v>852</v>
      </c>
      <c r="C46" s="255">
        <f>ROUND((C33+C39)*F27,0)</f>
        <v>526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4485</v>
      </c>
      <c r="D49" s="238"/>
      <c r="E49" s="238"/>
      <c r="F49" s="270"/>
      <c r="G49" s="240" t="s">
        <v>860</v>
      </c>
    </row>
    <row r="50" spans="1:7" s="264" customFormat="1" ht="24">
      <c r="A50" s="866" t="s">
        <v>608</v>
      </c>
      <c r="B50" s="216" t="s">
        <v>124</v>
      </c>
      <c r="C50" s="238"/>
      <c r="D50" s="238"/>
      <c r="E50" s="238"/>
      <c r="F50" s="270">
        <f>IF('数据-取费表'!B24=0,'数据-取费表'!N16,1)</f>
        <v>0.72</v>
      </c>
      <c r="G50" s="253" t="s">
        <v>125</v>
      </c>
    </row>
    <row r="51" spans="1:7" ht="16.5" customHeight="1">
      <c r="A51" s="866" t="s">
        <v>609</v>
      </c>
      <c r="B51" s="216" t="s">
        <v>132</v>
      </c>
      <c r="C51" s="238">
        <f ca="1">ROUND(C49*F50,0)</f>
        <v>3229</v>
      </c>
      <c r="D51" s="238"/>
      <c r="E51" s="238"/>
      <c r="F51" s="270"/>
      <c r="G51" s="240" t="s">
        <v>64</v>
      </c>
    </row>
    <row r="52" spans="1:7" s="214" customFormat="1" ht="16.8" thickBot="1">
      <c r="A52" s="271" t="s">
        <v>65</v>
      </c>
      <c r="B52" s="272"/>
      <c r="C52" s="273">
        <f ca="1">C31+C51</f>
        <v>31131</v>
      </c>
      <c r="D52" s="272"/>
      <c r="E52" s="272"/>
      <c r="F52" s="272"/>
      <c r="G52" s="274"/>
    </row>
    <row r="55" spans="1:7" ht="15">
      <c r="B55" s="276" t="s">
        <v>66</v>
      </c>
      <c r="C55" s="277"/>
    </row>
    <row r="56" spans="1:7">
      <c r="B56" s="279" t="s">
        <v>67</v>
      </c>
      <c r="C56" s="280">
        <f ca="1">ROUND(C51/C52,3)</f>
        <v>0.104</v>
      </c>
    </row>
    <row r="57" spans="1:7">
      <c r="B57" s="279" t="s">
        <v>68</v>
      </c>
      <c r="C57" s="281">
        <f ca="1">1-C56</f>
        <v>0.89600000000000002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75" t="s">
        <v>658</v>
      </c>
      <c r="B1" s="3575"/>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O32" sqref="O32"/>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44782</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1">
        <v>44701</v>
      </c>
      <c r="D13" s="3002">
        <v>3.7</v>
      </c>
      <c r="E13" s="3002">
        <f>D13</f>
        <v>3.7</v>
      </c>
      <c r="F13" s="3002">
        <f>D13</f>
        <v>3.7</v>
      </c>
      <c r="G13" s="3002">
        <f>D13</f>
        <v>3.7</v>
      </c>
      <c r="H13" s="3002">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6"/>
      <c r="C14" s="2998">
        <v>44581</v>
      </c>
      <c r="D14" s="2997">
        <v>3.7</v>
      </c>
      <c r="E14" s="2997">
        <f>D14</f>
        <v>3.7</v>
      </c>
      <c r="F14" s="2997">
        <f>D14</f>
        <v>3.7</v>
      </c>
      <c r="G14" s="2997">
        <f>D14</f>
        <v>3.7</v>
      </c>
      <c r="H14" s="2997">
        <v>4.5999999999999996</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8">
        <v>44550</v>
      </c>
      <c r="D15" s="2997">
        <v>3.8</v>
      </c>
      <c r="E15" s="2997">
        <f>D15</f>
        <v>3.8</v>
      </c>
      <c r="F15" s="2997">
        <f>D15</f>
        <v>3.8</v>
      </c>
      <c r="G15" s="2997">
        <f>D15</f>
        <v>3.8</v>
      </c>
      <c r="H15" s="2997">
        <v>4.6500000000000004</v>
      </c>
      <c r="I15" s="2997"/>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7"/>
      <c r="C16" s="2998">
        <v>43941</v>
      </c>
      <c r="D16" s="2997">
        <v>3.85</v>
      </c>
      <c r="E16" s="2997">
        <v>3.85</v>
      </c>
      <c r="F16" s="2997">
        <v>3.85</v>
      </c>
      <c r="G16" s="2997">
        <v>3.85</v>
      </c>
      <c r="H16" s="2997">
        <v>4.6500000000000004</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7"/>
      <c r="C17" s="2998">
        <v>43881</v>
      </c>
      <c r="D17" s="2997">
        <v>4.05</v>
      </c>
      <c r="E17" s="2997">
        <v>4.05</v>
      </c>
      <c r="F17" s="2997">
        <v>4.05</v>
      </c>
      <c r="G17" s="2997">
        <v>4.05</v>
      </c>
      <c r="H17" s="2997">
        <v>4.75</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6">
      <c r="A19" s="1405"/>
      <c r="B19" s="2997"/>
      <c r="C19" s="2998">
        <v>43728</v>
      </c>
      <c r="D19" s="2997">
        <v>4.2</v>
      </c>
      <c r="E19" s="2997">
        <v>4.2</v>
      </c>
      <c r="F19" s="2997">
        <v>4.2</v>
      </c>
      <c r="G19" s="2997">
        <v>4.2</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6" t="s">
        <v>2815</v>
      </c>
      <c r="C20" s="2999">
        <v>43697</v>
      </c>
      <c r="D20" s="3000">
        <v>4.25</v>
      </c>
      <c r="E20" s="3000">
        <v>4.25</v>
      </c>
      <c r="F20" s="3000">
        <v>4.25</v>
      </c>
      <c r="G20" s="3000">
        <v>4.25</v>
      </c>
      <c r="H20" s="3000">
        <v>4.8499999999999996</v>
      </c>
      <c r="I20" s="3000"/>
      <c r="J20" s="3000"/>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3003"/>
      <c r="B21" s="3004"/>
      <c r="C21" s="3005">
        <v>42301</v>
      </c>
      <c r="D21" s="3006">
        <v>4.3499999999999996</v>
      </c>
      <c r="E21" s="3006">
        <v>4.3499999999999996</v>
      </c>
      <c r="F21" s="3006">
        <v>4.75</v>
      </c>
      <c r="G21" s="3006">
        <v>4.75</v>
      </c>
      <c r="H21" s="3006">
        <v>4.9000000000000004</v>
      </c>
      <c r="I21" s="3006"/>
      <c r="J21" s="300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1365</v>
      </c>
      <c r="B2" s="3253" t="s">
        <v>1366</v>
      </c>
      <c r="C2" s="3253" t="s">
        <v>1367</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6">
      <c r="A3" s="3247"/>
      <c r="B3" s="3247"/>
      <c r="C3" s="3247"/>
      <c r="D3" s="944" t="s">
        <v>1362</v>
      </c>
      <c r="E3" s="944" t="s">
        <v>1368</v>
      </c>
      <c r="F3" s="944" t="s">
        <v>1362</v>
      </c>
      <c r="G3" s="944" t="s">
        <v>1363</v>
      </c>
      <c r="H3" s="944" t="s">
        <v>1362</v>
      </c>
      <c r="I3" s="944" t="s">
        <v>1363</v>
      </c>
    </row>
    <row r="4" spans="1:9" ht="30">
      <c r="A4" s="1641" t="str">
        <f>项目基本情况!S2</f>
        <v>北京市丰台区角门路2号院综合楼房地产</v>
      </c>
      <c r="B4" s="944">
        <f>项目基本情况!C17</f>
        <v>10298.76</v>
      </c>
      <c r="C4" s="944">
        <f>项目基本情况!C18</f>
        <v>5682.86</v>
      </c>
      <c r="D4" s="944">
        <f ca="1">结果表!D118</f>
        <v>20640</v>
      </c>
      <c r="E4" s="944">
        <f ca="1">结果表!E118</f>
        <v>20041</v>
      </c>
      <c r="F4" s="944">
        <f ca="1">结果表!F118</f>
        <v>2868</v>
      </c>
      <c r="G4" s="944">
        <f ca="1">结果表!G118</f>
        <v>2785</v>
      </c>
      <c r="H4" s="944">
        <f ca="1">结果表!H118</f>
        <v>23508</v>
      </c>
      <c r="I4" s="944">
        <f ca="1">结果表!I118</f>
        <v>22826</v>
      </c>
    </row>
    <row r="5" spans="1:9" ht="30" customHeight="1">
      <c r="A5" s="3247" t="s">
        <v>1364</v>
      </c>
      <c r="B5" s="3247"/>
      <c r="C5" s="3247"/>
      <c r="D5" s="3248" t="str">
        <f ca="1">结果表!D119</f>
        <v>贰亿零陆佰肆拾万元整</v>
      </c>
      <c r="E5" s="3248"/>
      <c r="F5" s="3248" t="str">
        <f ca="1">结果表!F119</f>
        <v>贰仟捌佰陆拾捌万元整</v>
      </c>
      <c r="G5" s="3248"/>
      <c r="H5" s="3248" t="str">
        <f ca="1">结果表!H119</f>
        <v>贰亿叁仟伍佰零捌万元整</v>
      </c>
      <c r="I5" s="3248"/>
    </row>
    <row r="6" spans="1:9" ht="15.6">
      <c r="A6" s="3246" t="str">
        <f>结果表!A120</f>
        <v>估价师知悉的法定优先受偿款</v>
      </c>
      <c r="B6" s="3246"/>
      <c r="C6" s="3246"/>
      <c r="D6" s="3246">
        <f>结果表!D120</f>
        <v>0</v>
      </c>
      <c r="E6" s="3246"/>
      <c r="F6" s="3246"/>
      <c r="G6" s="3246"/>
      <c r="H6" s="3246"/>
      <c r="I6" s="3246"/>
    </row>
    <row r="7" spans="1:9" ht="15">
      <c r="A7" s="3247" t="s">
        <v>1364</v>
      </c>
      <c r="B7" s="3247"/>
      <c r="C7" s="3247"/>
      <c r="D7" s="3249" t="str">
        <f>结果表!D121</f>
        <v>零元整</v>
      </c>
      <c r="E7" s="3250"/>
      <c r="F7" s="3250"/>
      <c r="G7" s="3250"/>
      <c r="H7" s="3250"/>
      <c r="I7" s="3251"/>
    </row>
    <row r="8" spans="1:9" ht="15.6">
      <c r="A8" s="3246" t="str">
        <f>结果表!A122</f>
        <v>房地产抵押价值</v>
      </c>
      <c r="B8" s="3246"/>
      <c r="C8" s="3246"/>
      <c r="D8" s="3246">
        <f ca="1">结果表!D122</f>
        <v>23508</v>
      </c>
      <c r="E8" s="3246"/>
      <c r="F8" s="3246"/>
      <c r="G8" s="3246"/>
      <c r="H8" s="3246"/>
      <c r="I8" s="3246"/>
    </row>
    <row r="9" spans="1:9" ht="15">
      <c r="A9" s="3247" t="s">
        <v>1364</v>
      </c>
      <c r="B9" s="3247"/>
      <c r="C9" s="3247"/>
      <c r="D9" s="3248" t="str">
        <f ca="1">结果表!D123</f>
        <v>贰亿叁仟伍佰零捌万元整</v>
      </c>
      <c r="E9" s="3248"/>
      <c r="F9" s="3248"/>
      <c r="G9" s="3248"/>
      <c r="H9" s="3248"/>
      <c r="I9" s="3248"/>
    </row>
    <row r="10" spans="1:9" ht="15.6">
      <c r="A10" s="3246" t="str">
        <f>结果表!A124</f>
        <v/>
      </c>
      <c r="B10" s="3246"/>
      <c r="C10" s="3246"/>
      <c r="D10" s="3246" t="str">
        <f>结果表!D124</f>
        <v>——</v>
      </c>
      <c r="E10" s="3246"/>
      <c r="F10" s="3246"/>
      <c r="G10" s="3246"/>
      <c r="H10" s="3246"/>
      <c r="I10" s="3246"/>
    </row>
    <row r="11" spans="1:9" ht="15">
      <c r="A11" s="3247" t="s">
        <v>1364</v>
      </c>
      <c r="B11" s="3247"/>
      <c r="C11" s="3247"/>
      <c r="D11" s="3248" t="e">
        <f>结果表!D125</f>
        <v>#VALUE!</v>
      </c>
      <c r="E11" s="3248"/>
      <c r="F11" s="3248"/>
      <c r="G11" s="3248"/>
      <c r="H11" s="3248"/>
      <c r="I11" s="3248"/>
    </row>
    <row r="12" spans="1:9" ht="15.6">
      <c r="A12" s="3246" t="str">
        <f>结果表!A126</f>
        <v/>
      </c>
      <c r="B12" s="3246"/>
      <c r="C12" s="3246"/>
      <c r="D12" s="3246" t="str">
        <f>结果表!D126</f>
        <v>——</v>
      </c>
      <c r="E12" s="3246"/>
      <c r="F12" s="3246"/>
      <c r="G12" s="3246"/>
      <c r="H12" s="3246"/>
      <c r="I12" s="3246"/>
    </row>
    <row r="13" spans="1:9" ht="15.6" thickBot="1">
      <c r="A13" s="3243" t="s">
        <v>1364</v>
      </c>
      <c r="B13" s="3243"/>
      <c r="C13" s="3243"/>
      <c r="D13" s="3244" t="e">
        <f>结果表!D127</f>
        <v>#VALUE!</v>
      </c>
      <c r="E13" s="3244"/>
      <c r="F13" s="3244"/>
      <c r="G13" s="3244"/>
      <c r="H13" s="3244"/>
      <c r="I13" s="3244"/>
    </row>
    <row r="14" spans="1:9" ht="14.4" thickTop="1">
      <c r="A14" s="3245" t="s">
        <v>1369</v>
      </c>
      <c r="B14" s="3245"/>
      <c r="C14" s="3245"/>
      <c r="D14" s="3245"/>
      <c r="E14" s="3245"/>
      <c r="F14" s="3245"/>
      <c r="G14" s="3245"/>
      <c r="H14" s="3245"/>
      <c r="I14" s="3245"/>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0" t="s">
        <v>1386</v>
      </c>
      <c r="B1" s="3260"/>
      <c r="C1" s="3260"/>
      <c r="D1" s="3260"/>
    </row>
    <row r="2" spans="1:4" ht="17.399999999999999">
      <c r="A2" s="3261" t="s">
        <v>1370</v>
      </c>
      <c r="B2" s="3261"/>
      <c r="C2" s="3261"/>
      <c r="D2" s="3261"/>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1" t="s">
        <v>1376</v>
      </c>
      <c r="B6" s="3261"/>
      <c r="C6" s="3261"/>
      <c r="D6" s="3261"/>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2" t="s">
        <v>1379</v>
      </c>
      <c r="B11" s="3254"/>
      <c r="C11" s="3254"/>
      <c r="D11" s="3254"/>
    </row>
    <row r="12" spans="1:4" ht="15.6">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4" t="str">
        <f>IF(项目基本情况!B8="抵押","4.本次评估估价师所知悉的法定优先受偿款情况说明如下：","——")</f>
        <v>4.本次评估估价师所知悉的法定优先受偿款情况说明如下：</v>
      </c>
      <c r="B14" s="3259"/>
      <c r="C14" s="3259"/>
      <c r="D14" s="3259"/>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1380</v>
      </c>
      <c r="B16" s="3256"/>
      <c r="C16" s="3256"/>
      <c r="D16" s="3256"/>
    </row>
    <row r="17" spans="1:4" ht="144" customHeight="1">
      <c r="A17" s="3256" t="s">
        <v>1381</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1382</v>
      </c>
      <c r="B22" s="3258"/>
      <c r="C22" s="3258"/>
      <c r="D22" s="3258"/>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55">
        <v>42551</v>
      </c>
      <c r="D31" s="32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68" t="s">
        <v>1393</v>
      </c>
      <c r="B15" s="3263" t="s">
        <v>136</v>
      </c>
      <c r="C15" s="3264"/>
    </row>
    <row r="16" spans="1:7" ht="14.4">
      <c r="A16" s="3269"/>
      <c r="B16" s="3263" t="s">
        <v>69</v>
      </c>
      <c r="C16" s="3264"/>
    </row>
    <row r="17" spans="1:3" ht="14.4">
      <c r="A17" s="3269"/>
      <c r="B17" s="3266" t="s">
        <v>1394</v>
      </c>
      <c r="C17" s="1668" t="s">
        <v>1393</v>
      </c>
    </row>
    <row r="18" spans="1:3" ht="14.4">
      <c r="A18" s="3269"/>
      <c r="B18" s="3266"/>
      <c r="C18" s="1668" t="s">
        <v>1395</v>
      </c>
    </row>
    <row r="19" spans="1:3" ht="14.4">
      <c r="A19" s="3269"/>
      <c r="B19" s="3266"/>
      <c r="C19" s="1668" t="s">
        <v>1396</v>
      </c>
    </row>
    <row r="20" spans="1:3" ht="14.4">
      <c r="A20" s="3270"/>
      <c r="B20" s="3265" t="s">
        <v>1397</v>
      </c>
      <c r="C20" s="3264"/>
    </row>
    <row r="21" spans="1:3" ht="14.4">
      <c r="A21" s="1669" t="s">
        <v>1398</v>
      </c>
      <c r="B21" s="1670"/>
      <c r="C21" s="1671"/>
    </row>
    <row r="22" spans="1:3" ht="14.4">
      <c r="A22" s="3267" t="s">
        <v>1399</v>
      </c>
      <c r="B22" s="3265" t="s">
        <v>1400</v>
      </c>
      <c r="C22" s="3264"/>
    </row>
    <row r="23" spans="1:3" ht="14.4">
      <c r="A23" s="3267"/>
      <c r="B23" s="3265" t="s">
        <v>1401</v>
      </c>
      <c r="C23" s="3264"/>
    </row>
    <row r="24" spans="1:3" ht="14.4">
      <c r="A24" s="3267"/>
      <c r="B24" s="3265" t="s">
        <v>1402</v>
      </c>
      <c r="C24" s="3264"/>
    </row>
    <row r="25" spans="1:3" ht="14.4">
      <c r="A25" s="3267"/>
      <c r="B25" s="3266" t="s">
        <v>1403</v>
      </c>
      <c r="C25" s="1668" t="s">
        <v>1404</v>
      </c>
    </row>
    <row r="26" spans="1:3" ht="14.4">
      <c r="A26" s="3267"/>
      <c r="B26" s="3266"/>
      <c r="C26" s="1668" t="s">
        <v>1405</v>
      </c>
    </row>
    <row r="27" spans="1:3" ht="14.4">
      <c r="A27" s="3267"/>
      <c r="B27" s="3266"/>
      <c r="C27" s="1668" t="s">
        <v>1406</v>
      </c>
    </row>
    <row r="28" spans="1:3" ht="14.4">
      <c r="A28" s="3267"/>
      <c r="B28" s="3266"/>
      <c r="C28" s="1668" t="s">
        <v>1407</v>
      </c>
    </row>
    <row r="29" spans="1:3" ht="14.4">
      <c r="A29" s="3267"/>
      <c r="B29" s="3266"/>
      <c r="C29" s="1668" t="s">
        <v>1408</v>
      </c>
    </row>
    <row r="30" spans="1:3" ht="14.4">
      <c r="A30" s="3267"/>
      <c r="B30" s="3266"/>
      <c r="C30" s="1668" t="s">
        <v>1409</v>
      </c>
    </row>
    <row r="31" spans="1:3" ht="14.4">
      <c r="A31" s="3267"/>
      <c r="B31" s="3266"/>
      <c r="C31" s="1668" t="s">
        <v>1410</v>
      </c>
    </row>
    <row r="32" spans="1:3" ht="14.4">
      <c r="A32" s="3267"/>
      <c r="B32" s="3266"/>
      <c r="C32" s="1668" t="s">
        <v>1411</v>
      </c>
    </row>
    <row r="33" spans="1:3" ht="14.4">
      <c r="A33" s="3267"/>
      <c r="B33" s="3266"/>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2640</v>
      </c>
      <c r="B2" s="2513">
        <f ca="1">TODAY()</f>
        <v>44785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2022-08-12T07:34:07Z</dcterms:modified>
</cp:coreProperties>
</file>