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出租)" sheetId="77" r:id="rId23"/>
    <sheet name="收益法（未出租）" sheetId="15" state="hidden" r:id="rId24"/>
    <sheet name="收益法 (元)" sheetId="67"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'收益法(出租)'!$A$1:$AK$69</definedName>
    <definedName name="_xlnm.Print_Area" localSheetId="2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D14" i="9"/>
  <c r="D31" i="78" l="1"/>
  <c r="G25" i="78"/>
  <c r="G24" i="78"/>
  <c r="G18" i="78"/>
  <c r="G17" i="78"/>
  <c r="G16" i="78"/>
  <c r="K15" i="78"/>
  <c r="K13" i="78"/>
  <c r="G12" i="78"/>
  <c r="K11" i="78"/>
  <c r="K10" i="78"/>
  <c r="G9" i="78"/>
  <c r="G8" i="78"/>
  <c r="K7" i="78"/>
  <c r="K22" i="78" s="1"/>
  <c r="G6" i="78"/>
  <c r="G5" i="78"/>
  <c r="G3" i="78"/>
  <c r="G22" i="78" s="1"/>
  <c r="G2" i="78"/>
  <c r="Q7" i="1"/>
  <c r="L7" i="1"/>
  <c r="J7" i="1"/>
  <c r="H7" i="1"/>
  <c r="I7" i="1"/>
  <c r="AB6" i="1"/>
  <c r="AA6" i="1"/>
  <c r="G27" i="78" l="1"/>
  <c r="G23" i="78"/>
  <c r="Q72" i="77" l="1"/>
  <c r="Q59" i="77"/>
  <c r="K59" i="77"/>
  <c r="P74" i="77" s="1"/>
  <c r="F59" i="77"/>
  <c r="Q58" i="77"/>
  <c r="Q51" i="77"/>
  <c r="J50" i="77"/>
  <c r="M47" i="77"/>
  <c r="D46" i="77"/>
  <c r="F33" i="77"/>
  <c r="F61" i="77" s="1"/>
  <c r="F31" i="77"/>
  <c r="F23" i="77"/>
  <c r="F21" i="77"/>
  <c r="F20" i="77"/>
  <c r="M19" i="77"/>
  <c r="F18" i="77"/>
  <c r="M17" i="77"/>
  <c r="F17" i="77"/>
  <c r="F15" i="77"/>
  <c r="G1" i="77"/>
  <c r="D23" i="77" l="1"/>
  <c r="D22" i="77"/>
  <c r="D24" i="77"/>
  <c r="P61" i="77"/>
  <c r="J51" i="77"/>
  <c r="F8" i="77"/>
  <c r="F6" i="77"/>
  <c r="L47" i="77"/>
  <c r="F9" i="77"/>
  <c r="F38" i="77"/>
  <c r="M22" i="77"/>
  <c r="M24" i="77"/>
  <c r="M6" i="77"/>
  <c r="F40" i="77"/>
  <c r="J15" i="77"/>
  <c r="F37" i="77"/>
  <c r="M28" i="77"/>
  <c r="F13" i="77"/>
  <c r="F16" i="77"/>
  <c r="C76" i="77"/>
  <c r="M26" i="77"/>
  <c r="L48" i="77"/>
  <c r="M8" i="77"/>
  <c r="F42" i="77"/>
  <c r="M9" i="77"/>
  <c r="F36" i="77"/>
  <c r="F26" i="77"/>
  <c r="M23" i="77"/>
  <c r="J53" i="77" l="1"/>
  <c r="L56" i="77" s="1"/>
  <c r="C27" i="77"/>
  <c r="F66" i="77"/>
  <c r="N59" i="77"/>
  <c r="L59" i="77"/>
  <c r="L58" i="77"/>
  <c r="Q71" i="77"/>
  <c r="F65" i="77"/>
  <c r="F64" i="77"/>
  <c r="F51" i="77"/>
  <c r="F68" i="77"/>
  <c r="I54" i="77"/>
  <c r="J57" i="77"/>
  <c r="J55" i="77" s="1"/>
  <c r="J58" i="77" s="1"/>
  <c r="Q50" i="77" s="1"/>
  <c r="F1" i="77" l="1"/>
  <c r="Q52" i="77"/>
  <c r="Q60" i="77"/>
  <c r="Q73" i="77"/>
  <c r="Q61" i="77"/>
  <c r="Q74" i="77"/>
  <c r="B7" i="4" l="1"/>
  <c r="D3" i="4"/>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7" i="76"/>
  <c r="B11" i="76"/>
  <c r="B13" i="76"/>
  <c r="E12" i="76"/>
  <c r="B8" i="76"/>
  <c r="B12" i="76"/>
  <c r="E10" i="76"/>
  <c r="E13" i="76"/>
  <c r="B10" i="76"/>
  <c r="B9" i="76"/>
  <c r="E8" i="76"/>
  <c r="E9" i="76"/>
  <c r="E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5" i="73"/>
  <c r="F3" i="73"/>
  <c r="F6" i="73"/>
  <c r="F4" i="73"/>
  <c r="D5" i="73"/>
  <c r="D3" i="73"/>
  <c r="I1" i="73" l="1"/>
  <c r="B39" i="1" s="1"/>
  <c r="D4"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9"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8" i="43"/>
  <c r="D67" i="43"/>
  <c r="D60" i="43"/>
  <c r="D61" i="43"/>
  <c r="D62" i="43"/>
  <c r="D63" i="43"/>
  <c r="D64" i="43"/>
  <c r="D65" i="43"/>
  <c r="D66" i="43"/>
  <c r="D59" i="43"/>
  <c r="E59" i="43" s="1"/>
  <c r="B57" i="43" s="1"/>
  <c r="M88" i="43"/>
  <c r="N88" i="43" s="1"/>
  <c r="K88" i="43"/>
  <c r="J88" i="43" s="1"/>
  <c r="M87" i="43"/>
  <c r="N87" i="43" s="1"/>
  <c r="K87" i="43"/>
  <c r="J87" i="43" s="1"/>
  <c r="D87" i="43" s="1"/>
  <c r="M86" i="43"/>
  <c r="N86" i="43" s="1"/>
  <c r="K86" i="43"/>
  <c r="D86" i="43" s="1"/>
  <c r="M85" i="43"/>
  <c r="N85" i="43" s="1"/>
  <c r="K85" i="43"/>
  <c r="J85" i="43" s="1"/>
  <c r="D85" i="43" s="1"/>
  <c r="M84" i="43"/>
  <c r="N84" i="43" s="1"/>
  <c r="K84" i="43"/>
  <c r="J84" i="43" s="1"/>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D29" i="43" s="1"/>
  <c r="D1" i="43" s="1"/>
  <c r="BR5"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BL29" i="3" l="1"/>
  <c r="BL27" i="3"/>
  <c r="M20" i="15"/>
  <c r="F34" i="77"/>
  <c r="F62" i="77" s="1"/>
  <c r="M20" i="77"/>
  <c r="D81" i="43"/>
  <c r="J82" i="43"/>
  <c r="J86" i="43"/>
  <c r="H48" i="43"/>
  <c r="H50" i="43"/>
  <c r="H49" i="43"/>
  <c r="H74" i="43"/>
  <c r="G28" i="6"/>
  <c r="BL31" i="3"/>
  <c r="AZ31" i="3" s="1"/>
  <c r="G14" i="3"/>
  <c r="BA27" i="3"/>
  <c r="AZ27" i="3" s="1"/>
  <c r="BL26" i="3"/>
  <c r="BA29" i="3"/>
  <c r="BA28" i="3"/>
  <c r="AZ28" i="3" s="1"/>
  <c r="BL23" i="3"/>
  <c r="AZ23" i="3" s="1"/>
  <c r="BL20" i="3"/>
  <c r="AZ20" i="3" s="1"/>
  <c r="BA18" i="3"/>
  <c r="AZ18" i="3" s="1"/>
  <c r="AZ15" i="3"/>
  <c r="BL15" i="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53" i="43"/>
  <c r="H54" i="43"/>
  <c r="H78" i="43"/>
  <c r="H70" i="43"/>
  <c r="H71" i="43"/>
  <c r="C17" i="43"/>
  <c r="F33" i="43"/>
  <c r="G17" i="43"/>
  <c r="F34" i="43"/>
  <c r="M7" i="43"/>
  <c r="N6" i="43"/>
  <c r="M2" i="43"/>
  <c r="C6" i="43" s="1"/>
  <c r="M10" i="43"/>
  <c r="N3" i="43"/>
  <c r="N11" i="43"/>
  <c r="F38" i="43"/>
  <c r="F37" i="43"/>
  <c r="M9" i="43"/>
  <c r="N12" i="43"/>
  <c r="N5" i="43"/>
  <c r="F81"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77"/>
  <c r="M9" i="15"/>
  <c r="J15" i="67"/>
  <c r="F40" i="15"/>
  <c r="F8" i="15"/>
  <c r="C76" i="15"/>
  <c r="M22" i="67"/>
  <c r="F26" i="15"/>
  <c r="M9" i="67"/>
  <c r="F9" i="15"/>
  <c r="F38" i="67"/>
  <c r="L48" i="15"/>
  <c r="F37" i="67"/>
  <c r="M6" i="67"/>
  <c r="M29" i="77"/>
  <c r="C76" i="67"/>
  <c r="M24" i="67"/>
  <c r="M6" i="15"/>
  <c r="M22" i="15"/>
  <c r="M26" i="67"/>
  <c r="F26" i="67"/>
  <c r="M8" i="67"/>
  <c r="M29" i="15"/>
  <c r="M29" i="67"/>
  <c r="F7" i="67"/>
  <c r="J15" i="15"/>
  <c r="F42" i="67"/>
  <c r="M23" i="67"/>
  <c r="F43" i="77"/>
  <c r="M28" i="67"/>
  <c r="F16" i="67"/>
  <c r="M8" i="15"/>
  <c r="F43" i="15"/>
  <c r="L47" i="67"/>
  <c r="M26" i="15"/>
  <c r="L48" i="67"/>
  <c r="F13" i="15"/>
  <c r="F43" i="67"/>
  <c r="F9" i="67"/>
  <c r="F36" i="67"/>
  <c r="F36" i="15"/>
  <c r="L47" i="15"/>
  <c r="M24" i="15"/>
  <c r="F7" i="15"/>
  <c r="F6" i="67"/>
  <c r="M23" i="15"/>
  <c r="F8" i="67"/>
  <c r="F38" i="15"/>
  <c r="F42" i="15"/>
  <c r="F13" i="67"/>
  <c r="F37" i="15"/>
  <c r="M28" i="15"/>
  <c r="F6" i="15"/>
  <c r="F16" i="15"/>
  <c r="F40" i="67"/>
  <c r="G1" i="73"/>
  <c r="AZ29" i="3" l="1"/>
  <c r="F71" i="77"/>
  <c r="F50" i="77"/>
  <c r="C49" i="77" s="1"/>
  <c r="M7" i="77"/>
  <c r="J6" i="77" s="1"/>
  <c r="J10" i="77" s="1"/>
  <c r="J5" i="77" s="1"/>
  <c r="J24" i="77" s="1"/>
  <c r="C6" i="77"/>
  <c r="C10" i="77" s="1"/>
  <c r="C5" i="77" s="1"/>
  <c r="C38" i="77" s="1"/>
  <c r="H83" i="43"/>
  <c r="H82" i="43"/>
  <c r="H86" i="43"/>
  <c r="H87" i="43"/>
  <c r="H84" i="43"/>
  <c r="H85" i="43"/>
  <c r="H88" i="43"/>
  <c r="H81" i="43"/>
  <c r="F53" i="9"/>
  <c r="F32" i="77"/>
  <c r="F28" i="77"/>
  <c r="C28" i="77" s="1"/>
  <c r="M18" i="77"/>
  <c r="D22" i="43"/>
  <c r="E4" i="4"/>
  <c r="K4" i="4" s="1"/>
  <c r="B46" i="48" s="1"/>
  <c r="B4" i="72" s="1"/>
  <c r="C53" i="15"/>
  <c r="C53" i="67"/>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M17" i="15"/>
  <c r="F31" i="15"/>
  <c r="F59" i="67"/>
  <c r="M17" i="67"/>
  <c r="F59" i="15"/>
  <c r="F31" i="67"/>
  <c r="C17" i="15"/>
  <c r="C16" i="67"/>
  <c r="C16" i="77"/>
  <c r="C16" i="15"/>
  <c r="C17" i="77"/>
  <c r="C53" i="77" l="1"/>
  <c r="C48" i="77" s="1"/>
  <c r="C66" i="77" s="1"/>
  <c r="AQ6" i="1"/>
  <c r="J18" i="77"/>
  <c r="O6" i="1"/>
  <c r="P6" i="1" s="1"/>
  <c r="C9" i="68"/>
  <c r="B5" i="62"/>
  <c r="B73" i="72" s="1"/>
  <c r="C30" i="69"/>
  <c r="C48" i="68"/>
  <c r="F60" i="77"/>
  <c r="C32" i="77"/>
  <c r="C24" i="77"/>
  <c r="S5" i="43"/>
  <c r="S3" i="43"/>
  <c r="C23" i="43"/>
  <c r="C21" i="43" s="1"/>
  <c r="S7" i="43"/>
  <c r="S4" i="43"/>
  <c r="S6" i="43"/>
  <c r="S2" i="43"/>
  <c r="AQ7" i="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14" i="77"/>
  <c r="C60" i="77" l="1"/>
  <c r="C15" i="77"/>
  <c r="C18" i="77"/>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F34" i="68"/>
  <c r="C19" i="77" l="1"/>
  <c r="C20" i="77" s="1"/>
  <c r="C23" i="77" s="1"/>
  <c r="J19" i="77"/>
  <c r="C33" i="77"/>
  <c r="J59" i="77"/>
  <c r="J60" i="77" s="1"/>
  <c r="C34" i="11"/>
  <c r="C35"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U7" i="21"/>
  <c r="C22" i="11"/>
  <c r="C31" i="11" s="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C36" i="68"/>
  <c r="C34" i="68"/>
  <c r="E6" i="76"/>
  <c r="C18" i="12" l="1"/>
  <c r="C8" i="68"/>
  <c r="C26" i="77"/>
  <c r="C29" i="77" s="1"/>
  <c r="C7" i="68"/>
  <c r="C5" i="68" s="1"/>
  <c r="C23" i="68" s="1"/>
  <c r="Q48"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77"/>
  <c r="M21" i="15"/>
  <c r="F35" i="77"/>
  <c r="F35" i="67"/>
  <c r="M21" i="67"/>
  <c r="F35" i="15"/>
  <c r="C57" i="77" l="1"/>
  <c r="C13" i="77"/>
  <c r="C36" i="77"/>
  <c r="J14" i="77"/>
  <c r="Q49" i="77"/>
  <c r="C34" i="77"/>
  <c r="C31" i="77" s="1"/>
  <c r="F63" i="77"/>
  <c r="C62" i="77" s="1"/>
  <c r="J20" i="77"/>
  <c r="J17"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61" i="77" l="1"/>
  <c r="C59" i="77" s="1"/>
  <c r="C64" i="77"/>
  <c r="J22" i="77"/>
  <c r="J13" i="77"/>
  <c r="J23" i="77" s="1"/>
  <c r="Q70" i="77"/>
  <c r="C56" i="77"/>
  <c r="C65" i="77" s="1"/>
  <c r="C75" i="77"/>
  <c r="C37" i="77"/>
  <c r="C30" i="77" s="1"/>
  <c r="C39"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J16" i="77" l="1"/>
  <c r="J25" i="77" s="1"/>
  <c r="L57" i="77"/>
  <c r="L60" i="77" s="1"/>
  <c r="L46" i="77" s="1"/>
  <c r="Q67" i="77"/>
  <c r="Q69" i="77"/>
  <c r="Q68" i="77" s="1"/>
  <c r="C80" i="77"/>
  <c r="C79" i="77" s="1"/>
  <c r="C58" i="77"/>
  <c r="C67" i="77" s="1"/>
  <c r="C41" i="68"/>
  <c r="C46" i="68"/>
  <c r="C45" i="68" s="1"/>
  <c r="K63" i="40"/>
  <c r="J65" i="40"/>
  <c r="K70" i="39"/>
  <c r="C56" i="11"/>
  <c r="C57" i="11" s="1"/>
  <c r="Q57" i="77" l="1"/>
  <c r="Q66"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33" i="15"/>
  <c r="C31" i="15" s="1"/>
  <c r="C13" i="15"/>
  <c r="C37" i="15" s="1"/>
  <c r="C36" i="15"/>
  <c r="J14" i="15"/>
  <c r="J22" i="15" s="1"/>
  <c r="C30" i="15" l="1"/>
  <c r="C39" i="15" s="1"/>
  <c r="Q69" i="15" s="1"/>
  <c r="C56" i="15"/>
  <c r="C48" i="15" s="1"/>
  <c r="C61" i="15" s="1"/>
  <c r="C64" i="15"/>
  <c r="Q70" i="15"/>
  <c r="C75" i="15"/>
  <c r="J13" i="15"/>
  <c r="J23" i="15" s="1"/>
  <c r="J16" i="15" s="1"/>
  <c r="J25" i="15" s="1"/>
  <c r="AE8" i="1"/>
  <c r="L51" i="15"/>
  <c r="F41" i="77"/>
  <c r="AE6" i="1"/>
  <c r="F69" i="77" l="1"/>
  <c r="C68" i="77" s="1"/>
  <c r="C40" i="77"/>
  <c r="C66" i="15"/>
  <c r="C60" i="15"/>
  <c r="C59" i="15" s="1"/>
  <c r="AG6" i="1"/>
  <c r="C80" i="15"/>
  <c r="C79" i="15" s="1"/>
  <c r="C65" i="15"/>
  <c r="Q68" i="15"/>
  <c r="L57" i="15"/>
  <c r="L60" i="15" s="1"/>
  <c r="Q67" i="15"/>
  <c r="F41" i="15"/>
  <c r="M27" i="67"/>
  <c r="F41" i="67"/>
  <c r="M27" i="77"/>
  <c r="M27" i="15"/>
  <c r="J26" i="77" l="1"/>
  <c r="J29" i="77" s="1"/>
  <c r="Q47" i="77" s="1"/>
  <c r="Q53" i="77" s="1"/>
  <c r="C43" i="77"/>
  <c r="C83" i="77"/>
  <c r="C82" i="77" s="1"/>
  <c r="C46" i="77"/>
  <c r="C71" i="77"/>
  <c r="J26" i="15"/>
  <c r="J29" i="15" s="1"/>
  <c r="J26" i="67"/>
  <c r="J29" i="67" s="1"/>
  <c r="C58" i="15"/>
  <c r="C67" i="15" s="1"/>
  <c r="F69" i="15"/>
  <c r="C40" i="15"/>
  <c r="C43" i="15" s="1"/>
  <c r="L46" i="15"/>
  <c r="Q57" i="15"/>
  <c r="Q66" i="15"/>
  <c r="F69" i="67"/>
  <c r="C68" i="67" s="1"/>
  <c r="C71" i="67" s="1"/>
  <c r="C40" i="67"/>
  <c r="C83" i="67" s="1"/>
  <c r="C82" i="67" s="1"/>
  <c r="Q65" i="77" l="1"/>
  <c r="Q75" i="77" s="1"/>
  <c r="B2" i="77"/>
  <c r="B3" i="77" s="1"/>
  <c r="Q56" i="77"/>
  <c r="Q62" i="77"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37"/>
  <c r="E2" i="68"/>
  <c r="D2" i="35"/>
  <c r="F20" i="31"/>
  <c r="D2" i="36"/>
  <c r="D2" i="33"/>
  <c r="D2" i="21"/>
  <c r="D2" i="34"/>
  <c r="B20" i="31" l="1"/>
  <c r="B2" i="36"/>
  <c r="B3" i="36" s="1"/>
  <c r="B2" i="35"/>
  <c r="B3" i="35" s="1"/>
  <c r="B2" i="37"/>
  <c r="B3" i="37" s="1"/>
  <c r="B2" i="34"/>
  <c r="B3" i="34" s="1"/>
  <c r="B2" i="21"/>
  <c r="B3" i="21" s="1"/>
  <c r="B2" i="70"/>
  <c r="B3" i="68"/>
  <c r="D19" i="9"/>
  <c r="D20" i="9"/>
  <c r="C19" i="9"/>
  <c r="C102" i="9" l="1"/>
  <c r="C21" i="9"/>
  <c r="B3" i="70"/>
  <c r="G19" i="9"/>
  <c r="D102" i="9"/>
  <c r="D22" i="9"/>
  <c r="D21" i="9"/>
  <c r="D103" i="9"/>
  <c r="C20" i="9"/>
  <c r="C103" i="9" l="1"/>
  <c r="G20" i="9"/>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H14" i="74"/>
  <c r="B7" i="74" s="1"/>
  <c r="D125" i="9"/>
  <c r="D11" i="52" s="1"/>
  <c r="B34" i="72"/>
  <c r="D17" i="53"/>
  <c r="B36" i="72" s="1"/>
  <c r="L68" i="9"/>
  <c r="M68" i="9" s="1"/>
  <c r="L67" i="9"/>
  <c r="M67" i="9" s="1"/>
  <c r="L66" i="9"/>
  <c r="M66" i="9" s="1"/>
  <c r="L63" i="9"/>
  <c r="M63" i="9" s="1"/>
  <c r="L65" i="9"/>
  <c r="M65" i="9" s="1"/>
  <c r="L64" i="9"/>
  <c r="M64" i="9" s="1"/>
  <c r="C95" i="9"/>
  <c r="C67" i="9"/>
  <c r="C68" i="9" s="1"/>
  <c r="D54" i="9" s="1"/>
  <c r="C79" i="9"/>
  <c r="D6" i="74"/>
  <c r="C6" i="74"/>
  <c r="M69" i="9" l="1"/>
  <c r="N69" i="9" s="1"/>
  <c r="D7" i="74"/>
  <c r="C7" i="74"/>
  <c r="C96" i="9"/>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<sst xmlns="http://schemas.openxmlformats.org/spreadsheetml/2006/main" count="7861" uniqueCount="3155">
  <si>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</si>
  <si>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</si>
  <si>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</si>
  <si>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</si>
  <si>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</si>
  <si>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</si>
  <si>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</si>
  <si>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</si>
  <si>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</si>
  <si>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</si>
  <si>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</si>
  <si>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</si>
  <si>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</si>
  <si>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</si>
  <si>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</si>
  <si>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</si>
  <si>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</si>
  <si>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</si>
  <si>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</si>
  <si>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</si>
  <si>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</si>
  <si>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</si>
  <si>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</si>
  <si>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</si>
  <si>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</si>
  <si>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</si>
  <si>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</si>
  <si>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</si>
  <si>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</si>
  <si>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</si>
  <si>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</si>
  <si>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</si>
  <si>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</si>
  <si>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</si>
  <si>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</si>
  <si>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</si>
  <si>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</si>
  <si>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</si>
  <si>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</si>
  <si>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</si>
  <si>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</si>
  <si>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</si>
  <si>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</si>
  <si>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</si>
  <si>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</si>
  <si>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</si>
  <si>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</si>
  <si>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</si>
  <si>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</si>
  <si>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</si>
  <si>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</si>
  <si>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</si>
  <si>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</si>
  <si>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</si>
  <si>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</si>
  <si>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</si>
  <si>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</si>
  <si>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</si>
  <si>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</si>
  <si>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</si>
  <si>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</si>
  <si>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</si>
  <si>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</si>
  <si>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</si>
  <si>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</si>
  <si>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</si>
  <si>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</si>
  <si>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</si>
  <si>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</si>
  <si>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</si>
  <si>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</si>
  <si>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</si>
  <si>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</si>
  <si>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</si>
  <si>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</si>
  <si>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</si>
  <si>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</si>
  <si>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</si>
  <si>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</si>
  <si>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</si>
  <si>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</si>
  <si>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</si>
  <si>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</si>
  <si>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</si>
  <si>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</si>
  <si>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</si>
  <si>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</si>
  <si>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</si>
  <si>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</si>
  <si>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</si>
  <si>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</si>
  <si>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</si>
  <si>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</si>
  <si>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</si>
  <si>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</si>
  <si>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</si>
  <si>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</si>
  <si>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</si>
  <si>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</si>
  <si>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</si>
  <si>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</si>
  <si>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</si>
  <si>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</si>
  <si>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</si>
  <si>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</si>
  <si>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</si>
  <si>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</si>
  <si>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</si>
  <si>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</si>
  <si>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</si>
  <si>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</si>
  <si>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</si>
  <si>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</si>
  <si>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</si>
  <si>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</si>
  <si>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</si>
  <si>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</si>
  <si>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</si>
  <si>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</si>
  <si>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</si>
  <si>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</si>
  <si>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</si>
  <si>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</si>
  <si>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</si>
  <si>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</si>
  <si>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</si>
  <si>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</si>
  <si>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</si>
  <si>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</si>
  <si>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</si>
  <si>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</si>
  <si>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</si>
  <si>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</si>
  <si>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</si>
  <si>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</si>
  <si>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</si>
  <si>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</si>
  <si>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</si>
  <si>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</si>
  <si>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</si>
  <si>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</si>
  <si>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</si>
  <si>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</si>
  <si>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</si>
  <si>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</si>
  <si>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</si>
  <si>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</si>
  <si>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</si>
  <si>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</si>
  <si>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</si>
  <si>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</si>
  <si>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</si>
  <si>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</si>
  <si>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</si>
  <si>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</si>
  <si>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</si>
  <si>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</si>
  <si>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</si>
  <si>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</si>
  <si>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</si>
  <si>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</si>
  <si>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</si>
  <si>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</si>
  <si>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</si>
  <si>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</si>
  <si>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</si>
  <si>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</si>
  <si>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</si>
  <si>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</si>
  <si>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</si>
  <si>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</si>
  <si>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</si>
  <si>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</si>
  <si>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</si>
  <si>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</si>
  <si>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</si>
  <si>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</si>
  <si>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</si>
  <si>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</si>
  <si>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</si>
  <si>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</si>
  <si>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</si>
  <si>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</si>
  <si>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</si>
  <si>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</si>
  <si>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</si>
  <si>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</si>
  <si>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</si>
  <si>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</si>
  <si>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</si>
  <si>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</si>
  <si>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</si>
  <si>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</si>
  <si>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</si>
  <si>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</si>
  <si>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</si>
  <si>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</si>
  <si>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</si>
  <si>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</si>
  <si>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</si>
  <si>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</si>
  <si>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</si>
  <si>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</si>
  <si>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</si>
  <si>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</si>
  <si>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</si>
  <si>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</si>
  <si>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</si>
  <si>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</si>
  <si>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</si>
  <si>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</si>
  <si>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</si>
  <si>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</si>
  <si>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</si>
  <si>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</si>
  <si>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</si>
  <si>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</si>
  <si>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</si>
  <si>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</si>
  <si>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</si>
  <si>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</si>
  <si>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</si>
  <si>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</si>
  <si>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</si>
  <si>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</si>
  <si>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</si>
  <si>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</si>
  <si>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</si>
  <si>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</si>
  <si>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</si>
  <si>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</si>
  <si>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</si>
  <si>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</si>
  <si>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</si>
  <si>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</si>
  <si>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</si>
  <si>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</si>
  <si>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</si>
  <si>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</si>
  <si>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</si>
  <si>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</si>
  <si>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</si>
  <si>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</si>
  <si>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</si>
  <si>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</si>
  <si>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</si>
  <si>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</si>
  <si>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</si>
  <si>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</si>
  <si>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</si>
  <si>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</si>
  <si>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</si>
  <si>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</si>
  <si>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</si>
  <si>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</si>
  <si>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</si>
  <si>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</si>
  <si>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</si>
  <si>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</si>
  <si>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</si>
  <si>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</si>
  <si>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</si>
  <si>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</si>
  <si>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</si>
  <si>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</si>
  <si>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</si>
  <si>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</si>
  <si>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</si>
  <si>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</si>
  <si>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</si>
  <si>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</si>
  <si>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</si>
  <si>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</si>
  <si>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</si>
  <si>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</si>
  <si>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</si>
  <si>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</si>
  <si>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</si>
  <si>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</si>
  <si>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</si>
  <si>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</si>
  <si>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</si>
  <si>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</si>
  <si>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</si>
  <si>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</si>
  <si>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</si>
  <si>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</si>
  <si>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</si>
  <si>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</si>
  <si>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</si>
  <si>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</si>
  <si>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</si>
  <si>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</si>
  <si>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</si>
  <si>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</si>
  <si>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</si>
  <si>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</si>
  <si>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</si>
  <si>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</si>
  <si>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</si>
  <si>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</si>
  <si>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</si>
  <si>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</si>
  <si>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</si>
  <si>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</si>
  <si>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</si>
  <si>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</si>
  <si>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</si>
  <si>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</si>
  <si>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</si>
  <si>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</si>
  <si>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</si>
  <si>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</si>
  <si>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</si>
  <si>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</si>
  <si>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</si>
  <si>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</si>
  <si>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</si>
  <si>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</si>
  <si>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</si>
  <si>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</si>
  <si>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</si>
  <si>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</si>
  <si>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</si>
  <si>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</si>
  <si>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</si>
  <si>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</si>
  <si>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</si>
  <si>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</si>
  <si>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</si>
  <si>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</si>
  <si>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</si>
  <si>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</si>
  <si>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</si>
  <si>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</si>
  <si>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</si>
  <si>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</si>
  <si>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</si>
  <si>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</si>
  <si>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</si>
  <si>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</si>
  <si>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</si>
  <si>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</si>
  <si>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</si>
  <si>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</si>
  <si>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</si>
  <si>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</si>
  <si>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</si>
  <si>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</si>
  <si>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</si>
  <si>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</si>
  <si>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</si>
  <si>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</si>
  <si>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</si>
  <si>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</si>
  <si>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</si>
  <si>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</si>
  <si>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</si>
  <si>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</si>
  <si>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</si>
  <si>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</si>
  <si>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</si>
  <si>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</si>
  <si>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</si>
  <si>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</si>
  <si>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</si>
  <si>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</si>
  <si>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</si>
  <si>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</si>
  <si>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</si>
  <si>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</si>
  <si>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</si>
  <si>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</si>
  <si>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</si>
  <si>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</si>
  <si>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</si>
  <si>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</si>
  <si>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</si>
  <si>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</si>
  <si>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</si>
  <si>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</si>
  <si>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</si>
  <si>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</si>
  <si>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</si>
  <si>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</si>
  <si>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</si>
  <si>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</si>
  <si>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</si>
  <si>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</si>
  <si>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</si>
  <si>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</si>
  <si>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</si>
  <si>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</si>
  <si>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</si>
  <si>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</si>
  <si>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</si>
  <si>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</si>
  <si>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</si>
  <si>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</si>
  <si>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</si>
  <si>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</si>
  <si>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</si>
  <si>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</si>
  <si>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</si>
  <si>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</si>
  <si>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</si>
  <si>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</si>
  <si>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</si>
  <si>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</si>
  <si>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</si>
  <si>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</si>
  <si>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</si>
  <si>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</si>
  <si>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</si>
  <si>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</si>
  <si>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</si>
  <si>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</si>
  <si>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</si>
  <si>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</si>
  <si>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</si>
  <si>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</si>
  <si>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</si>
  <si>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</si>
  <si>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</si>
  <si>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</si>
  <si>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</si>
  <si>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</si>
  <si>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</si>
  <si>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</si>
  <si>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</si>
  <si>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</si>
  <si>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</si>
  <si>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</si>
  <si>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</si>
  <si>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</si>
  <si>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</si>
  <si>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</si>
  <si>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</si>
  <si>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</si>
  <si>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</si>
  <si>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</si>
  <si>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</si>
  <si>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</si>
  <si>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</si>
  <si>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</si>
  <si>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</si>
  <si>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</si>
  <si>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</si>
  <si>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</si>
  <si>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</si>
  <si>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</si>
  <si>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</si>
  <si>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</si>
  <si>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</si>
  <si>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</si>
  <si>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</si>
  <si>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</si>
  <si>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</si>
  <si>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</si>
  <si>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</si>
  <si>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</si>
  <si>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</si>
  <si>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</si>
  <si>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</si>
  <si>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</si>
  <si>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</si>
  <si>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</si>
  <si>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</si>
  <si>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</si>
  <si>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</si>
  <si>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</si>
  <si>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</si>
  <si>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</si>
  <si>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</si>
  <si>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</si>
  <si>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</si>
  <si>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</si>
  <si>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</si>
  <si>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</si>
  <si>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</si>
  <si>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</si>
  <si>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</si>
  <si>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</si>
  <si>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</si>
  <si>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</si>
  <si>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</si>
  <si>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</si>
  <si>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</si>
  <si>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</si>
  <si>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</si>
  <si>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</si>
  <si>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</si>
  <si>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</si>
  <si>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</si>
  <si>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</si>
  <si>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</si>
  <si>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</si>
  <si>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</si>
  <si>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</si>
  <si>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</si>
  <si>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</si>
  <si>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</si>
  <si>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</si>
  <si>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</si>
  <si>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</si>
  <si>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</si>
  <si>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</si>
  <si>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</si>
  <si>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</si>
  <si>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</si>
  <si>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</si>
  <si>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</si>
  <si>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</si>
  <si>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</si>
  <si>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</si>
  <si>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</si>
  <si>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</si>
  <si>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</si>
  <si>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</si>
  <si>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</si>
  <si>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</si>
  <si>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</si>
  <si>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</si>
  <si>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</si>
  <si>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</si>
  <si>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</si>
  <si>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</si>
  <si>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</si>
  <si>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</si>
  <si>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</si>
  <si>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</si>
  <si>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</si>
  <si>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</si>
  <si>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</si>
  <si>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</si>
  <si>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</si>
  <si>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</si>
  <si>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</si>
  <si>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</si>
  <si>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</si>
  <si>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</si>
  <si>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</si>
  <si>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</si>
  <si>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</si>
  <si>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</si>
  <si>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</si>
  <si>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</si>
  <si>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</si>
  <si>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</si>
  <si>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</si>
  <si>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</si>
  <si>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</si>
  <si>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</si>
  <si>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</si>
  <si>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</si>
  <si>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</si>
  <si>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</si>
  <si>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</si>
  <si>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</si>
  <si>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</si>
  <si>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</si>
  <si>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</si>
  <si>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</si>
  <si>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</si>
  <si>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</si>
  <si>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</si>
  <si>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</si>
  <si>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</si>
  <si>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</si>
  <si>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</si>
  <si>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</si>
  <si>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</si>
  <si>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</si>
  <si>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</si>
  <si>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</si>
  <si>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</si>
  <si>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</si>
  <si>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</si>
  <si>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</si>
  <si>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</si>
  <si>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</si>
  <si>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</si>
  <si>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</si>
  <si>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</si>
  <si>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</si>
  <si>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</si>
  <si>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</si>
  <si>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</si>
  <si>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</si>
  <si>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</si>
  <si>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</si>
  <si>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</si>
  <si>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</si>
  <si>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</si>
  <si>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</si>
  <si>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</si>
  <si>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</si>
  <si>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</si>
  <si>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</si>
  <si>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</si>
  <si>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</si>
  <si>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</si>
  <si>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</si>
  <si>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</si>
  <si>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</si>
  <si>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</si>
  <si>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</si>
  <si>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</si>
  <si>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</si>
  <si>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</si>
  <si>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</si>
  <si>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</si>
  <si>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</si>
  <si>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</si>
  <si>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</si>
  <si>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</si>
  <si>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</si>
  <si>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</si>
  <si>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</si>
  <si>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</si>
  <si>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</si>
  <si>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</si>
  <si>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</si>
  <si>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</si>
  <si>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</si>
  <si>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</si>
  <si>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</si>
  <si>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</si>
  <si>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</si>
  <si>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</si>
  <si>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</si>
  <si>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</si>
  <si>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</si>
  <si>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</si>
  <si>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</si>
  <si>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</si>
  <si>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</si>
  <si>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</si>
  <si>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</si>
  <si>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</si>
  <si>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</si>
  <si>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</si>
  <si>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</si>
  <si>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</si>
  <si>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</si>
  <si>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</si>
  <si>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</si>
  <si>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</si>
  <si>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</si>
  <si>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</si>
  <si>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</si>
  <si>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</si>
  <si>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</si>
  <si>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</si>
  <si>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</si>
  <si>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</si>
  <si>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</si>
  <si>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</si>
  <si>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</si>
  <si>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</si>
  <si>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</si>
  <si>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</si>
  <si>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</si>
  <si>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</si>
  <si>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</si>
  <si>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</si>
  <si>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</si>
  <si>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</si>
  <si>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</si>
  <si>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</si>
  <si>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</si>
  <si>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</si>
  <si>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</si>
  <si>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</si>
  <si>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</si>
  <si>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</si>
  <si>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</si>
  <si>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</si>
  <si>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</si>
  <si>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</si>
  <si>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</si>
  <si>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</si>
  <si>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</si>
  <si>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</si>
  <si>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</si>
  <si>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</si>
  <si>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</si>
  <si>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</si>
  <si>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</si>
  <si>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</si>
  <si>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</si>
  <si>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</si>
  <si>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</si>
  <si>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</si>
  <si>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</si>
  <si>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</si>
  <si>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</si>
  <si>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</si>
  <si>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</si>
  <si>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</si>
  <si>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</si>
  <si>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</si>
  <si>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</si>
  <si>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</si>
  <si>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</si>
  <si>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</si>
  <si>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</si>
  <si>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</si>
  <si>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</si>
  <si>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</si>
  <si>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</si>
  <si>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</si>
  <si>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</si>
  <si>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</si>
  <si>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</si>
  <si>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</si>
  <si>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</si>
  <si>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</si>
  <si>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</si>
  <si>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</si>
  <si>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</si>
  <si>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</si>
  <si>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</si>
  <si>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</si>
  <si>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</si>
  <si>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</si>
  <si>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</si>
  <si>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</si>
  <si>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</si>
  <si>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</si>
  <si>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</si>
  <si>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</si>
  <si>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</si>
  <si>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</si>
  <si>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</si>
  <si>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</si>
  <si>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</si>
  <si>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</si>
  <si>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</si>
  <si>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</si>
  <si>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</si>
  <si>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</si>
  <si>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</si>
  <si>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</si>
  <si>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</si>
  <si>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</si>
  <si>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</si>
  <si>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</si>
  <si>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</si>
  <si>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</si>
  <si>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</si>
  <si>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</si>
  <si>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</si>
  <si>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</si>
  <si>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</si>
  <si>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</si>
  <si>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</si>
  <si>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</si>
  <si>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</si>
  <si>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</si>
  <si>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</si>
  <si>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</si>
  <si>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</si>
  <si>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</si>
  <si>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</si>
  <si>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</si>
  <si>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</si>
  <si>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</si>
  <si>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</si>
  <si>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</si>
  <si>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</si>
  <si>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</si>
  <si>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</si>
  <si>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</si>
  <si>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</si>
  <si>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</si>
  <si>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</si>
  <si>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</si>
  <si>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</si>
  <si>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</si>
  <si>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</si>
  <si>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</si>
  <si>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</si>
  <si>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</si>
  <si>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</si>
  <si>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</si>
  <si>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</si>
  <si>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</si>
  <si>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</si>
  <si>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</si>
  <si>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</si>
  <si>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</si>
  <si>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</si>
  <si>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</si>
  <si>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</si>
  <si>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</si>
  <si>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</si>
  <si>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</si>
  <si>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</si>
  <si>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</si>
  <si>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</si>
  <si>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</si>
  <si>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</si>
  <si>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</si>
  <si>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</si>
  <si>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</si>
  <si>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</si>
  <si>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</si>
  <si>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</si>
  <si>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</si>
  <si>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</si>
  <si>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</si>
  <si>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</si>
  <si>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</si>
  <si>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</si>
  <si>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</si>
  <si>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</si>
  <si>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</si>
  <si>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</si>
  <si>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</si>
  <si>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</si>
  <si>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</si>
  <si>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</si>
  <si>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</si>
  <si>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</si>
  <si>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</si>
  <si>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</si>
  <si>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</si>
  <si>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</si>
  <si>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</si>
  <si>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</si>
  <si>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</si>
  <si>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</si>
  <si>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</si>
  <si>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</si>
  <si>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</si>
  <si>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</si>
  <si>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</si>
  <si>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</si>
  <si>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</si>
  <si>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</si>
  <si>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</si>
  <si>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</si>
  <si>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</si>
  <si>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</si>
  <si>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</si>
  <si>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</si>
  <si>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</si>
  <si>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</si>
  <si>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</si>
  <si>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</si>
  <si>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</si>
  <si>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</si>
  <si>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</si>
  <si>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</si>
  <si>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</si>
  <si>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</si>
  <si>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</si>
  <si>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</si>
  <si>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</si>
  <si>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</si>
  <si>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</si>
  <si>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</si>
  <si>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</si>
  <si>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</si>
  <si>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</si>
  <si>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</si>
  <si>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</si>
  <si>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</si>
  <si>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</si>
  <si>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</si>
  <si>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</si>
  <si>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</si>
  <si>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</si>
  <si>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</si>
  <si>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</si>
  <si>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</si>
  <si>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</si>
  <si>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</si>
  <si>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</si>
  <si>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</si>
  <si>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</si>
  <si>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</si>
  <si>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</si>
  <si>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</si>
  <si>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</si>
  <si>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</si>
  <si>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</si>
  <si>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</si>
  <si>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</si>
  <si>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</si>
  <si>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</si>
  <si>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</si>
  <si>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</si>
  <si>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</si>
  <si>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</si>
  <si>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</si>
  <si>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</si>
  <si>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</si>
  <si>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</si>
  <si>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</si>
  <si>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</si>
  <si>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</si>
  <si>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</si>
  <si>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</si>
  <si>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</si>
  <si>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</si>
  <si>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</si>
  <si>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</si>
  <si>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</si>
  <si>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</si>
  <si>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</si>
  <si>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</si>
  <si>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</si>
  <si>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</si>
  <si>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</si>
  <si>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</si>
  <si>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</si>
  <si>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</si>
  <si>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</si>
  <si>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</si>
  <si>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</si>
  <si>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</si>
  <si>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</si>
  <si>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</si>
  <si>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</si>
  <si>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</si>
  <si>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</si>
  <si>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</si>
  <si>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</si>
  <si>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</si>
  <si>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</si>
  <si>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</si>
  <si>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</si>
  <si>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</si>
  <si>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</si>
  <si>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</si>
  <si>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</si>
  <si>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</si>
  <si>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</si>
  <si>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</si>
  <si>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</si>
  <si>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</si>
  <si>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</si>
  <si>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</si>
  <si>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</si>
  <si>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</si>
  <si>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</si>
  <si>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</si>
  <si>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</si>
  <si>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</si>
  <si>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</si>
  <si>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</si>
  <si>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</si>
  <si>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</si>
  <si>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</si>
  <si>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</si>
  <si>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</si>
  <si>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</si>
  <si>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</si>
  <si>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</si>
  <si>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</si>
  <si>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</si>
  <si>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</si>
  <si>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</si>
  <si>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</si>
  <si>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</si>
  <si>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</si>
  <si>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</si>
  <si>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</si>
  <si>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</si>
  <si>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</si>
  <si>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</si>
  <si>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</si>
  <si>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</si>
  <si>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</si>
  <si>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</si>
  <si>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</si>
  <si>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</si>
  <si>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</si>
  <si>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</si>
  <si>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</si>
  <si>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</si>
  <si>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</si>
  <si>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</si>
  <si>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</si>
  <si>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</si>
  <si>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</si>
  <si>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</si>
  <si>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</si>
  <si>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</si>
  <si>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</si>
  <si>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</si>
  <si>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</si>
  <si>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</si>
  <si>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</si>
  <si>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</si>
  <si>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</si>
  <si>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</si>
  <si>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</si>
  <si>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</si>
  <si>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</si>
  <si>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</si>
  <si>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</si>
  <si>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</si>
  <si>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</si>
  <si>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</si>
  <si>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</si>
  <si>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</si>
  <si>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</si>
  <si>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</si>
  <si>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</si>
  <si>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</si>
  <si>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</si>
  <si>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</si>
  <si>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</si>
  <si>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</si>
  <si>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</si>
  <si>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</si>
  <si>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</si>
  <si>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</si>
  <si>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</si>
  <si>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</si>
  <si>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</si>
  <si>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</si>
  <si>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</si>
  <si>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</si>
  <si>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</si>
  <si>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</si>
  <si>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</si>
  <si>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</si>
  <si>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</si>
  <si>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</si>
  <si>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</si>
  <si>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</si>
  <si>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</si>
  <si>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</si>
  <si>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</si>
  <si>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</si>
  <si>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</si>
  <si>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</si>
  <si>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</si>
  <si>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</si>
  <si>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</si>
  <si>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</si>
  <si>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</si>
  <si>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</si>
  <si>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</si>
  <si>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</si>
  <si>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</si>
  <si>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</si>
  <si>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</si>
  <si>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</si>
  <si>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</si>
  <si>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</si>
  <si>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</si>
  <si>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</si>
  <si>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</si>
  <si>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</si>
  <si>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</si>
  <si>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</si>
  <si>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</si>
  <si>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</si>
  <si>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</si>
  <si>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</si>
  <si>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</si>
  <si>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</si>
  <si>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</si>
  <si>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</si>
  <si>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</si>
  <si>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</si>
  <si>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</si>
  <si>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</si>
  <si>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</si>
  <si>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</si>
  <si>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</si>
  <si>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</si>
  <si>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</si>
  <si>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</si>
  <si>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</si>
  <si>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</si>
  <si>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</si>
  <si>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</si>
  <si>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</si>
  <si>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</si>
  <si>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</si>
  <si>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</si>
  <si>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</si>
  <si>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</si>
  <si>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</si>
  <si>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</si>
  <si>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</si>
  <si>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</si>
  <si>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</si>
  <si>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</si>
  <si>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</si>
  <si>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</si>
  <si>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</si>
  <si>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</si>
  <si>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</si>
  <si>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</si>
  <si>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</si>
  <si>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</si>
  <si>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</si>
  <si>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</si>
  <si>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</si>
  <si>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</si>
  <si>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</si>
  <si>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</si>
  <si>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</si>
  <si>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</si>
  <si>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</si>
  <si>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</si>
  <si>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</si>
  <si>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</si>
  <si>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</si>
  <si>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</si>
  <si>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</si>
  <si>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</si>
  <si>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</si>
  <si>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</si>
  <si>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</si>
  <si>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</si>
  <si>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</si>
  <si>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</si>
  <si>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</si>
  <si>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</si>
  <si>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</si>
  <si>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</si>
  <si>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</si>
  <si>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</si>
  <si>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</si>
  <si>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</si>
  <si>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</si>
  <si>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</si>
  <si>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</si>
  <si>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</si>
  <si>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</si>
  <si>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</si>
  <si>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</si>
  <si>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</si>
  <si>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</si>
  <si>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</si>
  <si>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</si>
  <si>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</si>
  <si>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</si>
  <si>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</si>
  <si>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</si>
  <si>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</si>
  <si>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</si>
  <si>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</si>
  <si>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</si>
  <si>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</si>
  <si>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</si>
  <si>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</si>
  <si>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</si>
  <si>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</si>
  <si>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</si>
  <si>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</si>
  <si>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</si>
  <si>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</si>
  <si>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</si>
  <si>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</si>
  <si>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</si>
  <si>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</si>
  <si>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</si>
  <si>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</si>
  <si>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</si>
  <si>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</si>
  <si>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</si>
  <si>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</si>
  <si>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</si>
  <si>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</si>
  <si>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</si>
  <si>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</si>
  <si>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</si>
  <si>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</si>
  <si>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</si>
  <si>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</si>
  <si>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</si>
  <si>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</si>
  <si>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</si>
  <si>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</si>
  <si>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</si>
  <si>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</si>
  <si>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</si>
  <si>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</si>
  <si>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</si>
  <si>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</si>
  <si>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</si>
  <si>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</si>
  <si>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</si>
  <si>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</si>
  <si>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</si>
  <si>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</si>
  <si>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</si>
  <si>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</si>
  <si>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</si>
  <si>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</si>
  <si>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</si>
  <si>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</si>
  <si>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</si>
  <si>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</si>
  <si>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</si>
  <si>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</si>
  <si>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</si>
  <si>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</si>
  <si>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</si>
  <si>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</si>
  <si>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</si>
  <si>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</si>
  <si>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</si>
  <si>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</si>
  <si>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</si>
  <si>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</si>
  <si>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</si>
  <si>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</si>
  <si>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</si>
  <si>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</si>
  <si>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</si>
  <si>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</si>
  <si>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</si>
  <si>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</si>
  <si>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</si>
  <si>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</si>
  <si>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</si>
  <si>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</si>
  <si>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</si>
  <si>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</si>
  <si>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</si>
  <si>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</si>
  <si>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</si>
  <si>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</si>
  <si>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</si>
  <si>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</si>
  <si>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</si>
  <si>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</si>
  <si>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</si>
  <si>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</si>
  <si>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</si>
  <si>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</si>
  <si>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</si>
  <si>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</si>
  <si>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</si>
  <si>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</si>
  <si>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</si>
  <si>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</si>
  <si>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</si>
  <si>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</si>
  <si>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</si>
  <si>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</si>
  <si>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</si>
  <si>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</si>
  <si>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</si>
  <si>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</si>
  <si>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</si>
  <si>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</si>
  <si>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</si>
  <si>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</si>
  <si>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</si>
  <si>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</si>
  <si>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</si>
  <si>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</si>
  <si>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</si>
  <si>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</si>
  <si>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</si>
  <si>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</si>
  <si>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</si>
  <si>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</si>
  <si>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</si>
  <si>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</si>
  <si>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</si>
  <si>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</si>
  <si>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</si>
  <si>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</si>
  <si>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</si>
  <si>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</si>
  <si>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</si>
  <si>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</si>
  <si>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</si>
  <si>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</si>
  <si>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</si>
  <si>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</si>
  <si>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</si>
  <si>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</si>
  <si>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</si>
  <si>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</si>
  <si>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</si>
  <si>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</si>
  <si>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</si>
  <si>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</si>
  <si>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</si>
  <si>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</si>
  <si>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</si>
  <si>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</si>
  <si>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</si>
  <si>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</si>
  <si>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</si>
  <si>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</si>
  <si>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</si>
  <si>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</si>
  <si>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</si>
  <si>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</si>
  <si>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</si>
  <si>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</si>
  <si>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</si>
  <si>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</si>
  <si>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</si>
  <si>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</si>
  <si>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</si>
  <si>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</si>
  <si>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</si>
  <si>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</si>
  <si>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</si>
  <si>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</si>
  <si>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</si>
  <si>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</si>
  <si>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</si>
  <si>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</si>
  <si>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</si>
  <si>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</si>
  <si>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</si>
  <si>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</si>
  <si>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</si>
  <si>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</si>
  <si>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</si>
  <si>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</si>
  <si>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</si>
  <si>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</si>
  <si>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</si>
  <si>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</si>
  <si>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</si>
  <si>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</si>
  <si>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</si>
  <si>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</si>
  <si>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</si>
  <si>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</si>
  <si>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</si>
  <si>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</si>
  <si>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</si>
  <si>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</si>
  <si>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</si>
  <si>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</si>
  <si>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</si>
  <si>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</si>
  <si>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</si>
  <si>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</si>
  <si>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</si>
  <si>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</si>
  <si>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</si>
  <si>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</si>
  <si>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</si>
  <si>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</si>
  <si>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</si>
  <si>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</si>
  <si>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</si>
  <si>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</si>
  <si>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</si>
  <si>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</si>
  <si>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</si>
  <si>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</si>
  <si>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</si>
  <si>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</si>
  <si>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</si>
  <si>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</si>
  <si>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</si>
  <si>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</si>
  <si>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</si>
  <si>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</si>
  <si>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</si>
  <si>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</si>
  <si>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</si>
  <si>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</si>
  <si>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</si>
  <si>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</si>
  <si>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</si>
  <si>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</si>
  <si>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</si>
  <si>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</si>
  <si>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</si>
  <si>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</si>
  <si>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</si>
  <si>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</si>
  <si>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</si>
  <si>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</si>
  <si>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</si>
  <si>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</si>
  <si>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</si>
  <si>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</si>
  <si>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</si>
  <si>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</si>
  <si>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</si>
  <si>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</si>
  <si>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</si>
  <si>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</si>
  <si>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</si>
  <si>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</si>
  <si>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</si>
  <si>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</si>
  <si>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</si>
  <si>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</si>
  <si>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</si>
  <si>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</si>
  <si>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</si>
  <si>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</si>
  <si>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</si>
  <si>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</si>
  <si>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</si>
  <si>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</si>
  <si>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</si>
  <si>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</si>
  <si>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</si>
  <si>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</si>
  <si>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</si>
  <si>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</si>
  <si>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</si>
  <si>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</si>
  <si>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</si>
  <si>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</si>
  <si>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</si>
  <si>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</si>
  <si>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</si>
  <si>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</si>
  <si>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</si>
  <si>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</si>
  <si>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</si>
  <si>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</si>
  <si>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</si>
  <si>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</si>
  <si>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</si>
  <si>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</si>
  <si>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</si>
  <si>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</si>
  <si>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</si>
  <si>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</si>
  <si>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</si>
  <si>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</si>
  <si>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</si>
  <si>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</si>
  <si>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</si>
  <si>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</si>
  <si>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</si>
  <si>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</si>
  <si>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</si>
  <si>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</si>
  <si>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</si>
  <si>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</si>
  <si>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</si>
  <si>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</si>
  <si>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</si>
  <si>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</si>
  <si>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</si>
  <si>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</si>
  <si>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</si>
  <si>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</si>
  <si>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</si>
  <si>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</si>
  <si>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</si>
  <si>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</si>
  <si>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</si>
  <si>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</si>
  <si>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</si>
  <si>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</si>
  <si>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</si>
  <si>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</si>
  <si>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</si>
  <si>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</si>
  <si>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</si>
  <si>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</si>
  <si>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</si>
  <si>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</si>
  <si>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</si>
  <si>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</si>
  <si>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</si>
  <si>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</si>
  <si>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</si>
  <si>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</si>
  <si>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</si>
  <si>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</si>
  <si>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</si>
  <si>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</si>
  <si>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</si>
  <si>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</si>
  <si>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</si>
  <si>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</si>
  <si>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</si>
  <si>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</si>
  <si>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</si>
  <si>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</si>
  <si>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</si>
  <si>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</si>
  <si>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</si>
  <si>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</si>
  <si>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</si>
  <si>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</si>
  <si>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</si>
  <si>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</si>
  <si>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</si>
  <si>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</si>
  <si>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</si>
  <si>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</si>
  <si>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</si>
  <si>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</si>
  <si>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</si>
  <si>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</si>
  <si>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</si>
  <si>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</si>
  <si>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</si>
  <si>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</si>
  <si>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</si>
  <si>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</si>
  <si>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</si>
  <si>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</si>
  <si>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</si>
  <si>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</si>
  <si>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</si>
  <si>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</si>
  <si>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</si>
  <si>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</si>
  <si>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</si>
  <si>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</si>
  <si>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</si>
  <si>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</si>
  <si>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</si>
  <si>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</si>
  <si>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</si>
  <si>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</si>
  <si>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</si>
  <si>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</si>
  <si>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</si>
  <si>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</si>
  <si>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</si>
  <si>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</si>
  <si>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</si>
  <si>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</si>
  <si>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</si>
  <si>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</si>
  <si>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</si>
  <si>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</si>
  <si>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</si>
  <si>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</si>
  <si>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</si>
  <si>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</si>
  <si>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</si>
  <si>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</si>
  <si>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</si>
  <si>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</si>
  <si>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</si>
  <si>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</si>
  <si>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</si>
  <si>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</si>
  <si>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</si>
  <si>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</si>
  <si>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</si>
  <si>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</si>
  <si>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</si>
  <si>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</si>
  <si>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</si>
  <si>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</si>
  <si>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</si>
  <si>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</si>
  <si>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</si>
  <si>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</si>
  <si>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</si>
  <si>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</si>
  <si>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</si>
  <si>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</si>
  <si>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</si>
  <si>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</si>
  <si>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</si>
  <si>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</si>
  <si>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</si>
  <si>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</si>
  <si>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</si>
  <si>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</si>
  <si>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</si>
  <si>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</si>
  <si>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</si>
  <si>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</si>
  <si>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</si>
  <si>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</si>
  <si>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</si>
  <si>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</si>
  <si>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</si>
  <si>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</si>
  <si>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</si>
  <si>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</si>
  <si>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</si>
  <si>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</si>
  <si>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</si>
  <si>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</si>
  <si>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</si>
  <si>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</si>
  <si>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</si>
  <si>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</si>
  <si>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</si>
  <si>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</si>
  <si>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</si>
  <si>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</si>
  <si>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</si>
  <si>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</si>
  <si>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</si>
  <si>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</si>
  <si>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</si>
  <si>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</si>
  <si>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</si>
  <si>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</si>
  <si>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</si>
  <si>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</si>
  <si>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</si>
  <si>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</si>
  <si>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</si>
  <si>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</si>
  <si>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</si>
  <si>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</si>
  <si>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</si>
  <si>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</si>
  <si>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</si>
  <si>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</si>
  <si>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</si>
  <si>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</si>
  <si>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</si>
  <si>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</si>
  <si>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</si>
  <si>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</si>
  <si>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</si>
  <si>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</si>
  <si>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</si>
  <si>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</si>
  <si>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</si>
  <si>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</si>
  <si>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</si>
  <si>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</si>
  <si>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</si>
  <si>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</si>
  <si>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</si>
  <si>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</si>
  <si>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</si>
  <si>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</si>
  <si>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</si>
  <si>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</si>
  <si>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</si>
  <si>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</si>
  <si>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</si>
  <si>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</si>
  <si>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</si>
  <si>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</si>
  <si>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</si>
  <si>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</si>
  <si>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</si>
  <si>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</si>
  <si>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</si>
  <si>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</si>
  <si>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</si>
  <si>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</si>
  <si>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</si>
  <si>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</si>
  <si>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</si>
  <si>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</si>
  <si>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</si>
  <si>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</si>
  <si>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</si>
  <si>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</si>
  <si>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</si>
  <si>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</si>
  <si>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</si>
  <si>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</si>
  <si>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</si>
  <si>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</si>
  <si>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</si>
  <si>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</si>
  <si>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</si>
  <si>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</si>
  <si>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</si>
  <si>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</si>
  <si>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</si>
  <si>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</si>
  <si>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</si>
  <si>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</si>
  <si>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</si>
  <si>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</si>
  <si>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</si>
  <si>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</si>
  <si>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</si>
  <si>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</si>
  <si>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</si>
  <si>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</si>
  <si>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</si>
  <si>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</si>
  <si>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</si>
  <si>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</si>
  <si>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</si>
  <si>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</si>
  <si>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</si>
  <si>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</si>
  <si>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</si>
  <si>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</si>
  <si>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</si>
  <si>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</si>
  <si>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</si>
  <si>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</si>
  <si>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</si>
  <si>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</si>
  <si>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</si>
  <si>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</si>
  <si>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</si>
  <si>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</si>
  <si>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</si>
  <si>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</si>
  <si>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</si>
  <si>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</si>
  <si>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</si>
  <si>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</si>
  <si>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</si>
  <si>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</si>
  <si>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</si>
  <si>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</si>
  <si>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</si>
  <si>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</si>
  <si>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</si>
  <si>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</si>
  <si>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</si>
  <si>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</si>
  <si>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</si>
  <si>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</si>
  <si>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</si>
  <si>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</si>
  <si>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</si>
  <si>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</si>
  <si>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</si>
  <si>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</si>
  <si>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</si>
  <si>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</si>
  <si>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</si>
  <si>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</si>
  <si>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</si>
  <si>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</si>
  <si>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</si>
  <si>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</si>
  <si>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</si>
  <si>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</si>
  <si>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</si>
  <si>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</si>
  <si>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</si>
  <si>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</si>
  <si>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</si>
  <si>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</si>
  <si>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</si>
  <si>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</si>
  <si>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</si>
  <si>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</si>
  <si>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</si>
  <si>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</si>
  <si>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</si>
  <si>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</si>
  <si>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</si>
  <si>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</si>
  <si>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</si>
  <si>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</si>
  <si>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</si>
  <si>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</si>
  <si>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</si>
  <si>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</si>
  <si>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</si>
  <si>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</si>
  <si>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</si>
  <si>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</si>
  <si>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</si>
  <si>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</si>
  <si>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</si>
  <si>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</si>
  <si>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</si>
  <si>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</si>
  <si>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</si>
  <si>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</si>
  <si>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</si>
  <si>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</si>
  <si>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</si>
  <si>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</si>
  <si>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</si>
  <si>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</si>
  <si>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</si>
  <si>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</si>
  <si>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</si>
  <si>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</si>
  <si>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</si>
  <si>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</si>
  <si>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</si>
  <si>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</si>
  <si>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</si>
  <si>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</si>
  <si>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</si>
  <si>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</si>
  <si>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</si>
  <si>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</si>
  <si>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</si>
  <si>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</si>
  <si>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</si>
  <si>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</si>
  <si>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</si>
  <si>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</si>
  <si>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</si>
  <si>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</si>
  <si>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</si>
  <si>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</si>
  <si>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</si>
  <si>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</si>
  <si>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</si>
  <si>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</si>
  <si>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</si>
  <si>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</si>
  <si>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</si>
  <si>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</si>
  <si>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</si>
  <si>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</si>
  <si>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</si>
  <si>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</si>
  <si>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</si>
  <si>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</si>
  <si>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</si>
  <si>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</si>
  <si>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</si>
  <si>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</si>
  <si>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</si>
  <si>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</si>
  <si>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</si>
  <si>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</si>
  <si>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</si>
  <si>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</si>
  <si>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</si>
  <si>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</si>
  <si>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</si>
  <si>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</si>
  <si>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</si>
  <si>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</si>
  <si>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</si>
  <si>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</si>
  <si>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</si>
  <si>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</si>
  <si>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</si>
  <si>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</si>
  <si>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</si>
  <si>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</si>
  <si>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</si>
  <si>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</si>
  <si>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</si>
  <si>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</si>
  <si>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</si>
  <si>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</si>
  <si>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</si>
  <si>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</si>
  <si>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</si>
  <si>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</si>
  <si>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</si>
  <si>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</si>
  <si>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</si>
  <si>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</si>
  <si>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</si>
  <si>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</si>
  <si>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</si>
  <si>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</si>
  <si>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</si>
  <si>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</si>
  <si>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</si>
  <si>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</si>
  <si>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</si>
  <si>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</si>
  <si>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</si>
  <si>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</si>
  <si>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</si>
  <si>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</si>
  <si>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</si>
  <si>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</si>
  <si>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</si>
  <si>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</si>
  <si>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</si>
  <si>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</si>
  <si>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</si>
  <si>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</si>
  <si>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</si>
  <si>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</si>
  <si>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</si>
  <si>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</si>
  <si>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</si>
  <si>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</si>
  <si>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</si>
  <si>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</si>
  <si>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</si>
  <si>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</si>
  <si>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</si>
  <si>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</si>
  <si>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</si>
  <si>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</si>
  <si>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</si>
  <si>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</si>
  <si>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</si>
  <si>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</si>
  <si>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</si>
  <si>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</si>
  <si>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</si>
  <si>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</si>
  <si>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</si>
  <si>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</si>
  <si>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</si>
  <si>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</si>
  <si>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</si>
  <si>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</si>
  <si>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</si>
  <si>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</si>
  <si>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</si>
  <si>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</si>
  <si>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</si>
  <si>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</si>
  <si>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</si>
  <si>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</si>
  <si>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</si>
  <si>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</si>
  <si>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</si>
  <si>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</si>
  <si>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</si>
  <si>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</si>
  <si>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</si>
  <si>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</si>
  <si>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</si>
  <si>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</si>
  <si>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</si>
  <si>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</si>
  <si>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</si>
  <si>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</si>
  <si>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</si>
  <si>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</si>
  <si>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</si>
  <si>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</si>
  <si>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</si>
  <si>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</si>
  <si>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</si>
  <si>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</si>
  <si>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</si>
  <si>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</si>
  <si>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</si>
  <si>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</si>
  <si>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</si>
  <si>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</si>
  <si>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</si>
  <si>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</si>
  <si>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</si>
  <si>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</si>
  <si>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</si>
  <si>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</si>
  <si>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</si>
  <si>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</si>
  <si>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</si>
  <si>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</si>
  <si>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</si>
  <si>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</si>
  <si>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</si>
  <si>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</si>
  <si>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</si>
  <si>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</si>
  <si>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</si>
  <si>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</si>
  <si>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</si>
  <si>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</si>
  <si>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</si>
  <si>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</si>
  <si>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</si>
  <si>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</si>
  <si>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</si>
  <si>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</si>
  <si>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</si>
  <si>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</si>
  <si>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</si>
  <si>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</si>
  <si>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</si>
  <si>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</si>
  <si>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</si>
  <si>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</si>
  <si>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</si>
  <si>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</si>
  <si>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</si>
  <si>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</si>
  <si>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</si>
  <si>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</si>
  <si>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</si>
  <si>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</si>
  <si>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</si>
  <si>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</si>
  <si>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</si>
  <si>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</si>
  <si>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</si>
  <si>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</si>
  <si>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</si>
  <si>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</si>
  <si>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</si>
  <si>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</si>
  <si>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</si>
  <si>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</si>
  <si>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</si>
  <si>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</si>
  <si>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</si>
  <si>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</si>
  <si>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</si>
  <si>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</si>
  <si>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</si>
  <si>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</si>
  <si>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</si>
  <si>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</si>
  <si>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</si>
  <si>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</si>
  <si>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</si>
  <si>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</si>
  <si>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</si>
  <si>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</si>
  <si>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</si>
  <si>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</si>
  <si>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</si>
  <si>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</si>
  <si>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</si>
  <si>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</si>
  <si>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</si>
  <si>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</si>
  <si>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</si>
  <si>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</si>
  <si>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</si>
  <si>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</si>
  <si>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</si>
  <si>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</si>
  <si>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</si>
  <si>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</si>
  <si>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</si>
  <si>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</si>
  <si>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</si>
  <si>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</si>
  <si>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</si>
  <si>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</si>
  <si>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</si>
  <si>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</si>
  <si>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</si>
  <si>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</si>
  <si>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</si>
  <si>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</si>
  <si>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</si>
  <si>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</si>
  <si>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</si>
  <si>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</si>
  <si>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</si>
  <si>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</si>
  <si>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</si>
  <si>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</si>
  <si>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</si>
  <si>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</si>
  <si>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</si>
  <si>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</si>
  <si>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</si>
  <si>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</si>
  <si>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</si>
  <si>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</si>
  <si>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</si>
  <si>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</si>
  <si>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</si>
  <si>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</si>
  <si>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</si>
  <si>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</si>
  <si>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</si>
  <si>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</si>
  <si>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</si>
  <si>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</si>
  <si>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</si>
  <si>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</si>
  <si>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</si>
  <si>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</si>
  <si>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</si>
  <si>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</si>
  <si>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</si>
  <si>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</si>
  <si>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</si>
  <si>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</si>
  <si>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</si>
  <si>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</si>
  <si>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</si>
  <si>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</si>
  <si>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</si>
  <si>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</si>
  <si>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</si>
  <si>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</si>
  <si>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</si>
  <si>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</si>
  <si>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</si>
  <si>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</si>
  <si>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</si>
  <si>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</si>
  <si>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</si>
  <si>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</si>
  <si>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</si>
  <si>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</si>
  <si>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</si>
  <si>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</si>
  <si>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</si>
  <si>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</si>
  <si>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</si>
  <si>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</si>
  <si>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</si>
  <si>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</si>
  <si>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</si>
  <si>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</si>
  <si>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</si>
  <si>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</si>
  <si>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</si>
  <si>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</si>
  <si>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</si>
  <si>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</si>
  <si>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</si>
  <si>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</si>
  <si>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</si>
  <si>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</si>
  <si>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</si>
  <si>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</si>
  <si>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</si>
  <si>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</si>
  <si>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</si>
  <si>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</si>
  <si>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</si>
  <si>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</si>
  <si>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</si>
  <si>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</si>
  <si>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</si>
  <si>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</si>
  <si>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</si>
  <si>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</si>
  <si>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</si>
  <si>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</si>
  <si>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</si>
  <si>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</si>
  <si>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</si>
  <si>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</si>
  <si>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</si>
  <si>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</si>
  <si>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</si>
  <si>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</si>
  <si>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</si>
  <si>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</si>
  <si>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</si>
  <si>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</si>
  <si>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</si>
  <si>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</si>
  <si>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</si>
  <si>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</si>
  <si>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</si>
  <si>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</si>
  <si>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</si>
  <si>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</si>
  <si>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</si>
  <si>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</si>
  <si>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</si>
  <si>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</si>
  <si>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</si>
  <si>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</si>
  <si>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</si>
  <si>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</si>
  <si>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</si>
  <si>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</si>
  <si>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</si>
  <si>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</si>
  <si>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</si>
  <si>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</si>
  <si>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</si>
  <si>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</si>
  <si>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</si>
  <si>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</si>
  <si>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</si>
  <si>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</si>
  <si>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</si>
  <si>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</si>
  <si>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</si>
  <si>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</si>
  <si>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</si>
  <si>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</si>
  <si>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</si>
  <si>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</si>
  <si>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</si>
  <si>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</si>
  <si>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</si>
  <si>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</si>
  <si>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</si>
  <si>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</si>
  <si>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</si>
  <si>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</si>
  <si>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</si>
  <si>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</si>
  <si>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</si>
  <si>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</si>
  <si>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</si>
  <si>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</si>
  <si>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</si>
  <si>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</si>
  <si>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</si>
  <si>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</si>
  <si>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</si>
  <si>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</si>
  <si>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</si>
  <si>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</si>
  <si>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</si>
  <si>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</si>
  <si>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</si>
  <si>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</si>
  <si>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</si>
  <si>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</si>
  <si>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</si>
  <si>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</si>
  <si>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</si>
  <si>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</si>
  <si>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</si>
  <si>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</si>
  <si>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</si>
  <si>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</si>
  <si>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</si>
  <si>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</si>
  <si>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</si>
  <si>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</si>
  <si>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</si>
  <si>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</si>
  <si>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</si>
  <si>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</si>
  <si>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</si>
  <si>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</si>
  <si>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</si>
  <si>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</si>
  <si>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</si>
  <si>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</si>
  <si>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</si>
  <si>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</si>
  <si>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</si>
  <si>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</si>
  <si>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</si>
  <si>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</si>
  <si>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</si>
  <si>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</si>
  <si>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</si>
  <si>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</si>
  <si>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</si>
  <si>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</si>
  <si>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</si>
  <si>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</si>
  <si>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</si>
  <si>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</si>
  <si>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</si>
  <si>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</si>
  <si>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</si>
  <si>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</si>
  <si>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</si>
  <si>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</si>
  <si>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</si>
  <si>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</si>
  <si>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</si>
  <si>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</si>
  <si>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</si>
  <si>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</si>
  <si>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</si>
  <si>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</si>
  <si>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</si>
  <si>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</si>
  <si>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</si>
  <si>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</si>
  <si>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</si>
  <si>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</si>
  <si>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</si>
  <si>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</si>
  <si>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</si>
  <si>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</si>
  <si>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</si>
  <si>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</si>
  <si>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</si>
  <si>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</si>
  <si>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</si>
  <si>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</si>
  <si>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</si>
  <si>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</si>
  <si>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</si>
  <si>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</si>
  <si>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</si>
  <si>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</si>
  <si>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</si>
  <si>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</si>
  <si>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</si>
  <si>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</si>
  <si>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</si>
  <si>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</si>
  <si>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</si>
  <si>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</si>
  <si>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</si>
  <si>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</si>
  <si>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</si>
  <si>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</si>
  <si>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</si>
  <si>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</si>
  <si>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</si>
  <si>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</si>
  <si>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</si>
  <si>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</si>
  <si>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</si>
  <si>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</si>
  <si>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</si>
  <si>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</si>
  <si>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</si>
  <si>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</si>
  <si>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</si>
  <si>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</si>
  <si>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</si>
  <si>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</si>
  <si>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</si>
  <si>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</si>
  <si>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</si>
  <si>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</si>
  <si>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</si>
  <si>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</si>
  <si>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</si>
  <si>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</si>
  <si>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</si>
  <si>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</si>
  <si>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</si>
  <si>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</si>
  <si>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</si>
  <si>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</si>
  <si>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</si>
  <si>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</si>
  <si>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</si>
  <si>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</si>
  <si>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</si>
  <si>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</si>
  <si>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</si>
  <si>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</si>
  <si>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</si>
  <si>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</si>
  <si>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</si>
  <si>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</si>
  <si>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</si>
  <si>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</si>
  <si>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</si>
  <si>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</si>
  <si>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</si>
  <si>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</si>
  <si>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</si>
  <si>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</si>
  <si>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</si>
  <si>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</si>
  <si>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</si>
  <si>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</si>
  <si>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</si>
  <si>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</si>
  <si>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</si>
  <si>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</si>
  <si>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</si>
  <si>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</si>
  <si>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</si>
  <si>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</si>
  <si>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</si>
  <si>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</si>
  <si>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</si>
  <si>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</si>
  <si>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</si>
  <si>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</si>
  <si>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</si>
  <si>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</si>
  <si>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</si>
  <si>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</si>
  <si>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</si>
  <si>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</si>
  <si>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</si>
  <si>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</si>
  <si>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</si>
  <si>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</si>
  <si>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</si>
  <si>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</si>
  <si>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</si>
  <si>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</si>
  <si>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</si>
  <si>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</si>
  <si>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</si>
  <si>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</si>
  <si>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</si>
  <si>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</si>
  <si>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</si>
  <si>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</si>
  <si>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</si>
  <si>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</si>
  <si>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</si>
  <si>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</si>
  <si>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</si>
  <si>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</si>
  <si>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</si>
  <si>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</si>
  <si>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</si>
  <si>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</si>
  <si>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</si>
  <si>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</si>
  <si>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</si>
  <si>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</si>
  <si>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</si>
  <si>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</si>
  <si>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</si>
  <si>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</si>
  <si>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</si>
  <si>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</si>
  <si>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</si>
  <si>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</si>
  <si>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</si>
  <si>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</si>
  <si>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</si>
  <si>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</si>
  <si>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</si>
  <si>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</si>
  <si>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</si>
  <si>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</si>
  <si>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</si>
  <si>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</si>
  <si>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</si>
  <si>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</si>
  <si>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</si>
  <si>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</si>
  <si>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</si>
  <si>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</si>
  <si>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</si>
  <si>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</si>
  <si>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</si>
  <si>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</si>
  <si>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</si>
  <si>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</si>
  <si>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</si>
  <si>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</si>
  <si>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</si>
  <si>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</si>
  <si>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</si>
  <si>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</si>
  <si>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</si>
  <si>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</si>
  <si>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</si>
  <si>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</si>
  <si>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</si>
  <si>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</si>
  <si>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</si>
  <si>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</si>
  <si>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</si>
  <si>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</si>
  <si>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</si>
  <si>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</si>
  <si>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</si>
  <si>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</si>
  <si>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</si>
  <si>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</si>
  <si>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</si>
  <si>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</si>
  <si>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</si>
  <si>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</si>
  <si>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</si>
  <si>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</si>
  <si>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</si>
  <si>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</si>
  <si>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</si>
  <si>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</si>
  <si>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</si>
  <si>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</si>
  <si>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</si>
  <si>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</si>
  <si>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</si>
  <si>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</si>
  <si>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</si>
  <si>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</si>
  <si>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</si>
  <si>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</si>
  <si>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</si>
  <si>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</si>
  <si>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</si>
  <si>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</si>
  <si>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</si>
  <si>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</si>
  <si>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</si>
  <si>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</si>
  <si>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</si>
  <si>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</si>
  <si>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</si>
  <si>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</si>
  <si>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</si>
  <si>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</si>
  <si>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</si>
  <si>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</si>
  <si>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</si>
  <si>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</si>
  <si>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</si>
  <si>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</si>
  <si>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</si>
  <si>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</si>
  <si>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</si>
  <si>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</si>
  <si>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</si>
  <si>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</si>
  <si>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</si>
  <si>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</si>
  <si>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</si>
  <si>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</si>
  <si>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</si>
  <si>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</si>
  <si>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</si>
  <si>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</si>
  <si>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</si>
  <si>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</si>
  <si>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</si>
  <si>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</si>
  <si>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</si>
  <si>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</si>
  <si>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</si>
  <si>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</si>
  <si>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</si>
  <si>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</si>
  <si>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</si>
  <si>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</si>
  <si>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</si>
  <si>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</si>
  <si>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</si>
  <si>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</si>
  <si>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</si>
  <si>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</si>
  <si>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</si>
  <si>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</si>
  <si>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</si>
  <si>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</si>
  <si>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</si>
  <si>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</si>
  <si>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</si>
  <si>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</si>
  <si>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</si>
  <si>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</si>
  <si>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</si>
  <si>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</si>
  <si>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</si>
  <si>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</si>
  <si>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</si>
  <si>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</si>
  <si>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</si>
  <si>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</si>
  <si>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</si>
  <si>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</si>
  <si>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</si>
  <si>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</si>
  <si>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</si>
  <si>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</si>
  <si>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</si>
  <si>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</si>
  <si>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</si>
  <si>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</si>
  <si>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</si>
  <si>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</si>
  <si>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</si>
  <si>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</si>
  <si>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</si>
  <si>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</si>
  <si>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</si>
  <si>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</si>
  <si>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</si>
  <si>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</si>
  <si>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</si>
  <si>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</si>
  <si>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</si>
  <si>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</si>
  <si>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</si>
  <si>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</si>
  <si>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</si>
  <si>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</si>
  <si>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</si>
  <si>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</si>
  <si>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</si>
  <si>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</si>
  <si>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</si>
  <si>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</si>
  <si>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</si>
  <si>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</si>
  <si>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</si>
  <si>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</si>
  <si>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</si>
  <si>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</si>
  <si>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</si>
  <si>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</si>
  <si>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</si>
  <si>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</si>
  <si>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</si>
  <si>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</si>
  <si>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</si>
  <si>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</si>
  <si>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</si>
  <si>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</si>
  <si>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</si>
  <si>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</si>
  <si>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</si>
  <si>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</si>
  <si>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</si>
  <si>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</si>
  <si>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</si>
  <si>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</si>
  <si>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</si>
  <si>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</si>
  <si>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</si>
  <si>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</si>
  <si>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</si>
  <si>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</si>
  <si>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</si>
  <si>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</si>
  <si>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</si>
  <si>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</si>
  <si>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</si>
  <si>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</si>
  <si>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</si>
  <si>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</si>
  <si>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</si>
  <si>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</si>
  <si>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</si>
  <si>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</si>
  <si>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</si>
  <si>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</si>
  <si>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</si>
  <si>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</si>
  <si>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</si>
  <si>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</si>
  <si>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</si>
  <si>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</si>
  <si>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</si>
  <si>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</si>
  <si>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</si>
  <si>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</si>
  <si>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</si>
  <si>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</si>
  <si>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</si>
  <si>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</si>
  <si>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</si>
  <si>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</si>
  <si>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</si>
  <si>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</si>
  <si>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</si>
  <si>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</si>
  <si>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</si>
  <si>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</si>
  <si>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</si>
  <si>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</si>
  <si>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</si>
  <si>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</si>
  <si>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</si>
  <si>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</si>
  <si>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</si>
  <si>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</si>
  <si>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</si>
  <si>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</si>
  <si>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</si>
  <si>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</si>
  <si>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</si>
  <si>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</si>
  <si>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</si>
  <si>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</si>
  <si>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</si>
  <si>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</si>
  <si>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</si>
  <si>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</si>
  <si>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</si>
  <si>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</si>
  <si>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</si>
  <si>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</si>
  <si>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</si>
  <si>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</si>
  <si>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</si>
  <si>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</si>
  <si>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</si>
  <si>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</si>
  <si>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</si>
  <si>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</si>
  <si>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</si>
  <si>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</si>
  <si>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</si>
  <si>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</si>
  <si>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</si>
  <si>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</si>
  <si>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</si>
  <si>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</si>
  <si>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</si>
  <si>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</si>
  <si>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</si>
  <si>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</si>
  <si>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</si>
  <si>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</si>
  <si>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</si>
  <si>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</si>
  <si>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</si>
  <si>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</si>
  <si>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</si>
  <si>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</si>
  <si>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</si>
  <si>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</si>
  <si>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</si>
  <si>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</si>
  <si>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</si>
  <si>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</si>
  <si>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</si>
  <si>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</si>
  <si>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</si>
  <si>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</si>
  <si>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</si>
  <si>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</si>
  <si>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</si>
  <si>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</si>
  <si>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</si>
  <si>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</si>
  <si>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</si>
  <si>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</si>
  <si>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</si>
  <si>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</si>
  <si>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</si>
  <si>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</si>
  <si>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</si>
  <si>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</si>
  <si>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</si>
  <si>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</si>
  <si>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</si>
  <si>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</si>
  <si>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</si>
  <si>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</si>
  <si>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</si>
  <si>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</si>
  <si>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</si>
  <si>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</si>
  <si>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</si>
  <si>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</si>
  <si>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</si>
  <si>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</si>
  <si>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</si>
  <si>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</si>
  <si>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</si>
  <si>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</si>
  <si>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</si>
  <si>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</si>
  <si>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</si>
  <si>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</si>
  <si>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</si>
  <si>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</si>
  <si>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</si>
  <si>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</si>
  <si>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</si>
  <si>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</si>
  <si>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</si>
  <si>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</si>
  <si>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</si>
  <si>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</si>
  <si>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</si>
  <si>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</si>
  <si>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</si>
  <si>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</si>
  <si>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</si>
  <si>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</si>
  <si>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</si>
  <si>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</si>
  <si>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</si>
  <si>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</si>
  <si>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</si>
  <si>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</si>
  <si>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</si>
  <si>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</si>
  <si>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</si>
  <si>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</si>
  <si>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</si>
  <si>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</si>
  <si>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</si>
  <si>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</si>
  <si>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</si>
  <si>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</si>
  <si>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</si>
  <si>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</si>
  <si>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</si>
  <si>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</si>
  <si>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</si>
  <si>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</si>
  <si>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</si>
  <si>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</si>
  <si>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</si>
  <si>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</si>
  <si>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</si>
  <si>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</si>
  <si>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</si>
  <si>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</si>
  <si>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</si>
  <si>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</si>
  <si>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</si>
  <si>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</si>
  <si>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</si>
  <si>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</si>
  <si>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</si>
  <si>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</si>
  <si>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</si>
  <si>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</si>
  <si>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</si>
  <si>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</si>
  <si>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</si>
  <si>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</si>
  <si>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</si>
  <si>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</si>
  <si>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</si>
  <si>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</si>
  <si>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</si>
  <si>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</si>
  <si>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</si>
  <si>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</si>
  <si>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</si>
  <si>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</si>
  <si>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</si>
  <si>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</si>
  <si>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</si>
  <si>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</si>
  <si>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</si>
  <si>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</si>
  <si>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</si>
  <si>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</si>
  <si>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</si>
  <si>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</si>
  <si>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</si>
  <si>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</si>
  <si>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</si>
  <si>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</si>
  <si>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</si>
  <si>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</si>
  <si>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</si>
  <si>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</si>
  <si>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</si>
  <si>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</si>
  <si>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</si>
  <si>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</si>
  <si>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</si>
  <si>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</si>
  <si>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</si>
  <si>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</si>
  <si>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</si>
  <si>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</si>
  <si>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</si>
  <si>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</si>
  <si>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</si>
  <si>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</si>
  <si>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</si>
  <si>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</si>
  <si>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</si>
  <si>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</si>
  <si>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</si>
  <si>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</si>
  <si>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</si>
  <si>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</si>
  <si>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</si>
  <si>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</si>
  <si>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</si>
  <si>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</si>
  <si>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</si>
  <si>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</si>
  <si>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</si>
  <si>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</si>
  <si>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</si>
  <si>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</si>
  <si>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</si>
  <si>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</si>
  <si>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</si>
  <si>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</si>
  <si>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</si>
  <si>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</si>
  <si>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</si>
  <si>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</si>
  <si>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</si>
  <si>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</si>
  <si>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</si>
  <si>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</si>
  <si>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</si>
  <si>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</si>
  <si>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</si>
  <si>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</si>
  <si>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</si>
  <si>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</si>
  <si>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</si>
  <si>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</si>
  <si>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</si>
  <si>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</si>
  <si>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</si>
  <si>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</si>
  <si>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</si>
  <si>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</si>
  <si>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</si>
  <si>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</si>
  <si>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</si>
  <si>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</si>
  <si>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</si>
  <si>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</si>
  <si>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</si>
  <si>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</si>
  <si>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</si>
  <si>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</si>
  <si>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</si>
  <si>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</si>
  <si>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</si>
  <si>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</si>
  <si>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</si>
  <si>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</si>
  <si>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</si>
  <si>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</si>
  <si>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</si>
  <si>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</si>
  <si>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</si>
  <si>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</si>
  <si>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</si>
  <si>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</si>
  <si>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</si>
  <si>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</si>
  <si>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</si>
  <si>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</si>
  <si>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</si>
  <si>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</si>
  <si>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</si>
  <si>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</si>
  <si>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</si>
  <si>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</si>
  <si>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</si>
  <si>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</si>
  <si>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</si>
  <si>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</si>
  <si>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</si>
  <si>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</si>
  <si>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</si>
  <si>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</si>
  <si>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</si>
  <si>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</si>
  <si>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</si>
  <si>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</si>
  <si>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</si>
  <si>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</si>
  <si>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</si>
  <si>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</si>
  <si>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</si>
  <si>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</si>
  <si>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</si>
  <si>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</si>
  <si>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</si>
  <si>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</si>
  <si>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</si>
  <si>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</si>
  <si>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</si>
  <si>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</si>
  <si>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</si>
  <si>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</si>
  <si>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</si>
  <si>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</si>
  <si>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</si>
  <si>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</si>
  <si>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</si>
  <si>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</si>
  <si>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</si>
  <si>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</si>
  <si>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</si>
  <si>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</si>
  <si>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</si>
  <si>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</si>
  <si>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</si>
  <si>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</si>
  <si>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</si>
  <si>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</si>
  <si>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</si>
  <si>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</si>
  <si>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</si>
  <si>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</si>
  <si>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</si>
  <si>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</si>
  <si>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</si>
  <si>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</si>
  <si>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</si>
  <si>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</si>
  <si>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</si>
  <si>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</si>
  <si>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</si>
  <si>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</si>
  <si>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</si>
  <si>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</si>
  <si>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</si>
  <si>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</si>
  <si>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</si>
  <si>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</si>
  <si>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</si>
  <si>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</si>
  <si>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</si>
  <si>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</si>
  <si>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</si>
  <si>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</si>
  <si>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</si>
  <si>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</si>
  <si>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</si>
  <si>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</si>
  <si>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</si>
  <si>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</si>
  <si>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</si>
  <si>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</si>
  <si>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</si>
  <si>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</si>
  <si>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</si>
  <si>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</si>
  <si>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</si>
  <si>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</si>
  <si>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</si>
  <si>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</si>
  <si>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</si>
  <si>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</si>
  <si>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</si>
  <si>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</si>
  <si>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</si>
  <si>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</si>
  <si>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</si>
  <si>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</si>
  <si>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</si>
  <si>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</si>
  <si>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</si>
  <si>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</si>
  <si>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</si>
  <si>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</si>
  <si>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</si>
  <si>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</si>
  <si>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</si>
  <si>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</si>
  <si>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</si>
  <si>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</si>
  <si>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</si>
  <si>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</si>
  <si>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</si>
  <si>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</si>
  <si>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</si>
  <si>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</si>
  <si>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</si>
  <si>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</si>
  <si>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</si>
  <si>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</si>
  <si>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</si>
  <si>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</si>
  <si>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</si>
  <si>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</si>
  <si>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</si>
  <si>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</si>
  <si>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</si>
  <si>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</si>
  <si>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</si>
  <si>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</si>
  <si>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</si>
  <si>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</si>
  <si>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</si>
  <si>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北京富仁通商贸有限公司</t>
    <phoneticPr fontId="6" type="noConversion"/>
  </si>
  <si>
    <t>抵押</t>
  </si>
  <si>
    <t>房地产抵押价值</t>
  </si>
  <si>
    <t>北京市</t>
  </si>
  <si>
    <t>企业</t>
  </si>
  <si>
    <t>出让</t>
  </si>
  <si>
    <t>已注销</t>
  </si>
  <si>
    <r>
      <rPr>
        <sz val="12"/>
        <color theme="9" tint="-0.249977111117893"/>
        <rFont val="宋体"/>
        <family val="3"/>
        <charset val="134"/>
      </rPr>
      <t>丰台区刘庄子</t>
    </r>
    <r>
      <rPr>
        <sz val="12"/>
        <color theme="9" tint="-0.249977111117893"/>
        <rFont val="Arial"/>
        <family val="2"/>
      </rPr>
      <t>119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18</t>
    </r>
    <r>
      <rPr>
        <sz val="12"/>
        <color theme="9" tint="-0.249977111117893"/>
        <rFont val="宋体"/>
        <family val="3"/>
        <charset val="134"/>
      </rPr>
      <t>幢楼</t>
    </r>
    <phoneticPr fontId="6" type="noConversion"/>
  </si>
  <si>
    <r>
      <rPr>
        <sz val="12"/>
        <color theme="9" tint="-0.249977111117893"/>
        <rFont val="宋体"/>
        <family val="3"/>
        <charset val="134"/>
      </rPr>
      <t>工业用地</t>
    </r>
    <r>
      <rPr>
        <sz val="12"/>
        <color theme="9" tint="-0.249977111117893"/>
        <rFont val="Arial"/>
        <family val="2"/>
      </rPr>
      <t>/</t>
    </r>
    <r>
      <rPr>
        <sz val="12"/>
        <color theme="9" tint="-0.249977111117893"/>
        <rFont val="宋体"/>
        <family val="3"/>
        <charset val="134"/>
      </rPr>
      <t>工交</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</si>
  <si>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0033569</t>
    </r>
    <r>
      <rPr>
        <sz val="12"/>
        <color theme="9" tint="-0.249977111117893"/>
        <rFont val="宋体"/>
        <family val="3"/>
        <charset val="134"/>
      </rPr>
      <t>号</t>
    </r>
    <r>
      <rPr>
        <sz val="12"/>
        <color theme="9" tint="-0.249977111117893"/>
        <rFont val="Arial"/>
        <family val="2"/>
      </rPr>
      <t>]</t>
    </r>
    <phoneticPr fontId="6" type="noConversion"/>
  </si>
  <si>
    <t>否</t>
  </si>
  <si>
    <t>《不动产权证书》</t>
  </si>
  <si>
    <t>是</t>
  </si>
  <si>
    <t>地上</t>
  </si>
  <si>
    <t>未出租</t>
  </si>
  <si>
    <t>未出租</t>
    <phoneticPr fontId="7" type="noConversion"/>
  </si>
  <si>
    <t>办公出租</t>
  </si>
  <si>
    <t>办公出租</t>
    <phoneticPr fontId="7" type="noConversion"/>
  </si>
  <si>
    <t>办公楼</t>
  </si>
  <si>
    <t>18楼上房</t>
    <phoneticPr fontId="3" type="noConversion"/>
  </si>
  <si>
    <t>成新度</t>
  </si>
  <si>
    <t>收益法（出租）</t>
  </si>
  <si>
    <t>收益法（出租）</t>
    <phoneticPr fontId="16" type="noConversion"/>
  </si>
  <si>
    <t>押一</t>
  </si>
  <si>
    <t>按租金收入计税</t>
  </si>
  <si>
    <t>五通一平</t>
  </si>
  <si>
    <t>缺少</t>
  </si>
  <si>
    <t>不临58条商业街</t>
  </si>
  <si>
    <t>北京银行双秀支行</t>
    <phoneticPr fontId="6" type="noConversion"/>
  </si>
  <si>
    <t>工业用地</t>
  </si>
  <si>
    <t>通路</t>
  </si>
  <si>
    <t>通电</t>
  </si>
  <si>
    <t>通讯</t>
  </si>
  <si>
    <t>通上水</t>
  </si>
  <si>
    <t>通下水</t>
  </si>
  <si>
    <t>现房</t>
  </si>
  <si>
    <t>工业项目</t>
  </si>
  <si>
    <t>无</t>
  </si>
  <si>
    <t>通热</t>
  </si>
  <si>
    <t>燃气</t>
  </si>
  <si>
    <t>地价指数</t>
  </si>
  <si>
    <t>容积率修正</t>
  </si>
  <si>
    <t>一般</t>
  </si>
  <si>
    <t>全部缴纳</t>
  </si>
  <si>
    <t>砖混</t>
  </si>
  <si>
    <t>非生产用房</t>
  </si>
  <si>
    <t>收益法（未出租）</t>
    <phoneticPr fontId="16" type="noConversion"/>
  </si>
  <si>
    <t>收益法（汇总）</t>
  </si>
  <si>
    <t>成本法</t>
  </si>
  <si>
    <t>未包含在土地购买价格中</t>
  </si>
  <si>
    <t>已包含在土地取得成本中</t>
  </si>
  <si>
    <t>自定义</t>
  </si>
  <si>
    <t>收益法 (元)</t>
  </si>
  <si>
    <t>房号</t>
    <phoneticPr fontId="143" type="noConversion"/>
  </si>
  <si>
    <t>建筑面积</t>
    <phoneticPr fontId="143" type="noConversion"/>
  </si>
  <si>
    <t>楼层</t>
    <phoneticPr fontId="143" type="noConversion"/>
  </si>
  <si>
    <t>结构</t>
    <phoneticPr fontId="143" type="noConversion"/>
  </si>
  <si>
    <t>年代</t>
    <phoneticPr fontId="143" type="noConversion"/>
  </si>
  <si>
    <t>朝向</t>
    <phoneticPr fontId="143" type="noConversion"/>
  </si>
  <si>
    <t>合同2出租面积未出租面积</t>
    <phoneticPr fontId="143" type="noConversion"/>
  </si>
  <si>
    <t>合同3出租面积</t>
    <phoneticPr fontId="143" type="noConversion"/>
  </si>
  <si>
    <t>租金</t>
    <phoneticPr fontId="143" type="noConversion"/>
  </si>
  <si>
    <t>合同1出租面积</t>
    <phoneticPr fontId="143" type="noConversion"/>
  </si>
  <si>
    <t>是否有租约</t>
    <phoneticPr fontId="143" type="noConversion"/>
  </si>
  <si>
    <t>是否抵押</t>
    <phoneticPr fontId="143" type="noConversion"/>
  </si>
  <si>
    <t>混合</t>
    <phoneticPr fontId="143" type="noConversion"/>
  </si>
  <si>
    <t>东</t>
    <phoneticPr fontId="143" type="noConversion"/>
  </si>
  <si>
    <t>是</t>
    <phoneticPr fontId="143" type="noConversion"/>
  </si>
  <si>
    <t>砖木</t>
    <phoneticPr fontId="143" type="noConversion"/>
  </si>
  <si>
    <t>东</t>
    <phoneticPr fontId="143" type="noConversion"/>
  </si>
  <si>
    <t>是</t>
    <phoneticPr fontId="143" type="noConversion"/>
  </si>
  <si>
    <t>砖木</t>
    <phoneticPr fontId="143" type="noConversion"/>
  </si>
  <si>
    <t>东</t>
    <phoneticPr fontId="143" type="noConversion"/>
  </si>
  <si>
    <t>未出租</t>
    <phoneticPr fontId="143" type="noConversion"/>
  </si>
  <si>
    <t>否</t>
    <phoneticPr fontId="143" type="noConversion"/>
  </si>
  <si>
    <t>1-2</t>
    <phoneticPr fontId="143" type="noConversion"/>
  </si>
  <si>
    <t>混合</t>
    <phoneticPr fontId="143" type="noConversion"/>
  </si>
  <si>
    <t>是</t>
    <phoneticPr fontId="143" type="noConversion"/>
  </si>
  <si>
    <t>1-2</t>
    <phoneticPr fontId="143" type="noConversion"/>
  </si>
  <si>
    <t>混合</t>
    <phoneticPr fontId="143" type="noConversion"/>
  </si>
  <si>
    <t>1</t>
    <phoneticPr fontId="143" type="noConversion"/>
  </si>
  <si>
    <t>南</t>
    <phoneticPr fontId="143" type="noConversion"/>
  </si>
  <si>
    <t>是</t>
    <phoneticPr fontId="143" type="noConversion"/>
  </si>
  <si>
    <t>1</t>
    <phoneticPr fontId="143" type="noConversion"/>
  </si>
  <si>
    <t>混合</t>
    <phoneticPr fontId="143" type="noConversion"/>
  </si>
  <si>
    <t>南</t>
    <phoneticPr fontId="143" type="noConversion"/>
  </si>
  <si>
    <t>是</t>
    <phoneticPr fontId="143" type="noConversion"/>
  </si>
  <si>
    <t>1-2</t>
    <phoneticPr fontId="143" type="noConversion"/>
  </si>
  <si>
    <t>混合</t>
    <phoneticPr fontId="143" type="noConversion"/>
  </si>
  <si>
    <t>北</t>
    <phoneticPr fontId="143" type="noConversion"/>
  </si>
  <si>
    <t>未出租</t>
    <phoneticPr fontId="143" type="noConversion"/>
  </si>
  <si>
    <t>否</t>
    <phoneticPr fontId="143" type="noConversion"/>
  </si>
  <si>
    <t>1-2</t>
    <phoneticPr fontId="143" type="noConversion"/>
  </si>
  <si>
    <t>砖木</t>
    <phoneticPr fontId="143" type="noConversion"/>
  </si>
  <si>
    <t>西</t>
    <phoneticPr fontId="143" type="noConversion"/>
  </si>
  <si>
    <t>否</t>
    <phoneticPr fontId="143" type="noConversion"/>
  </si>
  <si>
    <t>1</t>
    <phoneticPr fontId="143" type="noConversion"/>
  </si>
  <si>
    <t>砖木</t>
    <phoneticPr fontId="143" type="noConversion"/>
  </si>
  <si>
    <t>北</t>
    <phoneticPr fontId="143" type="noConversion"/>
  </si>
  <si>
    <t>1-4</t>
    <phoneticPr fontId="143" type="noConversion"/>
  </si>
  <si>
    <t>18楼上房</t>
    <phoneticPr fontId="143" type="noConversion"/>
  </si>
  <si>
    <t>租约到期日</t>
    <phoneticPr fontId="143" type="noConversion"/>
  </si>
  <si>
    <t>分合同的总面积</t>
    <phoneticPr fontId="143" type="noConversion"/>
  </si>
  <si>
    <t>出租总面积</t>
    <phoneticPr fontId="143" type="noConversion"/>
  </si>
  <si>
    <t>未出租面积</t>
    <phoneticPr fontId="143" type="noConversion"/>
  </si>
  <si>
    <t>抵押面积（未灭失）</t>
    <phoneticPr fontId="143" type="noConversion"/>
  </si>
  <si>
    <t>三个平均租金</t>
    <phoneticPr fontId="143" type="noConversion"/>
  </si>
  <si>
    <t>合同1</t>
    <phoneticPr fontId="143" type="noConversion"/>
  </si>
  <si>
    <t>合同1平均租金</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</si>
</sst>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2"/>
      <scheme val="minor"/>
    </font>
    <font>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0" fontId="0" fillId="0" borderId="0" xfId="0" applyAlignment="1" applyProtection="1">
      <protection locked="0"/>
    </xf>
    <xf numFmtId="177" fontId="80" fillId="0" borderId="1" xfId="1" applyNumberFormat="1" applyFont="1" applyFill="1" applyBorder="1" applyAlignment="1" applyProtection="1">
      <alignment vertical="center"/>
      <protection locked="0" hidden="1"/>
    </xf>
    <xf numFmtId="0" fontId="50" fillId="5" borderId="54" xfId="0" applyFont="1" applyFill="1" applyBorder="1" applyAlignment="1" applyProtection="1">
      <alignment horizontal="left" vertical="center"/>
      <protection locked="0"/>
    </xf>
    <xf numFmtId="0" fontId="137" fillId="0" borderId="2" xfId="0" applyFont="1" applyBorder="1" applyAlignment="1" applyProtection="1">
      <alignment horizontal="left" vertical="center" wrapText="1"/>
      <protection locked="0"/>
    </xf>
    <xf numFmtId="0" fontId="190" fillId="7" borderId="5" xfId="0" applyFont="1" applyFill="1" applyBorder="1" applyAlignment="1" applyProtection="1">
      <alignment vertical="center"/>
      <protection locked="0"/>
    </xf>
    <xf numFmtId="10" fontId="104" fillId="6" borderId="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181" fontId="47" fillId="0" borderId="5" xfId="0" applyNumberFormat="1" applyFont="1" applyFill="1" applyBorder="1" applyAlignment="1" applyProtection="1">
      <alignment vertical="center"/>
      <protection locked="0"/>
    </xf>
    <xf numFmtId="181" fontId="105" fillId="7" borderId="1" xfId="0" applyNumberFormat="1" applyFont="1" applyFill="1" applyBorder="1" applyAlignment="1" applyProtection="1">
      <alignment horizontal="center" vertical="center"/>
      <protection locked="0"/>
    </xf>
    <xf numFmtId="177" fontId="50" fillId="7" borderId="1" xfId="1" applyNumberFormat="1" applyFont="1" applyFill="1" applyBorder="1" applyAlignment="1" applyProtection="1">
      <alignment horizontal="center" vertical="center"/>
      <protection locked="0"/>
    </xf>
    <xf numFmtId="9" fontId="50" fillId="7" borderId="5" xfId="0" applyNumberFormat="1" applyFont="1" applyFill="1" applyBorder="1" applyAlignment="1" applyProtection="1">
      <alignment horizontal="center" vertical="center"/>
      <protection locked="0"/>
    </xf>
    <xf numFmtId="0" fontId="47" fillId="7" borderId="23" xfId="0" applyFont="1" applyFill="1" applyBorder="1" applyAlignment="1" applyProtection="1">
      <alignment vertical="center"/>
      <protection locked="0"/>
    </xf>
    <xf numFmtId="0" fontId="0" fillId="0" borderId="1" xfId="0" applyBorder="1" applyAlignment="1"/>
    <xf numFmtId="49" fontId="0" fillId="0" borderId="1" xfId="0" applyNumberFormat="1" applyBorder="1" applyAlignment="1"/>
    <xf numFmtId="0" fontId="0" fillId="17" borderId="1" xfId="0" applyFill="1" applyBorder="1" applyAlignment="1"/>
    <xf numFmtId="0" fontId="0" fillId="18" borderId="1" xfId="0" applyFill="1" applyBorder="1" applyAlignment="1"/>
    <xf numFmtId="0" fontId="254" fillId="15" borderId="1" xfId="0" applyFont="1" applyFill="1" applyBorder="1" applyAlignment="1"/>
    <xf numFmtId="58" fontId="0" fillId="17" borderId="1" xfId="0" applyNumberFormat="1" applyFill="1" applyBorder="1" applyAlignment="1"/>
    <xf numFmtId="0" fontId="0" fillId="0" borderId="1" xfId="0" applyFont="1" applyBorder="1" applyAlignment="1"/>
    <xf numFmtId="49" fontId="0" fillId="0" borderId="1" xfId="0" applyNumberFormat="1" applyFont="1" applyBorder="1" applyAlignment="1"/>
    <xf numFmtId="0" fontId="0" fillId="17" borderId="1" xfId="0" applyFont="1" applyFill="1" applyBorder="1" applyAlignment="1"/>
    <xf numFmtId="0" fontId="0" fillId="18" borderId="1" xfId="0" applyFont="1" applyFill="1" applyBorder="1" applyAlignment="1"/>
    <xf numFmtId="0" fontId="255" fillId="15" borderId="1" xfId="0" applyFont="1" applyFill="1" applyBorder="1" applyAlignment="1"/>
    <xf numFmtId="0" fontId="99" fillId="0" borderId="1" xfId="0" applyFont="1" applyBorder="1" applyAlignment="1"/>
    <xf numFmtId="0" fontId="254" fillId="5" borderId="1" xfId="0" applyFont="1" applyFill="1" applyBorder="1" applyAlignment="1"/>
    <xf numFmtId="49" fontId="254" fillId="5" borderId="1" xfId="0" applyNumberFormat="1" applyFont="1" applyFill="1" applyBorder="1" applyAlignment="1"/>
    <xf numFmtId="0" fontId="255" fillId="5" borderId="1" xfId="0" applyFont="1" applyFill="1" applyBorder="1" applyAlignment="1"/>
    <xf numFmtId="0" fontId="255" fillId="5" borderId="0" xfId="0" applyFont="1" applyFill="1" applyAlignment="1"/>
    <xf numFmtId="0" fontId="0" fillId="0" borderId="0" xfId="0" applyFont="1" applyAlignment="1"/>
    <xf numFmtId="0" fontId="0" fillId="0" borderId="1" xfId="0" applyBorder="1" applyAlignment="1">
      <alignment horizontal="right"/>
    </xf>
    <xf numFmtId="176" fontId="0" fillId="0" borderId="0" xfId="0" applyNumberFormat="1" applyAlignment="1"/>
    <xf numFmtId="14" fontId="0" fillId="17" borderId="0" xfId="0" applyNumberFormat="1" applyFill="1" applyAlignment="1"/>
    <xf numFmtId="0" fontId="0" fillId="17" borderId="0" xfId="0" applyFill="1" applyAlignment="1"/>
    <xf numFmtId="14" fontId="0" fillId="18" borderId="0" xfId="0" applyNumberFormat="1" applyFill="1" applyAlignment="1"/>
    <xf numFmtId="0" fontId="0" fillId="18" borderId="0" xfId="0" applyFill="1" applyAlignment="1"/>
    <xf numFmtId="14" fontId="255" fillId="15" borderId="0" xfId="0" applyNumberFormat="1" applyFont="1" applyFill="1" applyAlignment="1"/>
    <xf numFmtId="0" fontId="255" fillId="15" borderId="0" xfId="0" applyFont="1" applyFill="1" applyAlignment="1"/>
    <xf numFmtId="0" fontId="0" fillId="19"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北京市丰台区刘庄子119号1幢等18幢楼房地产抵押价值预评估</v>
      </c>
    </row>
    <row r="3" spans="1:2" s="1596" customFormat="1">
      <c r="A3" s="1594" t="s">
        <v>1221</v>
      </c>
      <c r="B3" s="1595" t="str">
        <f>'预评函-封皮'!B40</f>
        <v>北京富仁通商贸有限公司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受贵公司委托，我公司对北京市丰台区刘庄子119号1幢等18幢楼房地产抵押价值进行了预评估。</v>
      </c>
    </row>
    <row r="7" spans="1:2" s="1596" customFormat="1">
      <c r="A7" s="1594" t="s">
        <v>1264</v>
      </c>
      <c r="B7" s="1595" t="str">
        <f>'预评函-1'!A7</f>
        <v>估价对象为北京市丰台区刘庄子119号1幢等18幢楼房地产，为所有。根据《国有土地使用证》[]，估价对象（分摊）出让国有建设用地使用权面积为8515.35平方米，建筑面积为7293.7平方米。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刘庄子119号1幢等18幢楼房地产,属开发建设的工业项目，该项目尚在开发建设中。根据《国有土地使用证》[]，估价对象（分摊）出让国有建设用地使用权面积为8515.35平方米，规划建筑面积为7293.7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为估价委托人在向北京银行双秀支行办理贷款手续过程中，确定房地产抵押贷款额度提供参考依据而评估房地产抵押价值。</v>
      </c>
    </row>
    <row r="12" spans="1:2" s="1596" customFormat="1">
      <c r="A12" s="1594" t="s">
        <v>1226</v>
      </c>
      <c r="B12" s="1595" t="str">
        <f>'预评函-1'!A15</f>
        <v>2018年5月4日（评估专业人员实地查勘之日）</v>
      </c>
    </row>
    <row r="13" spans="1:2" s="1596" customFormat="1">
      <c r="A13" s="1594" t="s">
        <v>1227</v>
      </c>
      <c r="B13" s="1595" t="str">
        <f>'预评函-1'!A18</f>
        <v>本次估价的“房地产价值”是指在正常市场情况下，在价值时点2018年5月4日，估价对象规划用途为工业用地/工交，土地取得方式为出让，出让国有建设用地使用权剩余土地使用年限为34.26，假定未设立法定优先受偿款下的房地产市场价值。</v>
      </c>
    </row>
    <row r="14" spans="1:2" s="1596" customFormat="1">
      <c r="A14" s="1594" t="s">
        <v>1228</v>
      </c>
      <c r="B14" s="1595" t="str">
        <f>'预评函-1'!A19</f>
        <v>其中，“出让国有建设用地使用权价值”是指估价对象用途为工业用地/工交，实际开发程度为宗地红线外“七通”（即通路、通电、通讯、通上水、通下水、、）、红线内场地平整条件下，剩余土地使用年限为34.26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本次评估采用的主估价方法为收益法和成本法。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6158</v>
      </c>
    </row>
    <row r="21" spans="1:2" s="1596" customFormat="1">
      <c r="A21" s="1594" t="s">
        <v>1235</v>
      </c>
      <c r="B21" s="1595">
        <f ca="1">'预评函-2'!D7</f>
        <v>8443</v>
      </c>
    </row>
    <row r="22" spans="1:2" s="1596" customFormat="1">
      <c r="A22" s="1594" t="s">
        <v>1236</v>
      </c>
      <c r="B22" s="1595" t="str">
        <f ca="1">'预评函-2'!D6</f>
        <v>陆仟壹佰伍拾捌万元整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6158</v>
      </c>
    </row>
    <row r="35" spans="1:2" s="1596" customFormat="1">
      <c r="A35" s="1594" t="s">
        <v>1275</v>
      </c>
      <c r="B35" s="1595">
        <f ca="1">'预评函-2'!D18</f>
        <v>8443</v>
      </c>
    </row>
    <row r="36" spans="1:2" s="1596" customFormat="1">
      <c r="A36" s="1594" t="s">
        <v>1242</v>
      </c>
      <c r="B36" s="1595" t="str">
        <f ca="1">'预评函-2'!D17</f>
        <v>陆仟壹佰伍拾捌万元整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北京市丰台区刘庄子119号1幢等18幢楼房地产</v>
      </c>
    </row>
    <row r="42" spans="1:2" s="1596" customFormat="1">
      <c r="A42" s="1594" t="s">
        <v>1288</v>
      </c>
      <c r="B42" s="1595" t="str">
        <f>'预评函-3'!B2</f>
        <v>建筑面积</v>
      </c>
    </row>
    <row r="43" spans="1:2" s="1596" customFormat="1">
      <c r="A43" s="1594" t="s">
        <v>1289</v>
      </c>
      <c r="B43" s="1595">
        <f>'预评函-3'!B4</f>
        <v>7293.6999999999989</v>
      </c>
    </row>
    <row r="44" spans="1:2" s="1596" customFormat="1">
      <c r="A44" s="1594" t="s">
        <v>1273</v>
      </c>
      <c r="B44" s="1595" t="str">
        <f>'预评函-3'!C2</f>
        <v>(分摊)土地面积</v>
      </c>
    </row>
    <row r="45" spans="1:2" s="1596" customFormat="1">
      <c r="A45" s="1594" t="s">
        <v>1245</v>
      </c>
      <c r="B45" s="1595">
        <f>'预评函-3'!C4</f>
        <v>8515.35</v>
      </c>
    </row>
    <row r="46" spans="1:2" s="1596" customFormat="1">
      <c r="A46" s="1594" t="s">
        <v>1271</v>
      </c>
      <c r="B46" s="1595" t="str">
        <f>'预评函-3'!D2</f>
        <v>出让国有建设用地使用权价值</v>
      </c>
    </row>
    <row r="47" spans="1:2" s="1596" customFormat="1">
      <c r="A47" s="1594" t="s">
        <v>1246</v>
      </c>
      <c r="B47" s="1595">
        <f ca="1">'预评函-3'!D4</f>
        <v>5111</v>
      </c>
    </row>
    <row r="48" spans="1:2" s="1596" customFormat="1">
      <c r="A48" s="1594" t="s">
        <v>1247</v>
      </c>
      <c r="B48" s="1595">
        <f ca="1">'预评函-3'!E4</f>
        <v>7008</v>
      </c>
    </row>
    <row r="49" spans="1:2" s="1596" customFormat="1">
      <c r="A49" s="1594" t="s">
        <v>1248</v>
      </c>
      <c r="B49" s="1595" t="str">
        <f ca="1">'预评函-3'!D5</f>
        <v>伍仟壹佰壹拾壹万元整</v>
      </c>
    </row>
    <row r="50" spans="1:2" s="1596" customFormat="1">
      <c r="A50" s="1594" t="s">
        <v>1272</v>
      </c>
      <c r="B50" s="1595" t="str">
        <f>'预评函-3'!F2</f>
        <v>在建建筑物价值</v>
      </c>
    </row>
    <row r="51" spans="1:2" s="1596" customFormat="1">
      <c r="A51" s="1594" t="s">
        <v>1249</v>
      </c>
      <c r="B51" s="1595">
        <f ca="1">'预评函-3'!F4</f>
        <v>1047</v>
      </c>
    </row>
    <row r="52" spans="1:2" s="1596" customFormat="1">
      <c r="A52" s="1594" t="s">
        <v>1250</v>
      </c>
      <c r="B52" s="1595">
        <f ca="1">'预评函-3'!G4</f>
        <v>1435</v>
      </c>
    </row>
    <row r="53" spans="1:2" s="1596" customFormat="1">
      <c r="A53" s="1594" t="s">
        <v>1278</v>
      </c>
      <c r="B53" s="1595" t="str">
        <f ca="1">'预评函-3'!F5</f>
        <v>壹仟零肆拾柒万元整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3068</v>
      </c>
      <c r="C17" s="2018"/>
    </row>
    <row r="18" spans="1:3">
      <c r="A18" s="2017" t="s">
        <v>1766</v>
      </c>
      <c r="B18" s="2017" t="s">
        <v>3092</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为估价委托人在向北京银行双秀支行办理贷款手续过程中，确定房地产抵押贷款额度提供参考依据而评估房地产抵押价值。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仁通商贸有限公司拟使用北京市丰台区刘庄子119号1幢等18幢楼房地产作为抵押担保物，向北京银行双秀支行办理贷款手续。北京银行双秀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4日，估价对象规划用途为工业用地/工交土地取得方式为出让，出让国有建设用地使用权剩余土地使用年限为XX年(多用途剩余年限尾数不同时，可只体现小数点后一位)，假定未设立法定优先受偿款下的房地产市场价值。</v>
      </c>
    </row>
    <row r="54" spans="1:4">
      <c r="A54" s="3038"/>
      <c r="B54" s="2025" t="s">
        <v>864</v>
      </c>
      <c r="C54" s="2022" t="s">
        <v>1281</v>
      </c>
    </row>
    <row r="55" spans="1:4">
      <c r="A55" s="3038"/>
      <c r="B55" s="2025" t="s">
        <v>865</v>
      </c>
      <c r="C55" s="2022" t="s">
        <v>1282</v>
      </c>
    </row>
    <row r="56" spans="1:4">
      <c r="A56" s="3038"/>
      <c r="B56" s="2025" t="s">
        <v>866</v>
      </c>
      <c r="C56" s="2022" t="s">
        <v>1286</v>
      </c>
    </row>
    <row r="57" spans="1:4">
      <c r="A57" s="303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9" t="str">
        <f>IF(B10="北京市","北京市",C10)&amp;F10&amp;IF(结果表!G1="在建","出让国有建设用地使用权及在建建筑物",IF(结果表!G1="土地","出让国有建设用地使用权",))&amp;B9&amp;"预评估"</f>
        <v>北京市丰台区刘庄子119号1幢等18幢楼房地产抵押价值预评估</v>
      </c>
      <c r="C1" s="3040"/>
      <c r="D1" s="3040"/>
      <c r="E1" s="3040"/>
      <c r="F1" s="3040"/>
      <c r="G1" s="3040"/>
      <c r="H1" s="3040"/>
      <c r="I1" s="304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北京市丰台区刘庄子119号1幢等18幢楼房地产抵押价值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北京市丰台区刘庄子119号1幢等18幢楼房地产</v>
      </c>
    </row>
    <row r="3" spans="1:19" ht="18" customHeight="1">
      <c r="A3" s="2038" t="s">
        <v>1777</v>
      </c>
      <c r="B3" s="2039">
        <v>43224</v>
      </c>
      <c r="C3" s="2040" t="s">
        <v>1778</v>
      </c>
      <c r="D3" s="2039">
        <f>B3:B4</f>
        <v>43224</v>
      </c>
      <c r="E3" s="2029"/>
      <c r="F3" s="2029"/>
      <c r="G3" s="2029"/>
      <c r="H3" s="2029"/>
      <c r="I3" s="2029"/>
      <c r="J3" s="2029"/>
      <c r="K3" s="2030"/>
      <c r="L3" s="2031"/>
      <c r="M3" s="2031"/>
      <c r="N3" s="2032"/>
      <c r="O3" s="2033"/>
      <c r="P3" s="2032"/>
      <c r="Q3" s="2032"/>
      <c r="R3" s="2032"/>
      <c r="S3" s="2034"/>
    </row>
    <row r="4" spans="1:19" ht="18" customHeight="1" thickBot="1">
      <c r="A4" s="2041" t="s">
        <v>1779</v>
      </c>
      <c r="B4" s="2042" t="s">
        <v>3044</v>
      </c>
      <c r="C4" s="1040">
        <f ca="1">SUMIF(注册房地产估价师,B4,估价师及机构信息!B3:B24)</f>
        <v>1120140022</v>
      </c>
      <c r="D4" s="2042" t="s">
        <v>3045</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55"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61" t="s">
        <v>3074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北京富仁通商贸有限公司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3047</v>
      </c>
      <c r="C8" s="2057"/>
      <c r="D8" s="3042" t="s">
        <v>1784</v>
      </c>
      <c r="E8" s="2058" t="s">
        <v>3052</v>
      </c>
      <c r="F8" s="2059"/>
      <c r="G8" s="2029"/>
      <c r="H8" s="2029"/>
      <c r="I8" s="2029"/>
      <c r="J8" s="2045"/>
      <c r="K8" s="2046"/>
      <c r="L8" s="2031"/>
      <c r="M8" s="2031"/>
      <c r="N8" s="2032"/>
      <c r="O8" s="2033"/>
      <c r="P8" s="2032"/>
      <c r="Q8" s="2032"/>
      <c r="R8" s="2032"/>
    </row>
    <row r="9" spans="1:19" ht="18" customHeight="1" thickBot="1">
      <c r="A9" s="2043" t="s">
        <v>1785</v>
      </c>
      <c r="B9" s="2060" t="s">
        <v>3048</v>
      </c>
      <c r="C9" s="2061"/>
      <c r="D9" s="3043"/>
      <c r="E9" s="2060"/>
      <c r="F9" s="2062"/>
      <c r="G9" s="2063"/>
      <c r="H9" s="2063"/>
      <c r="I9" s="2063"/>
      <c r="J9" s="2045"/>
      <c r="K9" s="2055"/>
      <c r="L9" s="2031"/>
      <c r="M9" s="2031"/>
      <c r="N9" s="2032"/>
      <c r="O9" s="2033"/>
      <c r="P9" s="2032"/>
      <c r="Q9" s="2032"/>
      <c r="R9" s="2032"/>
    </row>
    <row r="10" spans="1:19" ht="18" customHeight="1" thickTop="1">
      <c r="A10" s="2064" t="s">
        <v>1786</v>
      </c>
      <c r="B10" s="2065" t="s">
        <v>3049</v>
      </c>
      <c r="C10" s="2066"/>
      <c r="D10" s="2049"/>
      <c r="E10" s="2067" t="s">
        <v>1787</v>
      </c>
      <c r="F10" s="2068" t="s">
        <v>3053</v>
      </c>
      <c r="G10" s="2069"/>
      <c r="H10" s="2070"/>
      <c r="I10" s="2049"/>
      <c r="J10" s="2045"/>
      <c r="K10" s="2055"/>
      <c r="L10" s="2031"/>
      <c r="M10" s="2031"/>
      <c r="N10" s="2032"/>
      <c r="O10" s="2033"/>
      <c r="P10" s="2032"/>
      <c r="Q10" s="2032"/>
      <c r="R10" s="2032"/>
    </row>
    <row r="11" spans="1:19" ht="18" customHeight="1">
      <c r="A11" s="2071" t="s">
        <v>1788</v>
      </c>
      <c r="B11" s="2072" t="s">
        <v>3050</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3051</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55729</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34.26</v>
      </c>
      <c r="J15" s="2045"/>
      <c r="K15" s="2084"/>
      <c r="L15" s="2085"/>
      <c r="M15" s="2085"/>
      <c r="N15" s="2086"/>
      <c r="O15" s="2085"/>
      <c r="P15" s="2086"/>
      <c r="Q15" s="2032"/>
      <c r="R15" s="2032"/>
    </row>
    <row r="16" spans="1:19" ht="30.75" customHeight="1">
      <c r="A16" s="2067" t="s">
        <v>1800</v>
      </c>
      <c r="B16" s="3049" t="s">
        <v>3054</v>
      </c>
      <c r="C16" s="3050"/>
      <c r="D16" s="3051"/>
      <c r="E16" s="2087" t="s">
        <v>1801</v>
      </c>
      <c r="F16" s="3052">
        <v>34.26</v>
      </c>
      <c r="G16" s="3053"/>
      <c r="H16" s="3053"/>
      <c r="I16" s="3054"/>
      <c r="J16" s="2032"/>
      <c r="K16" s="2084"/>
      <c r="L16" s="2085"/>
      <c r="M16" s="2085"/>
      <c r="N16" s="2086"/>
      <c r="O16" s="2085"/>
      <c r="P16" s="2086"/>
      <c r="Q16" s="2032"/>
      <c r="R16" s="2032"/>
    </row>
    <row r="17" spans="1:22" ht="18" customHeight="1">
      <c r="A17" s="2088" t="s">
        <v>1802</v>
      </c>
      <c r="B17" s="2038" t="s">
        <v>1803</v>
      </c>
      <c r="C17" s="1057">
        <f>'数据-汇总表'!E3</f>
        <v>7293.6999999999989</v>
      </c>
      <c r="D17" s="2089" t="s">
        <v>1804</v>
      </c>
      <c r="E17" s="3055" t="s">
        <v>3055</v>
      </c>
      <c r="F17" s="3056"/>
      <c r="G17" s="3056"/>
      <c r="H17" s="3056"/>
      <c r="I17" s="3057"/>
      <c r="J17" s="2032"/>
      <c r="K17" s="2090"/>
      <c r="L17" s="2085"/>
      <c r="M17" s="2085"/>
      <c r="N17" s="2086"/>
      <c r="O17" s="2085"/>
      <c r="P17" s="2086"/>
      <c r="Q17" s="2032"/>
      <c r="R17" s="2032"/>
      <c r="S17" s="2032"/>
      <c r="T17" s="2032"/>
      <c r="U17" s="2032"/>
      <c r="V17" s="2032"/>
    </row>
    <row r="18" spans="1:22" ht="36" customHeight="1" thickBot="1">
      <c r="A18" s="2091" t="s">
        <v>1805</v>
      </c>
      <c r="B18" s="2041" t="s">
        <v>1806</v>
      </c>
      <c r="C18" s="1447">
        <f>'数据-汇总表'!D3</f>
        <v>8515.35</v>
      </c>
      <c r="D18" s="2092" t="s">
        <v>1804</v>
      </c>
      <c r="E18" s="3058" t="s">
        <v>1807</v>
      </c>
      <c r="F18" s="3059"/>
      <c r="G18" s="3059"/>
      <c r="H18" s="3059"/>
      <c r="I18" s="3060"/>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3056</v>
      </c>
      <c r="D19" s="2094" t="s">
        <v>1810</v>
      </c>
      <c r="E19" s="2095" t="s">
        <v>3056</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3045" t="s">
        <v>1812</v>
      </c>
      <c r="C20" s="3046"/>
      <c r="D20" s="3047" t="s">
        <v>1813</v>
      </c>
      <c r="E20" s="3048"/>
      <c r="F20" s="2099" t="s">
        <v>1814</v>
      </c>
      <c r="G20" s="2045"/>
      <c r="H20" s="2045"/>
      <c r="I20" s="2045"/>
      <c r="J20" s="2045"/>
      <c r="K20" s="3044"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3057</v>
      </c>
      <c r="C21" s="2101" t="s">
        <v>1816</v>
      </c>
      <c r="D21" s="2102"/>
      <c r="E21" s="2103" t="s">
        <v>70</v>
      </c>
      <c r="F21" s="2104"/>
      <c r="G21" s="2045"/>
      <c r="H21" s="2045"/>
      <c r="I21" s="2045"/>
      <c r="J21" s="2045"/>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70</v>
      </c>
      <c r="C22" s="2101"/>
      <c r="D22" s="2029"/>
      <c r="E22" s="2029"/>
      <c r="F22" s="2106"/>
      <c r="G22" s="2045"/>
      <c r="H22" s="2045"/>
      <c r="I22" s="2045"/>
      <c r="J22" s="2045"/>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62" t="s">
        <v>1823</v>
      </c>
      <c r="B27" s="2064" t="s">
        <v>1824</v>
      </c>
      <c r="C27" s="2121" t="s">
        <v>3082</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2"/>
      <c r="B28" s="2038" t="s">
        <v>1825</v>
      </c>
      <c r="C28" s="2123" t="s">
        <v>3083</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2"/>
      <c r="B29" s="2038" t="s">
        <v>1826</v>
      </c>
      <c r="C29" s="2126" t="s">
        <v>3056</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3"/>
      <c r="B30" s="2038" t="s">
        <v>1827</v>
      </c>
      <c r="C30" s="3064"/>
      <c r="D30" s="3065"/>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6" t="s">
        <v>1828</v>
      </c>
      <c r="B31" s="2128" t="s">
        <v>3081</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67"/>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67"/>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3076</v>
      </c>
      <c r="C34" s="2135" t="s">
        <v>3077</v>
      </c>
      <c r="D34" s="2135" t="s">
        <v>3078</v>
      </c>
      <c r="E34" s="2135" t="s">
        <v>3079</v>
      </c>
      <c r="F34" s="2135" t="s">
        <v>3080</v>
      </c>
      <c r="G34" s="2135"/>
      <c r="H34" s="2135"/>
      <c r="I34" s="2045"/>
      <c r="J34" s="2045"/>
      <c r="K34" s="1798">
        <f>COUNTIF(B34:H34,"——")</f>
        <v>0</v>
      </c>
      <c r="L34" s="2076" t="s">
        <v>1830</v>
      </c>
      <c r="M34" s="2076" t="s">
        <v>1831</v>
      </c>
      <c r="N34" s="2076" t="s">
        <v>1832</v>
      </c>
      <c r="O34" s="2076" t="s">
        <v>1833</v>
      </c>
      <c r="P34" s="2076" t="s">
        <v>1834</v>
      </c>
      <c r="Q34" s="2076" t="s">
        <v>1835</v>
      </c>
      <c r="R34" s="2076" t="s">
        <v>1836</v>
      </c>
      <c r="S34" s="3061" t="s">
        <v>1837</v>
      </c>
      <c r="T34" s="2136" t="str">
        <f>NUMBERSTRING(7-K34,1)&amp;"通"</f>
        <v>七通</v>
      </c>
      <c r="U34" s="2032"/>
      <c r="V34" s="2032"/>
    </row>
    <row r="35" spans="1:22" ht="18" customHeight="1">
      <c r="A35" s="2137"/>
      <c r="B35" s="3068" t="s">
        <v>1838</v>
      </c>
      <c r="C35" s="3068"/>
      <c r="D35" s="3068"/>
      <c r="E35" s="3068"/>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1"/>
      <c r="T35" s="48" t="str">
        <f>IF(T34="一通",L35,IF(T34="二通",M35,IF(T34="三通",N35,IF(T34="四通",O35,IF(T34="五通",P35,IF(T34="六通",Q35,R35))))))</f>
        <v>通路、通电、通讯、通上水、通下水、、</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c r="C37" s="2142"/>
      <c r="D37" s="2142"/>
      <c r="E37" s="2142" t="s">
        <v>523</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c r="C38" s="2144"/>
      <c r="D38" s="2144"/>
      <c r="E38" s="2144" t="s">
        <v>229</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1870</v>
      </c>
      <c r="AZ2" s="1273"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9319.99</v>
      </c>
      <c r="B3" s="14">
        <f>IF(C3="否",G5-AT5,G5)</f>
        <v>7982.9</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7982.9</v>
      </c>
      <c r="H5" s="16">
        <f t="shared" ref="H5:AT5" si="0">SUM(H13:H656)</f>
        <v>7982.9</v>
      </c>
      <c r="I5" s="16">
        <f t="shared" si="0"/>
        <v>7982.9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7293.6999999999989</v>
      </c>
      <c r="BA5" s="18">
        <f t="shared" si="1"/>
        <v>7293.6999999999989</v>
      </c>
      <c r="BB5" s="18">
        <f t="shared" si="1"/>
        <v>7293.6999999999989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9319.99</v>
      </c>
      <c r="F6" s="16" t="s">
        <v>1</v>
      </c>
      <c r="G6" s="16" t="s">
        <v>2</v>
      </c>
      <c r="H6" s="20">
        <f>SUMIF(I$12:AB$12,"总值",I6:AB6)</f>
        <v>9319.99</v>
      </c>
      <c r="I6" s="16">
        <f t="shared" ref="I6:AB6" si="2">ROUND($A$3*I5/$B$3,2)</f>
        <v>9319.99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8515.35</v>
      </c>
      <c r="AZ6" s="16" t="s">
        <v>3</v>
      </c>
      <c r="BA6" s="16">
        <f>ROUND($AY$6*BA5/$AZ$5,2)</f>
        <v>8515.35</v>
      </c>
      <c r="BB6" s="16">
        <f>ROUND($AY$6*BB5/$AZ$5,2)</f>
        <v>8515.35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4" t="s">
        <v>1889</v>
      </c>
      <c r="AD8" s="2190"/>
      <c r="AE8" s="2182"/>
      <c r="AF8" s="1821"/>
      <c r="AG8" s="1821"/>
      <c r="AH8" s="1821"/>
      <c r="AI8" s="1821"/>
      <c r="AJ8" s="1821"/>
      <c r="AK8" s="1821"/>
      <c r="AL8" s="1821"/>
      <c r="AM8" s="1821"/>
      <c r="AN8" s="1821"/>
      <c r="AO8" s="1821"/>
      <c r="AP8" s="1821"/>
      <c r="AQ8" s="1821"/>
      <c r="AR8" s="1821"/>
      <c r="AS8" s="1821"/>
      <c r="AT8" s="1295" t="s">
        <v>1890</v>
      </c>
      <c r="AU8" s="2184" t="s">
        <v>1891</v>
      </c>
      <c r="AV8" s="1295"/>
      <c r="AW8" s="2167"/>
      <c r="AX8" s="1295"/>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1894</v>
      </c>
      <c r="I9" s="2193" t="s">
        <v>3059</v>
      </c>
      <c r="J9" s="984"/>
      <c r="K9" s="2193"/>
      <c r="L9" s="984"/>
      <c r="M9" s="2193"/>
      <c r="N9" s="984"/>
      <c r="O9" s="2193"/>
      <c r="P9" s="984"/>
      <c r="Q9" s="2193"/>
      <c r="R9" s="984"/>
      <c r="S9" s="2193"/>
      <c r="T9" s="984"/>
      <c r="U9" s="2193"/>
      <c r="V9" s="984"/>
      <c r="W9" s="2193"/>
      <c r="X9" s="2194"/>
      <c r="Y9" s="2193"/>
      <c r="Z9" s="984"/>
      <c r="AA9" s="2193"/>
      <c r="AB9" s="984"/>
      <c r="AC9" s="2185"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5"/>
      <c r="AT9" s="2184"/>
      <c r="AU9" s="2184" t="s">
        <v>1897</v>
      </c>
      <c r="AV9" s="1295"/>
      <c r="AW9" s="2167"/>
      <c r="AX9" s="1295"/>
      <c r="AY9" s="28"/>
      <c r="AZ9" s="28" t="s">
        <v>1887</v>
      </c>
      <c r="BA9" s="2196" t="s">
        <v>1898</v>
      </c>
      <c r="BB9" s="2197"/>
      <c r="BC9" s="1341"/>
      <c r="BD9" s="1341"/>
      <c r="BE9" s="1341"/>
      <c r="BF9" s="1341"/>
      <c r="BG9" s="1341"/>
      <c r="BH9" s="1341"/>
      <c r="BI9" s="1341"/>
      <c r="BJ9" s="1341"/>
      <c r="BK9" s="2198"/>
      <c r="BL9" s="15" t="s">
        <v>1899</v>
      </c>
      <c r="BM9" s="1821"/>
      <c r="BN9" s="2187"/>
      <c r="BO9" s="1821"/>
      <c r="BP9" s="1821"/>
      <c r="BQ9" s="1821"/>
      <c r="BR9" s="1821"/>
      <c r="BS9" s="1821"/>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1900</v>
      </c>
      <c r="AE10" s="2200"/>
      <c r="AF10" s="15" t="s">
        <v>1900</v>
      </c>
      <c r="AG10" s="2200"/>
      <c r="AH10" s="15" t="s">
        <v>1901</v>
      </c>
      <c r="AI10" s="2200"/>
      <c r="AJ10" s="15" t="s">
        <v>1901</v>
      </c>
      <c r="AK10" s="2200"/>
      <c r="AL10" s="15" t="s">
        <v>1902</v>
      </c>
      <c r="AM10" s="1301"/>
      <c r="AN10" s="15" t="s">
        <v>1902</v>
      </c>
      <c r="AO10" s="1301"/>
      <c r="AP10" s="15" t="s">
        <v>1903</v>
      </c>
      <c r="AQ10" s="1301"/>
      <c r="AR10" s="15" t="s">
        <v>1903</v>
      </c>
      <c r="AS10" s="1301"/>
      <c r="AT10" s="2184"/>
      <c r="AU10" s="2184"/>
      <c r="AV10" s="1295"/>
      <c r="AW10" s="2167"/>
      <c r="AX10" s="1295"/>
      <c r="AY10" s="28"/>
      <c r="AZ10" s="28"/>
      <c r="BA10" s="2201" t="s">
        <v>1894</v>
      </c>
      <c r="BB10" s="2202"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959" t="s">
        <v>3064</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2956">
        <v>1</v>
      </c>
      <c r="D13" s="2215" t="s">
        <v>3058</v>
      </c>
      <c r="E13" s="16">
        <f>IF($C$3="是",ROUND($A$3*G13/$B$3,2),ROUND($A$3*(G13-AT13)/$B$3,2))</f>
        <v>26.27</v>
      </c>
      <c r="F13" s="32"/>
      <c r="G13" s="33">
        <f>H13+AC13+AT13</f>
        <v>22.5</v>
      </c>
      <c r="H13" s="20">
        <f>SUMIF(I$12:AB$12,"总值",I13:AB13)</f>
        <v>22.5</v>
      </c>
      <c r="I13" s="2216">
        <v>22.5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9">
        <f>ROUND($AY$6*AZ13/$AZ$5,2)</f>
        <v>26.27</v>
      </c>
      <c r="AZ13" s="16">
        <f>BA13+BL13</f>
        <v>22.5</v>
      </c>
      <c r="BA13" s="16">
        <f>SUM(BB13:BK13)</f>
        <v>22.5</v>
      </c>
      <c r="BB13" s="16">
        <f>IF($D13="是",I13-J13,0)</f>
        <v>22.5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956">
        <v>2</v>
      </c>
      <c r="D14" s="2215" t="s">
        <v>3058</v>
      </c>
      <c r="E14" s="16">
        <f>IF($C$3="是",ROUND($A$3*G14/$B$3,2),ROUND($A$3*(G14-AT14)/$B$3,2))</f>
        <v>520.35</v>
      </c>
      <c r="F14" s="32"/>
      <c r="G14" s="33">
        <f>H14+AC14+AT14</f>
        <v>445.7</v>
      </c>
      <c r="H14" s="20">
        <f>SUMIF(I$12:AB$12,"总值",I14:AB14)</f>
        <v>445.7</v>
      </c>
      <c r="I14" s="2216">
        <v>445.7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2</v>
      </c>
      <c r="AY14" s="1809">
        <f>ROUND($AY$6*AZ14/$AZ$5,2)</f>
        <v>520.35</v>
      </c>
      <c r="AZ14" s="16">
        <f>BA14+BL14</f>
        <v>445.7</v>
      </c>
      <c r="BA14" s="16">
        <f>SUM(BB14:BK14)</f>
        <v>445.7</v>
      </c>
      <c r="BB14" s="16">
        <f>IF($D14="是",I14-J14,0)</f>
        <v>445.7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956">
        <v>3</v>
      </c>
      <c r="D15" s="2215" t="s">
        <v>3058</v>
      </c>
      <c r="E15" s="16">
        <f>IF($C$3="是",ROUND($A$3*G15/$B$3,2),ROUND($A$3*(G15-AT15)/$B$3,2))</f>
        <v>111.73</v>
      </c>
      <c r="F15" s="32"/>
      <c r="G15" s="33">
        <f>H15+AC15+AT15</f>
        <v>95.7</v>
      </c>
      <c r="H15" s="20">
        <f>SUMIF(I$12:AB$12,"总值",I15:AB15)</f>
        <v>95.7</v>
      </c>
      <c r="I15" s="2216">
        <v>95.7</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3</v>
      </c>
      <c r="AY15" s="1809">
        <f>ROUND($AY$6*AZ15/$AZ$5,2)</f>
        <v>111.73</v>
      </c>
      <c r="AZ15" s="16">
        <f>BA15+BL15</f>
        <v>95.7</v>
      </c>
      <c r="BA15" s="16">
        <f>SUM(BB15:BK15)</f>
        <v>95.7</v>
      </c>
      <c r="BB15" s="16">
        <f>IF($D15="是",I15-J15,0)</f>
        <v>95.7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956">
        <v>4</v>
      </c>
      <c r="D16" s="2215" t="s">
        <v>3058</v>
      </c>
      <c r="E16" s="16">
        <f>IF($C$3="是",ROUND($A$3*G16/$B$3,2),ROUND($A$3*(G16-AT16)/$B$3,2))</f>
        <v>790.86</v>
      </c>
      <c r="F16" s="32"/>
      <c r="G16" s="33">
        <f>H16+AC16+AT16</f>
        <v>677.4</v>
      </c>
      <c r="H16" s="20">
        <f>SUMIF(I$12:AB$12,"总值",I16:AB16)</f>
        <v>677.4</v>
      </c>
      <c r="I16" s="2216">
        <v>677.4</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4</v>
      </c>
      <c r="AY16" s="1809">
        <f>ROUND($AY$6*AZ16/$AZ$5,2)</f>
        <v>790.86</v>
      </c>
      <c r="AZ16" s="16">
        <f>BA16+BL16</f>
        <v>677.4</v>
      </c>
      <c r="BA16" s="16">
        <f>SUM(BB16:BK16)</f>
        <v>677.4</v>
      </c>
      <c r="BB16" s="16">
        <f>IF($D16="是",I16-J16,0)</f>
        <v>677.4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956">
        <v>5</v>
      </c>
      <c r="D17" s="2215" t="s">
        <v>3058</v>
      </c>
      <c r="E17" s="16">
        <f>IF($C$3="是",ROUND($A$3*G17/$B$3,2),ROUND($A$3*(G17-AT17)/$B$3,2))</f>
        <v>331.33</v>
      </c>
      <c r="F17" s="32"/>
      <c r="G17" s="33">
        <f>H17+AC17+AT17</f>
        <v>283.8</v>
      </c>
      <c r="H17" s="20">
        <f>SUMIF(I$12:AB$12,"总值",I17:AB17)</f>
        <v>283.8</v>
      </c>
      <c r="I17" s="2216">
        <v>283.8</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5</v>
      </c>
      <c r="AY17" s="1809">
        <f>ROUND($AY$6*AZ17/$AZ$5,2)</f>
        <v>331.33</v>
      </c>
      <c r="AZ17" s="16">
        <f>BA17+BL17</f>
        <v>283.8</v>
      </c>
      <c r="BA17" s="16">
        <f>SUM(BB17:BK17)</f>
        <v>283.8</v>
      </c>
      <c r="BB17" s="16">
        <f>IF($D17="是",I17-J17,0)</f>
        <v>283.8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6">
        <v>6</v>
      </c>
      <c r="D18" s="2220" t="s">
        <v>3058</v>
      </c>
      <c r="E18" s="35">
        <f t="shared" ref="E18:E112" si="7">IF($C$3="是",ROUND($A$3*G18/$B$3,2),ROUND($A$3*(G18-AT18)/$B$3,2))</f>
        <v>46.82</v>
      </c>
      <c r="F18" s="36"/>
      <c r="G18" s="37">
        <f t="shared" ref="G18:G109" si="8">H18+AC18+AT18</f>
        <v>40.1</v>
      </c>
      <c r="H18" s="38">
        <f t="shared" ref="H18:H109" si="9">SUMIF(I$12:AB$12,"总值",I18:AB18)</f>
        <v>40.1</v>
      </c>
      <c r="I18" s="39">
        <v>40.1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6</v>
      </c>
      <c r="AY18" s="42">
        <f t="shared" ref="AY18:AY109" si="14">ROUND($AY$6*AZ18/$AZ$5,2)</f>
        <v>46.82</v>
      </c>
      <c r="AZ18" s="35">
        <f t="shared" ref="AZ18:AZ109" si="15">BA18+BL18</f>
        <v>40.1</v>
      </c>
      <c r="BA18" s="35">
        <f t="shared" ref="BA18:BA109" si="16">SUM(BB18:BK18)</f>
        <v>40.1</v>
      </c>
      <c r="BB18" s="35">
        <f t="shared" ref="BB18:BB109" si="17">IF($D18="是",I18-J18,0)</f>
        <v>40.1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6">
        <v>7</v>
      </c>
      <c r="D19" s="2220" t="s">
        <v>3058</v>
      </c>
      <c r="E19" s="35">
        <f t="shared" si="7"/>
        <v>42.38</v>
      </c>
      <c r="F19" s="36"/>
      <c r="G19" s="37">
        <f t="shared" si="8"/>
        <v>36.299999999999997</v>
      </c>
      <c r="H19" s="38">
        <f t="shared" si="9"/>
        <v>36.299999999999997</v>
      </c>
      <c r="I19" s="39">
        <v>36.299999999999997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7</v>
      </c>
      <c r="AY19" s="42">
        <f t="shared" si="14"/>
        <v>42.38</v>
      </c>
      <c r="AZ19" s="35">
        <f t="shared" si="15"/>
        <v>36.299999999999997</v>
      </c>
      <c r="BA19" s="35">
        <f t="shared" si="16"/>
        <v>36.299999999999997</v>
      </c>
      <c r="BB19" s="35">
        <f t="shared" si="17"/>
        <v>36.299999999999997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6">
        <v>8</v>
      </c>
      <c r="D20" s="2220" t="s">
        <v>3058</v>
      </c>
      <c r="E20" s="35">
        <f t="shared" si="7"/>
        <v>87.33</v>
      </c>
      <c r="F20" s="36"/>
      <c r="G20" s="37">
        <f t="shared" si="8"/>
        <v>74.8</v>
      </c>
      <c r="H20" s="38">
        <f t="shared" si="9"/>
        <v>74.8</v>
      </c>
      <c r="I20" s="39">
        <v>74.8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8</v>
      </c>
      <c r="AY20" s="42">
        <f t="shared" si="14"/>
        <v>87.33</v>
      </c>
      <c r="AZ20" s="35">
        <f t="shared" si="15"/>
        <v>74.8</v>
      </c>
      <c r="BA20" s="35">
        <f t="shared" si="16"/>
        <v>74.8</v>
      </c>
      <c r="BB20" s="35">
        <f t="shared" si="17"/>
        <v>74.8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6">
        <v>9</v>
      </c>
      <c r="D21" s="2220" t="s">
        <v>3058</v>
      </c>
      <c r="E21" s="35">
        <f t="shared" si="7"/>
        <v>217.97</v>
      </c>
      <c r="F21" s="36"/>
      <c r="G21" s="37">
        <f t="shared" si="8"/>
        <v>186.7</v>
      </c>
      <c r="H21" s="38">
        <f t="shared" si="9"/>
        <v>186.7</v>
      </c>
      <c r="I21" s="39">
        <v>186.7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9</v>
      </c>
      <c r="AY21" s="42">
        <f t="shared" si="14"/>
        <v>217.97</v>
      </c>
      <c r="AZ21" s="35">
        <f t="shared" si="15"/>
        <v>186.7</v>
      </c>
      <c r="BA21" s="35">
        <f t="shared" si="16"/>
        <v>186.7</v>
      </c>
      <c r="BB21" s="35">
        <f t="shared" si="17"/>
        <v>186.7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6">
        <v>10</v>
      </c>
      <c r="D22" s="2220" t="s">
        <v>3058</v>
      </c>
      <c r="E22" s="35">
        <f t="shared" si="7"/>
        <v>2371.88</v>
      </c>
      <c r="F22" s="36"/>
      <c r="G22" s="37">
        <f t="shared" si="8"/>
        <v>2031.6</v>
      </c>
      <c r="H22" s="38">
        <f t="shared" si="9"/>
        <v>2031.6</v>
      </c>
      <c r="I22" s="39">
        <v>2031.6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10</v>
      </c>
      <c r="AY22" s="42">
        <f t="shared" si="14"/>
        <v>2371.88</v>
      </c>
      <c r="AZ22" s="35">
        <f t="shared" si="15"/>
        <v>2031.6</v>
      </c>
      <c r="BA22" s="35">
        <f t="shared" si="16"/>
        <v>2031.6</v>
      </c>
      <c r="BB22" s="35">
        <f t="shared" si="17"/>
        <v>2031.6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6">
        <v>11</v>
      </c>
      <c r="D23" s="2220" t="s">
        <v>3058</v>
      </c>
      <c r="E23" s="35">
        <f t="shared" si="7"/>
        <v>48.1</v>
      </c>
      <c r="F23" s="36"/>
      <c r="G23" s="37">
        <f t="shared" si="8"/>
        <v>41.2</v>
      </c>
      <c r="H23" s="38">
        <f t="shared" si="9"/>
        <v>41.2</v>
      </c>
      <c r="I23" s="39">
        <v>41.2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11</v>
      </c>
      <c r="AY23" s="42">
        <f t="shared" si="14"/>
        <v>48.1</v>
      </c>
      <c r="AZ23" s="35">
        <f t="shared" si="15"/>
        <v>41.2</v>
      </c>
      <c r="BA23" s="35">
        <f t="shared" si="16"/>
        <v>41.2</v>
      </c>
      <c r="BB23" s="35">
        <f t="shared" si="17"/>
        <v>41.2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6">
        <v>12</v>
      </c>
      <c r="D24" s="2220" t="s">
        <v>3058</v>
      </c>
      <c r="E24" s="35">
        <f t="shared" si="7"/>
        <v>96.2</v>
      </c>
      <c r="F24" s="36"/>
      <c r="G24" s="37">
        <f t="shared" si="8"/>
        <v>82.4</v>
      </c>
      <c r="H24" s="38">
        <f t="shared" si="9"/>
        <v>82.4</v>
      </c>
      <c r="I24" s="39">
        <v>82.4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12</v>
      </c>
      <c r="AY24" s="42">
        <f t="shared" si="14"/>
        <v>96.2</v>
      </c>
      <c r="AZ24" s="35">
        <f t="shared" si="15"/>
        <v>82.4</v>
      </c>
      <c r="BA24" s="35">
        <f t="shared" si="16"/>
        <v>82.4</v>
      </c>
      <c r="BB24" s="35">
        <f t="shared" si="17"/>
        <v>82.4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6">
        <v>13</v>
      </c>
      <c r="D25" s="2220" t="s">
        <v>3058</v>
      </c>
      <c r="E25" s="35">
        <f t="shared" si="7"/>
        <v>51.84</v>
      </c>
      <c r="F25" s="36"/>
      <c r="G25" s="37">
        <f t="shared" si="8"/>
        <v>44.4</v>
      </c>
      <c r="H25" s="38">
        <f t="shared" si="9"/>
        <v>44.4</v>
      </c>
      <c r="I25" s="39">
        <v>44.4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13</v>
      </c>
      <c r="AY25" s="42">
        <f t="shared" si="14"/>
        <v>51.84</v>
      </c>
      <c r="AZ25" s="35">
        <f t="shared" si="15"/>
        <v>44.4</v>
      </c>
      <c r="BA25" s="35">
        <f t="shared" si="16"/>
        <v>44.4</v>
      </c>
      <c r="BB25" s="35">
        <f t="shared" si="17"/>
        <v>44.4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6">
        <v>14</v>
      </c>
      <c r="D26" s="2220" t="s">
        <v>3058</v>
      </c>
      <c r="E26" s="35">
        <f t="shared" si="7"/>
        <v>988.4</v>
      </c>
      <c r="F26" s="36"/>
      <c r="G26" s="37">
        <f t="shared" si="8"/>
        <v>846.6</v>
      </c>
      <c r="H26" s="38">
        <f t="shared" si="9"/>
        <v>846.6</v>
      </c>
      <c r="I26" s="39">
        <v>846.6</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14</v>
      </c>
      <c r="AY26" s="42">
        <f t="shared" si="14"/>
        <v>988.4</v>
      </c>
      <c r="AZ26" s="35">
        <f t="shared" si="15"/>
        <v>846.6</v>
      </c>
      <c r="BA26" s="35">
        <f t="shared" si="16"/>
        <v>846.6</v>
      </c>
      <c r="BB26" s="35">
        <f t="shared" si="17"/>
        <v>846.6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63">
        <v>15</v>
      </c>
      <c r="D27" s="2220" t="s">
        <v>3056</v>
      </c>
      <c r="E27" s="35">
        <f t="shared" si="7"/>
        <v>553.28</v>
      </c>
      <c r="F27" s="36"/>
      <c r="G27" s="37">
        <f t="shared" si="8"/>
        <v>473.9</v>
      </c>
      <c r="H27" s="38">
        <f t="shared" si="9"/>
        <v>473.9</v>
      </c>
      <c r="I27" s="39">
        <v>473.9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63">
        <v>16</v>
      </c>
      <c r="D28" s="2220" t="s">
        <v>3056</v>
      </c>
      <c r="E28" s="35">
        <f t="shared" si="7"/>
        <v>113.95</v>
      </c>
      <c r="F28" s="36"/>
      <c r="G28" s="37">
        <f t="shared" si="8"/>
        <v>97.6</v>
      </c>
      <c r="H28" s="38">
        <f t="shared" si="9"/>
        <v>97.6</v>
      </c>
      <c r="I28" s="39">
        <v>97.6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63">
        <v>17</v>
      </c>
      <c r="D29" s="2220" t="s">
        <v>3056</v>
      </c>
      <c r="E29" s="35">
        <f t="shared" si="7"/>
        <v>137.41</v>
      </c>
      <c r="F29" s="36"/>
      <c r="G29" s="37">
        <f t="shared" si="8"/>
        <v>117.7</v>
      </c>
      <c r="H29" s="38">
        <f t="shared" si="9"/>
        <v>117.7</v>
      </c>
      <c r="I29" s="39">
        <v>117.7</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6">
        <v>18</v>
      </c>
      <c r="D30" s="2220" t="s">
        <v>3058</v>
      </c>
      <c r="E30" s="35">
        <f t="shared" si="7"/>
        <v>2696.44</v>
      </c>
      <c r="F30" s="36"/>
      <c r="G30" s="37">
        <f t="shared" si="8"/>
        <v>2309.6</v>
      </c>
      <c r="H30" s="38">
        <f t="shared" si="9"/>
        <v>2309.6</v>
      </c>
      <c r="I30" s="39">
        <v>2309.6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18</v>
      </c>
      <c r="AY30" s="42">
        <f t="shared" si="14"/>
        <v>2696.44</v>
      </c>
      <c r="AZ30" s="35">
        <f t="shared" si="15"/>
        <v>2309.6</v>
      </c>
      <c r="BA30" s="35">
        <f t="shared" si="16"/>
        <v>2309.6</v>
      </c>
      <c r="BB30" s="35">
        <f t="shared" si="17"/>
        <v>2309.6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60" t="s">
        <v>3065</v>
      </c>
      <c r="D31" s="2220" t="s">
        <v>3058</v>
      </c>
      <c r="E31" s="35">
        <f t="shared" si="7"/>
        <v>87.45</v>
      </c>
      <c r="F31" s="36"/>
      <c r="G31" s="37">
        <f t="shared" si="8"/>
        <v>74.900000000000006</v>
      </c>
      <c r="H31" s="38">
        <f t="shared" si="9"/>
        <v>74.900000000000006</v>
      </c>
      <c r="I31" s="39">
        <v>74.900000000000006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t="str">
        <f t="shared" si="13"/>
        <v>18楼上房</v>
      </c>
      <c r="AY31" s="42">
        <f t="shared" si="14"/>
        <v>87.45</v>
      </c>
      <c r="AZ31" s="35">
        <f t="shared" si="15"/>
        <v>74.900000000000006</v>
      </c>
      <c r="BA31" s="35">
        <f t="shared" si="16"/>
        <v>74.900000000000006</v>
      </c>
      <c r="BB31" s="35">
        <f t="shared" si="17"/>
        <v>74.900000000000006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36" sqref="E3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5"/>
      <c r="C1" s="1395"/>
      <c r="D1" s="1395"/>
      <c r="E1" s="1395"/>
      <c r="F1" s="1395"/>
      <c r="G1" s="1395"/>
      <c r="H1" s="1395"/>
      <c r="I1" s="1395"/>
      <c r="J1" s="1395"/>
      <c r="K1" s="1395"/>
      <c r="L1" s="1395"/>
      <c r="M1" s="1395"/>
      <c r="N1" s="1395"/>
      <c r="O1" s="1395"/>
      <c r="P1" s="1395"/>
    </row>
    <row r="2" spans="1:16" ht="15">
      <c r="A2" s="3080" t="s">
        <v>1934</v>
      </c>
      <c r="B2" s="3080"/>
      <c r="C2" s="3080"/>
      <c r="D2" s="970" t="s">
        <v>1910</v>
      </c>
      <c r="E2" s="2229" t="s">
        <v>1911</v>
      </c>
      <c r="F2" s="1395"/>
      <c r="G2" s="2230"/>
      <c r="H2" s="2231"/>
      <c r="I2" s="2232" t="s">
        <v>1935</v>
      </c>
      <c r="J2" s="1395"/>
      <c r="K2" s="1395"/>
      <c r="L2" s="1395"/>
      <c r="M2" s="1395"/>
      <c r="N2" s="1430"/>
      <c r="O2" s="1395"/>
      <c r="P2" s="1395"/>
    </row>
    <row r="3" spans="1:16" ht="15.75" thickBot="1">
      <c r="A3" s="3081" t="s">
        <v>1908</v>
      </c>
      <c r="B3" s="3081"/>
      <c r="C3" s="3081"/>
      <c r="D3" s="46">
        <f>'数据-基础表'!AY6</f>
        <v>8515.35</v>
      </c>
      <c r="E3" s="46">
        <f>'数据-基础表'!AZ5</f>
        <v>7293.6999999999989</v>
      </c>
      <c r="F3" s="1395"/>
      <c r="G3" s="1402"/>
      <c r="H3" s="1250" t="s">
        <v>1909</v>
      </c>
      <c r="I3" s="55">
        <f>ROUND('数据-基础表'!B3/'数据-基础表'!A3,2)</f>
        <v>0.86</v>
      </c>
      <c r="J3" s="1395"/>
      <c r="K3" s="1395"/>
      <c r="L3" s="1395"/>
      <c r="M3" s="1395"/>
      <c r="N3" s="1430"/>
      <c r="O3" s="1395"/>
      <c r="P3" s="1395"/>
    </row>
    <row r="4" spans="1:16" ht="15">
      <c r="A4" s="3082"/>
      <c r="B4" s="3083"/>
      <c r="C4" s="3084"/>
      <c r="D4" s="2233" t="s">
        <v>1910</v>
      </c>
      <c r="E4" s="2234" t="s">
        <v>1911</v>
      </c>
      <c r="F4" s="1395"/>
      <c r="G4" s="2235" t="s">
        <v>1936</v>
      </c>
      <c r="H4" s="1250" t="s">
        <v>1916</v>
      </c>
      <c r="I4" s="55">
        <f>ROUND(SUMIF('数据-基础表'!I9:AS9,"地上",'数据-基础表'!I5:AS5)/'数据-基础表'!A3,2)</f>
        <v>0.86</v>
      </c>
      <c r="J4" s="1395"/>
      <c r="K4" s="1395"/>
      <c r="L4" s="1395"/>
      <c r="M4" s="1395"/>
      <c r="N4" s="1430"/>
      <c r="O4" s="1395"/>
      <c r="P4" s="1395"/>
    </row>
    <row r="5" spans="1:16">
      <c r="A5" s="47" t="s">
        <v>1912</v>
      </c>
      <c r="B5" s="3085" t="s">
        <v>1913</v>
      </c>
      <c r="C5" s="3085"/>
      <c r="D5" s="48">
        <f>ROUND($D$3*E5/$E$3,2)</f>
        <v>0</v>
      </c>
      <c r="E5" s="49">
        <f>SUMIF('数据-基础表'!$11:$11,"住宅",'数据-基础表'!$5:$5)</f>
        <v>0</v>
      </c>
      <c r="F5" s="1395"/>
      <c r="G5" s="1402"/>
      <c r="H5" s="1250" t="s">
        <v>1909</v>
      </c>
      <c r="I5" s="55">
        <f>ROUND(E31/D31,2)</f>
        <v>0.86</v>
      </c>
      <c r="J5" s="1395"/>
      <c r="K5" s="1395"/>
      <c r="L5" s="1395"/>
      <c r="M5" s="1395"/>
      <c r="N5" s="1395"/>
      <c r="O5" s="1395"/>
      <c r="P5" s="1395"/>
    </row>
    <row r="6" spans="1:16" ht="15" thickBot="1">
      <c r="A6" s="2236"/>
      <c r="B6" s="3085" t="s">
        <v>1914</v>
      </c>
      <c r="C6" s="3085"/>
      <c r="D6" s="48">
        <f>ROUND($D$3*E6/$E$3,2)</f>
        <v>8515.35</v>
      </c>
      <c r="E6" s="49">
        <f>E3-E5</f>
        <v>7293.6999999999989</v>
      </c>
      <c r="F6" s="1395"/>
      <c r="G6" s="2237" t="s">
        <v>1915</v>
      </c>
      <c r="H6" s="1402" t="s">
        <v>1916</v>
      </c>
      <c r="I6" s="942">
        <f>ROUND(F31/D31,2)</f>
        <v>0.86</v>
      </c>
      <c r="J6" s="1395"/>
      <c r="K6" s="1395"/>
      <c r="L6" s="1395"/>
      <c r="M6" s="1395"/>
      <c r="N6" s="1395"/>
      <c r="O6" s="1395"/>
      <c r="P6" s="1395"/>
    </row>
    <row r="7" spans="1:16" ht="15">
      <c r="A7" s="3077"/>
      <c r="B7" s="3078"/>
      <c r="C7" s="3079"/>
      <c r="D7" s="2233" t="s">
        <v>1910</v>
      </c>
      <c r="E7" s="2238" t="s">
        <v>1917</v>
      </c>
      <c r="F7" s="1395"/>
      <c r="G7" s="2230" t="s">
        <v>1918</v>
      </c>
      <c r="H7" s="64"/>
      <c r="I7" s="420"/>
      <c r="J7" s="1395"/>
      <c r="K7" s="1395"/>
      <c r="L7" s="1395"/>
      <c r="M7" s="1395"/>
      <c r="N7" s="1395"/>
      <c r="O7" s="1395"/>
      <c r="P7" s="1395"/>
    </row>
    <row r="8" spans="1:16">
      <c r="A8" s="47" t="s">
        <v>1919</v>
      </c>
      <c r="B8" s="50" t="s">
        <v>1920</v>
      </c>
      <c r="C8" s="48" t="s">
        <v>1921</v>
      </c>
      <c r="D8" s="48">
        <f t="shared" ref="D8:D15" si="0">ROUND($D$3*E8/$E$3,2)</f>
        <v>8515.35</v>
      </c>
      <c r="E8" s="51">
        <f>SUMIF('数据-基础表'!BB10:BK10,"地上",'数据-基础表'!BB5:BK5)</f>
        <v>7293.6999999999989</v>
      </c>
      <c r="F8" s="1395"/>
      <c r="G8" s="2239"/>
      <c r="H8" s="2239"/>
      <c r="I8" s="1395"/>
      <c r="J8" s="1395"/>
      <c r="K8" s="1395"/>
      <c r="L8" s="1395"/>
      <c r="M8" s="1395"/>
      <c r="N8" s="1395"/>
      <c r="O8" s="1395"/>
      <c r="P8" s="1395"/>
    </row>
    <row r="9" spans="1:16">
      <c r="A9" s="2240"/>
      <c r="B9" s="2241"/>
      <c r="C9" s="48" t="s">
        <v>1922</v>
      </c>
      <c r="D9" s="48">
        <f t="shared" si="0"/>
        <v>0</v>
      </c>
      <c r="E9" s="52">
        <v>0</v>
      </c>
      <c r="F9" s="1395"/>
      <c r="G9" s="2239"/>
      <c r="H9" s="2239"/>
      <c r="I9" s="1395"/>
      <c r="J9" s="1395"/>
      <c r="K9" s="1395"/>
      <c r="L9" s="1395"/>
      <c r="M9" s="1395"/>
      <c r="N9" s="1395"/>
      <c r="O9" s="1395"/>
      <c r="P9" s="1395"/>
    </row>
    <row r="10" spans="1:16">
      <c r="A10" s="2240"/>
      <c r="B10" s="2241"/>
      <c r="C10" s="48" t="s">
        <v>1931</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1923</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1924</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1925</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1937</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1932</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1926</v>
      </c>
      <c r="D16" s="50">
        <f>SUM(D8:D15)</f>
        <v>8515.35</v>
      </c>
      <c r="E16" s="53">
        <f>SUM(E8:E15)</f>
        <v>7293.6999999999989</v>
      </c>
      <c r="F16" s="1395"/>
      <c r="G16" s="2239"/>
      <c r="H16" s="2242" t="s">
        <v>1938</v>
      </c>
      <c r="I16" s="2243"/>
      <c r="J16" s="1395"/>
      <c r="K16" s="3074" t="s">
        <v>1938</v>
      </c>
      <c r="L16" s="3075"/>
      <c r="M16" s="3075"/>
      <c r="N16" s="3075"/>
      <c r="O16" s="3075"/>
      <c r="P16" s="3076"/>
    </row>
    <row r="17" spans="1:19" ht="15">
      <c r="A17" s="2244" t="s">
        <v>1939</v>
      </c>
      <c r="B17" s="2245" t="s">
        <v>1940</v>
      </c>
      <c r="C17" s="2246" t="s">
        <v>1941</v>
      </c>
      <c r="D17" s="2247" t="s">
        <v>1929</v>
      </c>
      <c r="E17" s="2248" t="s">
        <v>1930</v>
      </c>
      <c r="F17" s="2249"/>
      <c r="G17" s="2250"/>
      <c r="H17" s="2251" t="s">
        <v>1942</v>
      </c>
      <c r="I17" s="2252" t="s">
        <v>1927</v>
      </c>
      <c r="J17" s="1395"/>
      <c r="K17" s="3071" t="s">
        <v>1943</v>
      </c>
      <c r="L17" s="3072"/>
      <c r="M17" s="3073"/>
      <c r="N17" s="3071" t="s">
        <v>1944</v>
      </c>
      <c r="O17" s="3072"/>
      <c r="P17" s="3073"/>
      <c r="R17" s="2230" t="s">
        <v>1945</v>
      </c>
      <c r="S17" s="64"/>
    </row>
    <row r="18" spans="1:19" ht="15">
      <c r="A18" s="2240"/>
      <c r="B18" s="2253"/>
      <c r="C18" s="2254"/>
      <c r="D18" s="2255"/>
      <c r="E18" s="2256" t="s">
        <v>1946</v>
      </c>
      <c r="F18" s="2257" t="s">
        <v>1947</v>
      </c>
      <c r="G18" s="2258" t="s">
        <v>1948</v>
      </c>
      <c r="H18" s="1265" t="s">
        <v>1949</v>
      </c>
      <c r="I18" s="2259" t="s">
        <v>1950</v>
      </c>
      <c r="J18" s="1395"/>
      <c r="K18" s="1265" t="s">
        <v>1951</v>
      </c>
      <c r="L18" s="2260" t="s">
        <v>1952</v>
      </c>
      <c r="M18" s="1049" t="s">
        <v>1953</v>
      </c>
      <c r="N18" s="1265" t="s">
        <v>1951</v>
      </c>
      <c r="O18" s="2260" t="s">
        <v>1952</v>
      </c>
      <c r="P18" s="1049" t="s">
        <v>1953</v>
      </c>
      <c r="R18" s="1250" t="s">
        <v>1954</v>
      </c>
      <c r="S18" s="1250" t="s">
        <v>1955</v>
      </c>
    </row>
    <row r="19" spans="1:19">
      <c r="A19" s="2261"/>
      <c r="B19" s="50" t="s">
        <v>1928</v>
      </c>
      <c r="C19" s="2958" t="s">
        <v>3063</v>
      </c>
      <c r="D19" s="48">
        <f>ROUND($D$3*E19/$E$3,2)</f>
        <v>8351.7800000000007</v>
      </c>
      <c r="E19" s="56">
        <f t="shared" ref="E19:E26" si="1">SUM(F19:G19)</f>
        <v>7153.6</v>
      </c>
      <c r="F19" s="2957">
        <v>7153.6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8351.7800000000007</v>
      </c>
      <c r="S19" s="1251">
        <f t="shared" si="5"/>
        <v>7153.6</v>
      </c>
    </row>
    <row r="20" spans="1:19">
      <c r="A20" s="2265"/>
      <c r="B20" s="50" t="s">
        <v>1956</v>
      </c>
      <c r="C20" s="2958" t="s">
        <v>3061</v>
      </c>
      <c r="D20" s="48">
        <f t="shared" ref="D20:D26" si="6">ROUND($D$3*E20/$E$3,2)</f>
        <v>163.57</v>
      </c>
      <c r="E20" s="56">
        <f t="shared" si="1"/>
        <v>140.1</v>
      </c>
      <c r="F20" s="57">
        <v>140.1</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163.57</v>
      </c>
      <c r="S20" s="1251">
        <f t="shared" si="5"/>
        <v>140.1</v>
      </c>
    </row>
    <row r="21" spans="1:19">
      <c r="A21" s="2265"/>
      <c r="B21" s="50" t="s">
        <v>1956</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1957</v>
      </c>
      <c r="D27" s="1396">
        <f>SUM(D19:D26)</f>
        <v>8515.35</v>
      </c>
      <c r="E27" s="1397">
        <f>IF(SUM(E19:E26)='数据-基础表'!BA5,SUM(E19:E26),IF(F27="地上面积有误","面积有误","地下面积有误"))</f>
        <v>7293.7000000000007</v>
      </c>
      <c r="F27" s="1396">
        <f>IF(SUM(F19:F26)=E8,SUM(F19:F26),"地上面积有误")</f>
        <v>7293.7000000000007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8515.35</v>
      </c>
      <c r="S27" s="1250">
        <f>IF(SUM(S19:S26)=$E$3,SUM(S19:S26),SUM(S19:S26)&amp;"误差"&amp;ROUND(SUM(S19:S26)-E3,2))</f>
        <v>7293.7000000000007</v>
      </c>
    </row>
    <row r="28" spans="1:19">
      <c r="A28" s="2265"/>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1958</v>
      </c>
      <c r="C29" s="2269"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1961</v>
      </c>
      <c r="D31" s="729">
        <f>D27+D30</f>
        <v>8515.35</v>
      </c>
      <c r="E31" s="729">
        <f>E27+E30</f>
        <v>7293.7000000000007</v>
      </c>
      <c r="F31" s="730">
        <f>F27+F30</f>
        <v>7293.7000000000007</v>
      </c>
      <c r="G31" s="731">
        <f>G27+G30</f>
        <v>0</v>
      </c>
      <c r="H31" s="1395"/>
      <c r="I31" s="1395"/>
      <c r="J31" s="1395"/>
      <c r="K31" s="1395"/>
      <c r="L31" s="1395"/>
      <c r="M31" s="1395"/>
      <c r="N31" s="1395"/>
      <c r="O31" s="1395"/>
      <c r="P31" s="1395"/>
    </row>
    <row r="32" spans="1:19">
      <c r="A32" s="2235"/>
      <c r="B32" s="2235" t="s">
        <v>1962</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30" activePane="bottomRight" state="frozen"/>
      <selection activeCell="C50" sqref="C50"/>
      <selection pane="topRight" activeCell="C50" sqref="C50"/>
      <selection pane="bottomLeft" activeCell="C50" sqref="C50"/>
      <selection pane="bottomRight" activeCell="AB42" sqref="AB4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9">
        <f>项目基本情况!D3</f>
        <v>43224</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1" t="s">
        <v>1975</v>
      </c>
      <c r="F5" s="2295" t="s">
        <v>1976</v>
      </c>
      <c r="G5" s="1271" t="s">
        <v>1977</v>
      </c>
      <c r="H5" s="1271" t="s">
        <v>1978</v>
      </c>
      <c r="I5" s="1271" t="s">
        <v>1979</v>
      </c>
      <c r="J5" s="2296" t="s">
        <v>1980</v>
      </c>
      <c r="K5" s="2297" t="s">
        <v>1981</v>
      </c>
      <c r="L5" s="2298" t="s">
        <v>1982</v>
      </c>
      <c r="M5" s="2299" t="s">
        <v>1983</v>
      </c>
      <c r="N5" s="2300" t="s">
        <v>3066</v>
      </c>
      <c r="O5" s="2298" t="s">
        <v>1984</v>
      </c>
      <c r="P5" s="2301" t="s">
        <v>1985</v>
      </c>
      <c r="Q5" s="69" t="s">
        <v>1986</v>
      </c>
      <c r="R5" s="2302" t="s">
        <v>1987</v>
      </c>
      <c r="S5" s="2303" t="s">
        <v>1988</v>
      </c>
      <c r="T5" s="2304" t="s">
        <v>1989</v>
      </c>
      <c r="U5" s="1270" t="s">
        <v>1990</v>
      </c>
      <c r="V5" s="1271" t="s">
        <v>1991</v>
      </c>
      <c r="W5" s="1271" t="s">
        <v>1992</v>
      </c>
      <c r="X5" s="71"/>
      <c r="Y5" s="70" t="s">
        <v>1993</v>
      </c>
      <c r="Z5" s="2305" t="s">
        <v>1990</v>
      </c>
      <c r="AA5" s="1271" t="s">
        <v>1991</v>
      </c>
      <c r="AB5" s="1271" t="s">
        <v>1992</v>
      </c>
      <c r="AC5" s="71"/>
      <c r="AD5" s="71" t="s">
        <v>1993</v>
      </c>
      <c r="AE5" s="1270" t="s">
        <v>1994</v>
      </c>
      <c r="AF5" s="1271" t="s">
        <v>1995</v>
      </c>
      <c r="AG5" s="70" t="s">
        <v>1996</v>
      </c>
      <c r="AH5" s="1270" t="s">
        <v>1997</v>
      </c>
      <c r="AI5" s="2305" t="s">
        <v>1998</v>
      </c>
      <c r="AJ5" s="2305" t="s">
        <v>1999</v>
      </c>
      <c r="AK5" s="1271" t="s">
        <v>2000</v>
      </c>
      <c r="AL5" s="1271" t="s">
        <v>2001</v>
      </c>
      <c r="AM5" s="70" t="s">
        <v>2002</v>
      </c>
      <c r="AN5" s="2306" t="s">
        <v>2003</v>
      </c>
      <c r="AO5" s="2076" t="s">
        <v>2004</v>
      </c>
      <c r="AP5" s="1252"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办公出租</v>
      </c>
      <c r="B6" s="2309" t="str">
        <f>IF(A6=0,"","经营性")</f>
        <v>经营性</v>
      </c>
      <c r="C6" s="2310" t="s">
        <v>6</v>
      </c>
      <c r="D6" s="1054">
        <f>SUMIF(项目基本情况!D$12:I$12,C6,项目基本情况!D$14:I$14)</f>
        <v>50</v>
      </c>
      <c r="E6" s="1051">
        <f>IF(B6="","",SUMIF(项目基本情况!D$12:I$12,C6,项目基本情况!D$13:I$13))</f>
        <v>55729</v>
      </c>
      <c r="F6" s="72">
        <f>SUMIF(项目基本情况!D$12:I$12,C6,项目基本情况!D$15:I$15)</f>
        <v>34.26</v>
      </c>
      <c r="G6" s="73">
        <f>IF(ISERROR(ROUND(POWER(1+H6,D6-F6)*(POWER(1+H6,F6)-1)/(POWER(1+H6,D6)-1),3)),0,ROUND(POWER(1+H6,D6-F6)*(POWER(1+H6,F6)-1)/(POWER(1+H6,D6)-1),3))</f>
        <v>0.876</v>
      </c>
      <c r="H6" s="802">
        <v>4.4999999999999998E-2</v>
      </c>
      <c r="I6" s="2965">
        <v>4.4999999999999998E-2</v>
      </c>
      <c r="J6" s="74">
        <v>8.5000000000000006E-2</v>
      </c>
      <c r="K6" s="1254">
        <f>SUMIF('数据-汇总表'!C$19:C$33,A6,'数据-汇总表'!E$19:E$33)</f>
        <v>7153.6</v>
      </c>
      <c r="L6" s="2966">
        <v>2200</v>
      </c>
      <c r="M6" s="75">
        <f t="shared" ref="M6:M14" si="0">ROUND(K6*L6/10000,0)</f>
        <v>1574</v>
      </c>
      <c r="N6" s="801">
        <v>0.4</v>
      </c>
      <c r="O6" s="75" t="str">
        <f>IF($N$5="成新度","——",ROUND(M6*N6,0))</f>
        <v>——</v>
      </c>
      <c r="P6" s="76" t="str">
        <f>IF($N$5="成新度","——",M6-O6)</f>
        <v>——</v>
      </c>
      <c r="Q6" s="2967">
        <v>0.15</v>
      </c>
      <c r="R6" s="77">
        <f ca="1">SUMIF('数据-汇总表'!C$19:C$33,A6,'数据-汇总表'!R$19:R$27)</f>
        <v>8351.7800000000007</v>
      </c>
      <c r="S6" s="54">
        <f>IF('数据-汇总表'!$I$17="按面积比例",SUMIF('数据-汇总表'!C$19:C$33,A6,'数据-汇总表'!K$19:K$33),SUMIF('数据-汇总表'!C$19:C$33,A6,'数据-汇总表'!N$19:N$33))</f>
        <v>0</v>
      </c>
      <c r="T6" s="1446">
        <f>ROUND($L$14*S6/10000,0)</f>
        <v>0</v>
      </c>
      <c r="U6" s="78">
        <v>1.55</v>
      </c>
      <c r="V6" s="79"/>
      <c r="W6" s="79">
        <v>0</v>
      </c>
      <c r="X6" s="1264"/>
      <c r="Y6" s="80">
        <v>0.4</v>
      </c>
      <c r="Z6" s="81">
        <f>ROUND(1.8*(1+V7)^AF6,2)</f>
        <v>1.98</v>
      </c>
      <c r="AA6" s="74">
        <f>V7</f>
        <v>2.5000000000000001E-2</v>
      </c>
      <c r="AB6" s="74">
        <f>W7</f>
        <v>0.15</v>
      </c>
      <c r="AC6" s="1264"/>
      <c r="AD6" s="2964">
        <v>0.4</v>
      </c>
      <c r="AE6" s="1265">
        <f ca="1">IF(AN6="",0,SUMIF(INDIRECT("'"&amp;AN6&amp;"'"&amp;"!E:E"),$AE$5,INDIRECT("'"&amp;AN6&amp;"'"&amp;"!F:F")))</f>
        <v>34.26</v>
      </c>
      <c r="AF6" s="1807">
        <v>3.82</v>
      </c>
      <c r="AG6" s="147">
        <f ca="1">IF(AF6="",0,AE6-AF6)</f>
        <v>30.439999999999998</v>
      </c>
      <c r="AH6" s="83"/>
      <c r="AI6" s="85">
        <v>365</v>
      </c>
      <c r="AJ6" s="86"/>
      <c r="AK6" s="87">
        <v>1.4999999999999999E-2</v>
      </c>
      <c r="AL6" s="88">
        <v>1.5E-3</v>
      </c>
      <c r="AM6" s="89">
        <v>0.01</v>
      </c>
      <c r="AN6" s="2311" t="s">
        <v>3067</v>
      </c>
      <c r="AO6" s="55">
        <f ca="1">SUMIF(INDIRECT("'"&amp;AN6&amp;"'"&amp;"!A:A"),"总价",INDIRECT("'"&amp;AN6&amp;"'"&amp;"!B:B"))</f>
        <v>6996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未出租</v>
      </c>
      <c r="B7" s="2309" t="str">
        <f t="shared" ref="B7:B13" si="1">IF(A7=0,"","经营性")</f>
        <v>经营性</v>
      </c>
      <c r="C7" s="2310" t="s">
        <v>6</v>
      </c>
      <c r="D7" s="1054">
        <f>SUMIF(项目基本情况!D$12:I$12,C7,项目基本情况!D$14:I$14)</f>
        <v>50</v>
      </c>
      <c r="E7" s="1051">
        <f>IF(B7="","",SUMIF(项目基本情况!D$12:I$12,C7,项目基本情况!D$13:I$13))</f>
        <v>55729</v>
      </c>
      <c r="F7" s="72">
        <f>SUMIF(项目基本情况!D$12:I$12,C7,项目基本情况!D$15:I$15)</f>
        <v>34.26</v>
      </c>
      <c r="G7" s="73">
        <f t="shared" ref="G7:G11" si="2">IF(ISERROR(ROUND(POWER(1+H7,D7-F7)*(POWER(1+H7,F7)-1)/(POWER(1+H7,D7)-1),3)),0,ROUND(POWER(1+H7,D7-F7)*(POWER(1+H7,F7)-1)/(POWER(1+H7,D7)-1),3))</f>
        <v>0.876</v>
      </c>
      <c r="H7" s="802">
        <f>H6</f>
        <v>4.4999999999999998E-2</v>
      </c>
      <c r="I7" s="2965">
        <f>I6</f>
        <v>4.4999999999999998E-2</v>
      </c>
      <c r="J7" s="74">
        <f>J6</f>
        <v>8.5000000000000006E-2</v>
      </c>
      <c r="K7" s="1254">
        <f>SUMIF('数据-汇总表'!C$19:C$33,A7,'数据-汇总表'!E$19:E$33)</f>
        <v>140.1</v>
      </c>
      <c r="L7" s="2966">
        <f>L6</f>
        <v>2200</v>
      </c>
      <c r="M7" s="75">
        <f t="shared" si="0"/>
        <v>31</v>
      </c>
      <c r="N7" s="801">
        <v>0.4</v>
      </c>
      <c r="O7" s="75" t="str">
        <f t="shared" ref="O7:O14" si="3">IF($N$5="成新度","——",ROUND(M7*N7,0))</f>
        <v>——</v>
      </c>
      <c r="P7" s="76" t="str">
        <f t="shared" ref="P7:P14" si="4">IF($N$5="成新度","——",M7-O7)</f>
        <v>——</v>
      </c>
      <c r="Q7" s="2967">
        <f>Q6</f>
        <v>0.15</v>
      </c>
      <c r="R7" s="77">
        <f ca="1">SUMIF('数据-汇总表'!C$19:C$33,A7,'数据-汇总表'!R$19:R$27)</f>
        <v>163.57</v>
      </c>
      <c r="S7" s="54">
        <f>IF('数据-汇总表'!$I$17="按面积比例",SUMIF('数据-汇总表'!C$19:C$33,A7,'数据-汇总表'!K$19:K$33),SUMIF('数据-汇总表'!C$19:C$33,A7,'数据-汇总表'!N$19:N$33))</f>
        <v>0</v>
      </c>
      <c r="T7" s="1446">
        <f t="shared" ref="T7:T13" si="5">ROUND($L$14*S7/10000,0)</f>
        <v>0</v>
      </c>
      <c r="U7" s="2968">
        <v>1.5</v>
      </c>
      <c r="V7" s="79">
        <v>2.5000000000000001E-2</v>
      </c>
      <c r="W7" s="79">
        <v>0.15</v>
      </c>
      <c r="X7" s="1264"/>
      <c r="Y7" s="80">
        <v>0.4</v>
      </c>
      <c r="Z7" s="81"/>
      <c r="AA7" s="74"/>
      <c r="AB7" s="74"/>
      <c r="AC7" s="1264"/>
      <c r="AD7" s="82">
        <v>0.4</v>
      </c>
      <c r="AE7" s="1265">
        <f t="shared" ref="AE7:AE13" ca="1" si="6">IF(AN7="",0,SUMIF(INDIRECT("'"&amp;AN7&amp;"'"&amp;"!E:E"),$AE$5,INDIRECT("'"&amp;AN7&amp;"'"&amp;"!F:F")))</f>
        <v>34.26</v>
      </c>
      <c r="AF7" s="1807"/>
      <c r="AG7" s="147">
        <f t="shared" ref="AG7:AG13" si="7">IF(AF7="",0,AE7-AF7)</f>
        <v>0</v>
      </c>
      <c r="AH7" s="83"/>
      <c r="AI7" s="85">
        <v>365</v>
      </c>
      <c r="AJ7" s="86"/>
      <c r="AK7" s="87">
        <v>1.4999999999999999E-2</v>
      </c>
      <c r="AL7" s="88">
        <v>1.5E-3</v>
      </c>
      <c r="AM7" s="89">
        <v>0.01</v>
      </c>
      <c r="AN7" s="2311" t="s">
        <v>3098</v>
      </c>
      <c r="AO7" s="55">
        <f t="shared" ref="AO7:AO13" ca="1" si="8">SUMIF(INDIRECT("'"&amp;AN7&amp;"'"&amp;"!A:A"),"总价",INDIRECT("'"&amp;AN7&amp;"'"&amp;"!B:B"))</f>
        <v>110</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8"/>
      <c r="D16" s="2316"/>
      <c r="E16" s="97"/>
      <c r="F16" s="97"/>
      <c r="G16" s="98">
        <f>ROUND(SUMPRODUCT(G6:G13,K6:K13)/SUMPRODUCT((G6:G13&gt;0)*(K6:K13)),3)</f>
        <v>0.876</v>
      </c>
      <c r="H16" s="99">
        <f>ROUND(SUMPRODUCT(H6:H13,K6:K13)/SUMPRODUCT((H6:H13&gt;0)*(K6:K13)),3)</f>
        <v>4.4999999999999998E-2</v>
      </c>
      <c r="I16" s="100"/>
      <c r="J16" s="100"/>
      <c r="K16" s="101">
        <f>SUM(K6:K15)</f>
        <v>7293.7000000000007</v>
      </c>
      <c r="L16" s="102">
        <f>ROUND(M16*10000/SUM(K6:K14),0)</f>
        <v>2201</v>
      </c>
      <c r="M16" s="102">
        <f>SUM(M6:M14)</f>
        <v>1605</v>
      </c>
      <c r="N16" s="103">
        <f>ROUND(SUMPRODUCT(M6:M14,N6:N14)/M16,3)</f>
        <v>0.4</v>
      </c>
      <c r="O16" s="102">
        <f>SUM(O6:O14)</f>
        <v>0</v>
      </c>
      <c r="P16" s="102">
        <f>SUM(P6:P14)</f>
        <v>0</v>
      </c>
      <c r="Q16" s="104">
        <f>ROUND(SUMPRODUCT(Q6:Q13,K6:K13)/SUMPRODUCT((Q6:Q13&gt;0)*(K6:K13)),2)</f>
        <v>0.15</v>
      </c>
      <c r="R16" s="1258">
        <f ca="1">SUM(R6:R13)</f>
        <v>8515.35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2</v>
      </c>
      <c r="C20" s="2279" t="s">
        <v>2017</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2027</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2028</v>
      </c>
      <c r="B29" s="121">
        <f ca="1">成本法!C10</f>
        <v>146</v>
      </c>
      <c r="C29" s="1767" t="s">
        <v>2029</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2030</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2031</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2032</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2033</v>
      </c>
      <c r="B33" s="726">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2035</v>
      </c>
      <c r="B34" s="122">
        <v>0.03</v>
      </c>
      <c r="C34" s="1766" t="s">
        <v>2036</v>
      </c>
      <c r="D34" s="2280" t="s">
        <v>2037</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2038</v>
      </c>
      <c r="B35" s="119">
        <v>200</v>
      </c>
      <c r="C35" s="1766" t="s">
        <v>2039</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0.03</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3">
        <f ca="1">存贷款利率!G1</f>
        <v>4.7500000000000001E-2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30"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86" t="s">
        <v>2079</v>
      </c>
      <c r="B1" s="3087"/>
      <c r="C1" s="3087"/>
      <c r="D1" s="3087"/>
      <c r="E1" s="3087"/>
      <c r="F1" s="3087"/>
      <c r="G1" s="308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1" t="s">
        <v>2083</v>
      </c>
      <c r="C3" s="2372" t="s">
        <v>2084</v>
      </c>
      <c r="D3" s="2373"/>
      <c r="E3" s="431" t="s">
        <v>2082</v>
      </c>
      <c r="F3" s="2374" t="s">
        <v>2085</v>
      </c>
      <c r="G3" s="2375" t="s">
        <v>2086</v>
      </c>
      <c r="H3" s="2370"/>
      <c r="I3" s="2370"/>
      <c r="J3" s="2370"/>
      <c r="K3" s="2370"/>
      <c r="L3" s="2370"/>
      <c r="M3" s="2370"/>
      <c r="N3" s="2370"/>
      <c r="O3" s="2370"/>
      <c r="P3" s="2370"/>
      <c r="Q3" s="2370"/>
      <c r="R3" s="2370"/>
    </row>
    <row r="4" spans="1:29" ht="41.25">
      <c r="A4" s="431"/>
      <c r="B4" s="1798" t="s">
        <v>2087</v>
      </c>
      <c r="C4" s="2376" t="s">
        <v>2088</v>
      </c>
      <c r="D4" s="2373"/>
      <c r="E4" s="2377"/>
      <c r="F4" s="42" t="s">
        <v>2089</v>
      </c>
      <c r="G4" s="2378" t="s">
        <v>2090</v>
      </c>
      <c r="H4" s="2370"/>
      <c r="I4" s="2370"/>
      <c r="J4" s="2370"/>
      <c r="K4" s="2370"/>
      <c r="L4" s="2370"/>
      <c r="M4" s="2370"/>
      <c r="N4" s="2370"/>
      <c r="O4" s="2370"/>
      <c r="P4" s="2370"/>
      <c r="Q4" s="2370"/>
      <c r="R4" s="2370"/>
    </row>
    <row r="5" spans="1:29" ht="41.25">
      <c r="A5" s="431"/>
      <c r="B5" s="1798" t="s">
        <v>2091</v>
      </c>
      <c r="C5" s="2376" t="s">
        <v>2092</v>
      </c>
      <c r="D5" s="2373"/>
      <c r="E5" s="2377"/>
      <c r="F5" s="1798" t="s">
        <v>2093</v>
      </c>
      <c r="G5" s="2378" t="s">
        <v>2094</v>
      </c>
      <c r="H5" s="2370"/>
      <c r="I5" s="2370"/>
      <c r="J5" s="2370"/>
      <c r="K5" s="2370"/>
      <c r="L5" s="2370"/>
      <c r="M5" s="2370"/>
      <c r="N5" s="2370"/>
      <c r="O5" s="2370"/>
      <c r="P5" s="2370"/>
      <c r="Q5" s="2370"/>
      <c r="R5" s="2370"/>
    </row>
    <row r="6" spans="1:29" ht="54">
      <c r="A6" s="431"/>
      <c r="B6" s="1798" t="s">
        <v>2095</v>
      </c>
      <c r="C6" s="2378" t="s">
        <v>2090</v>
      </c>
      <c r="D6" s="2373"/>
      <c r="E6" s="2377"/>
      <c r="F6" s="1798" t="s">
        <v>2096</v>
      </c>
      <c r="G6" s="2378" t="s">
        <v>2097</v>
      </c>
      <c r="H6" s="2370"/>
      <c r="I6" s="2370"/>
      <c r="J6" s="2370"/>
      <c r="K6" s="2370"/>
      <c r="L6" s="2370"/>
      <c r="M6" s="2370"/>
      <c r="N6" s="2370"/>
      <c r="O6" s="2370"/>
      <c r="P6" s="2370"/>
      <c r="Q6" s="2370"/>
      <c r="R6" s="2370"/>
    </row>
    <row r="7" spans="1:29" ht="41.25" thickBot="1">
      <c r="A7" s="431"/>
      <c r="B7" s="1798" t="s">
        <v>2093</v>
      </c>
      <c r="C7" s="2378" t="s">
        <v>2094</v>
      </c>
      <c r="D7" s="2379"/>
      <c r="E7" s="2380"/>
      <c r="F7" s="2381" t="s">
        <v>2098</v>
      </c>
      <c r="G7" s="2382" t="s">
        <v>2099</v>
      </c>
      <c r="H7" s="2370"/>
      <c r="I7" s="2370"/>
      <c r="J7" s="2370"/>
      <c r="K7" s="2370"/>
      <c r="L7" s="2370"/>
      <c r="M7" s="2370"/>
      <c r="N7" s="2370"/>
      <c r="O7" s="2370"/>
      <c r="P7" s="2370"/>
      <c r="Q7" s="2370"/>
      <c r="R7" s="2370"/>
    </row>
    <row r="8" spans="1:29" ht="27">
      <c r="A8" s="431"/>
      <c r="B8" s="1798" t="s">
        <v>2096</v>
      </c>
      <c r="C8" s="2378" t="s">
        <v>2097</v>
      </c>
      <c r="D8" s="2379"/>
      <c r="E8" s="2379"/>
      <c r="F8" s="1136"/>
      <c r="G8" s="1136"/>
      <c r="H8" s="2370"/>
      <c r="I8" s="2370"/>
      <c r="J8" s="2370"/>
      <c r="K8" s="2370"/>
      <c r="L8" s="2370"/>
      <c r="M8" s="2370"/>
      <c r="N8" s="2370"/>
      <c r="O8" s="2370"/>
      <c r="P8" s="2370"/>
      <c r="Q8" s="2370"/>
      <c r="R8" s="2370"/>
    </row>
    <row r="9" spans="1:29" ht="27">
      <c r="A9" s="431"/>
      <c r="B9" s="1798" t="s">
        <v>2100</v>
      </c>
      <c r="C9" s="2376" t="s">
        <v>2101</v>
      </c>
      <c r="D9" s="2373"/>
      <c r="E9" s="2379"/>
      <c r="F9" s="1136"/>
      <c r="G9" s="1136"/>
      <c r="H9" s="2370"/>
      <c r="I9" s="2370"/>
      <c r="J9" s="2370"/>
      <c r="K9" s="2370"/>
      <c r="L9" s="2370"/>
      <c r="M9" s="2370"/>
      <c r="N9" s="2370"/>
      <c r="O9" s="2370"/>
      <c r="P9" s="2370"/>
      <c r="Q9" s="2370"/>
      <c r="R9" s="2370"/>
    </row>
    <row r="10" spans="1:29" s="117" customFormat="1" ht="15.75" thickBot="1">
      <c r="A10" s="2383"/>
      <c r="B10" s="2384" t="s">
        <v>2102</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2103</v>
      </c>
      <c r="B13" s="2390"/>
      <c r="C13" s="2390"/>
      <c r="D13" s="2397"/>
      <c r="E13" s="2390"/>
      <c r="F13" s="2390"/>
      <c r="G13" s="2390"/>
    </row>
    <row r="14" spans="1:29" ht="15.75" thickBot="1">
      <c r="A14" s="2401"/>
      <c r="B14" s="2402"/>
      <c r="C14" s="2403" t="s">
        <v>2104</v>
      </c>
      <c r="D14" s="2373"/>
      <c r="E14" s="2404"/>
      <c r="F14" s="2404"/>
      <c r="G14" s="2367" t="s">
        <v>2105</v>
      </c>
    </row>
    <row r="15" spans="1:29" ht="57">
      <c r="A15" s="68" t="s">
        <v>2106</v>
      </c>
      <c r="B15" s="1270" t="s">
        <v>2083</v>
      </c>
      <c r="C15" s="2405" t="str">
        <f>C3</f>
        <v>估价对象周边居住用地比例、居住小区规模和社区发展完善程度，综合评价居住社区成熟度一般</v>
      </c>
      <c r="D15" s="2373"/>
      <c r="E15" s="2406" t="s">
        <v>2107</v>
      </c>
      <c r="F15" s="1270" t="s">
        <v>2108</v>
      </c>
      <c r="G15" s="135" t="str">
        <f>G3</f>
        <v>估价对象位于XX开发区，园区建设成熟度XX，产业集聚程度XX</v>
      </c>
    </row>
    <row r="16" spans="1:29" ht="42.75">
      <c r="A16" s="645"/>
      <c r="B16" s="2407" t="s">
        <v>2087</v>
      </c>
      <c r="C16" s="2408" t="str">
        <f>C4</f>
        <v>估价对象位于XX商圈，周边商业氛围成熟，人流量大，商业繁华度好</v>
      </c>
      <c r="D16" s="2373"/>
      <c r="E16" s="2409"/>
      <c r="F16" s="2410" t="s">
        <v>2089</v>
      </c>
      <c r="G16" s="136" t="str">
        <f>G4</f>
        <v>估价对象周边道路状况、公共交通通达情况、停车便捷程度，综合评价交通便捷度较好</v>
      </c>
    </row>
    <row r="17" spans="1:18" ht="42.75">
      <c r="A17" s="645"/>
      <c r="B17" s="2407" t="s">
        <v>2091</v>
      </c>
      <c r="C17" s="2408" t="str">
        <f>C5</f>
        <v>估价对象位于XX商圈，周边办公楼项目较多，入驻率高，办公集聚程度较好</v>
      </c>
      <c r="D17" s="2379"/>
      <c r="E17" s="2409"/>
      <c r="F17" s="2410" t="s">
        <v>2109</v>
      </c>
      <c r="G17" s="1572"/>
    </row>
    <row r="18" spans="1:18" ht="57">
      <c r="A18" s="645"/>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8.5">
      <c r="A19" s="645"/>
      <c r="B19" s="2410" t="s">
        <v>2110</v>
      </c>
      <c r="C19" s="1572"/>
      <c r="D19" s="2373"/>
      <c r="E19" s="2409"/>
      <c r="F19" s="1798" t="s">
        <v>2093</v>
      </c>
      <c r="G19" s="136" t="str">
        <f>G5</f>
        <v>估价对象所在区域公共配套设施齐备情况</v>
      </c>
    </row>
    <row r="20" spans="1:18" ht="28.5">
      <c r="A20" s="645"/>
      <c r="B20" s="2410" t="s">
        <v>2111</v>
      </c>
      <c r="C20" s="2408" t="str">
        <f>C9</f>
        <v>区域自然环境：；人文环境；综合评价环境状况一般</v>
      </c>
      <c r="D20" s="2379"/>
      <c r="E20" s="2409"/>
      <c r="F20" s="1798" t="s">
        <v>2112</v>
      </c>
      <c r="G20" s="136" t="str">
        <f>G6</f>
        <v>估价对象所在区域基础设施水平</v>
      </c>
    </row>
    <row r="21" spans="1:18" ht="28.5">
      <c r="A21" s="645"/>
      <c r="B21" s="1798" t="s">
        <v>2093</v>
      </c>
      <c r="C21" s="136" t="str">
        <f>C7</f>
        <v>估价对象所在区域公共配套设施齐备情况</v>
      </c>
      <c r="D21" s="2373"/>
      <c r="E21" s="2409"/>
      <c r="F21" s="2410" t="s">
        <v>2113</v>
      </c>
      <c r="G21" s="2411"/>
    </row>
    <row r="22" spans="1:18" ht="13.5" customHeight="1">
      <c r="A22" s="645"/>
      <c r="B22" s="1798" t="s">
        <v>2096</v>
      </c>
      <c r="C22" s="136" t="str">
        <f>C8</f>
        <v>估价对象所在区域基础设施水平</v>
      </c>
      <c r="D22" s="2373"/>
      <c r="E22" s="2409"/>
      <c r="F22" s="2410" t="s">
        <v>2102</v>
      </c>
      <c r="G22" s="1572"/>
    </row>
    <row r="23" spans="1:18" s="2370" customFormat="1" ht="15.75" thickBot="1">
      <c r="A23" s="645"/>
      <c r="B23" s="2410" t="s">
        <v>2113</v>
      </c>
      <c r="C23" s="2411"/>
      <c r="D23" s="2398"/>
      <c r="E23" s="2412"/>
      <c r="F23" s="2413" t="s">
        <v>2114</v>
      </c>
      <c r="G23" s="2414"/>
      <c r="H23" s="2398"/>
      <c r="I23" s="2399"/>
      <c r="J23" s="2398"/>
      <c r="K23" s="2398"/>
      <c r="L23" s="2399"/>
      <c r="M23" s="2398"/>
      <c r="N23" s="2398"/>
      <c r="O23" s="2399"/>
      <c r="P23" s="2398"/>
      <c r="Q23" s="2398"/>
      <c r="R23" s="2400"/>
    </row>
    <row r="24" spans="1:18" s="2370" customFormat="1" ht="15.75" thickBot="1">
      <c r="A24" s="2415"/>
      <c r="B24" s="2413" t="s">
        <v>2115</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7293.6999999999989</v>
      </c>
      <c r="C1" s="1745"/>
      <c r="D1" s="1745"/>
      <c r="E1" s="1745"/>
      <c r="F1" s="1745"/>
      <c r="G1" s="1743"/>
    </row>
    <row r="2" spans="1:10" ht="16.5">
      <c r="A2" s="1746" t="s">
        <v>1353</v>
      </c>
      <c r="B2" s="1746">
        <f>SUM(C14:C23)</f>
        <v>8515.35</v>
      </c>
      <c r="C2" s="1745"/>
      <c r="D2" s="1745"/>
      <c r="E2" s="1745"/>
      <c r="F2" s="1745"/>
      <c r="G2" s="1743"/>
    </row>
    <row r="3" spans="1:10" ht="16.5">
      <c r="A3" s="1746" t="s">
        <v>1362</v>
      </c>
      <c r="B3" s="1747">
        <f>项目基本情况!D3</f>
        <v>43224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6158</v>
      </c>
      <c r="C5" s="1746">
        <f ca="1">ROUND(B5*10000/$B$1,0)</f>
        <v>8443</v>
      </c>
      <c r="D5" s="1746">
        <f ca="1">ROUND(B5*10000/$B$2,0)</f>
        <v>7232</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6158</v>
      </c>
      <c r="C7" s="1746">
        <f ca="1">ROUND(B7*10000/$B$1,0)</f>
        <v>8443</v>
      </c>
      <c r="D7" s="1746">
        <f ca="1">ROUND(B7*10000/$B$2,0)</f>
        <v>7232</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7293.6999999999989</v>
      </c>
      <c r="C14" s="1744">
        <f>结果表!C118</f>
        <v>8515.35</v>
      </c>
      <c r="D14" s="1744">
        <f ca="1">结果表!H118</f>
        <v>6158</v>
      </c>
      <c r="E14" s="1744">
        <f ca="1">ROUND(D14*10000/B14,0)</f>
        <v>8443</v>
      </c>
      <c r="F14" s="1744">
        <f ca="1">ROUND(D14*10000/C14,0)</f>
        <v>7232</v>
      </c>
      <c r="G14" s="1744" t="str">
        <f>结果表!D122</f>
        <v>——</v>
      </c>
      <c r="H14" s="1744">
        <f ca="1">结果表!D124</f>
        <v>6158</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D33" sqref="D33"/>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2116</v>
      </c>
      <c r="B1" s="2421"/>
      <c r="C1" s="2422"/>
      <c r="D1" s="2421"/>
      <c r="E1" s="2421"/>
      <c r="F1" s="2423" t="s">
        <v>2117</v>
      </c>
      <c r="G1" s="2072" t="s">
        <v>3081</v>
      </c>
      <c r="H1" s="2424" t="str">
        <f>IF(G1="现房","——","估价对象范围")</f>
        <v>——</v>
      </c>
      <c r="I1" s="2425"/>
    </row>
    <row r="2" spans="1:12" ht="21.75" customHeight="1" thickBot="1">
      <c r="A2" s="3160" t="str">
        <f>项目基本情况!S2</f>
        <v>北京市丰台区刘庄子119号1幢等18幢楼房地产</v>
      </c>
      <c r="B2" s="3161"/>
      <c r="C2" s="3161"/>
      <c r="D2" s="3161"/>
      <c r="E2" s="3161"/>
      <c r="F2" s="3161"/>
      <c r="G2" s="3161"/>
      <c r="H2" s="3161"/>
      <c r="I2" s="3162"/>
    </row>
    <row r="3" spans="1:12" ht="12.75">
      <c r="A3" s="3163" t="s">
        <v>2118</v>
      </c>
      <c r="B3" s="3164"/>
      <c r="C3" s="3164"/>
      <c r="D3" s="3164"/>
      <c r="E3" s="3164"/>
      <c r="F3" s="3164"/>
      <c r="G3" s="3164"/>
      <c r="H3" s="3164"/>
      <c r="I3" s="3164"/>
    </row>
    <row r="4" spans="1:12" ht="14.25">
      <c r="A4" s="2428" t="s">
        <v>2119</v>
      </c>
      <c r="B4" s="2429" t="s">
        <v>2120</v>
      </c>
      <c r="C4" s="2430" t="s">
        <v>3093</v>
      </c>
      <c r="D4" s="2430" t="s">
        <v>3094</v>
      </c>
      <c r="E4" s="3144" t="s">
        <v>2121</v>
      </c>
      <c r="F4" s="3157"/>
      <c r="G4" s="3157"/>
      <c r="H4" s="3157"/>
      <c r="I4" s="3145"/>
      <c r="K4" s="2431" t="str">
        <f>IF(ISNUMBER(FIND("比较法",结果表!C4)),"比较法",IF(ISNUMBER(FIND("成本法",结果表!C4)),"成本法",IF(ISNUMBER(FIND("假设开发法",结果表!C4)),"假设开发法",IF(ISNUMBER(FIND("收益法",结果表!C4)),"收益法","基准地价系数修正法"))))</f>
        <v>收益法</v>
      </c>
      <c r="L4" s="2431" t="str">
        <f>IF(ISNUMBER(FIND("比较法",结果表!D4)),"比较法",IF(ISNUMBER(FIND("成本法",结果表!D4)),"成本法",IF(ISNUMBER(FIND("假设开发法",结果表!D4)),"假设开发法",IF(ISNUMBER(FIND("收益法",结果表!D4)),"收益法","基准地价系数修正法"))))</f>
        <v>成本法</v>
      </c>
    </row>
    <row r="5" spans="1:12" ht="12.75">
      <c r="A5" s="3135" t="s">
        <v>2122</v>
      </c>
      <c r="B5" s="3061">
        <v>25</v>
      </c>
      <c r="C5" s="3165"/>
      <c r="D5" s="3153"/>
      <c r="E5" s="140" t="s">
        <v>2123</v>
      </c>
      <c r="F5" s="2432"/>
      <c r="G5" s="2432"/>
      <c r="H5" s="2432"/>
      <c r="I5" s="1834"/>
    </row>
    <row r="6" spans="1:12" ht="12.75">
      <c r="A6" s="3135"/>
      <c r="B6" s="3061"/>
      <c r="C6" s="3167"/>
      <c r="D6" s="3153"/>
      <c r="E6" s="140" t="s">
        <v>2124</v>
      </c>
      <c r="F6" s="2432"/>
      <c r="G6" s="2432"/>
      <c r="H6" s="2432"/>
      <c r="I6" s="1834"/>
    </row>
    <row r="7" spans="1:12" ht="12.75">
      <c r="A7" s="3135"/>
      <c r="B7" s="3061"/>
      <c r="C7" s="3166"/>
      <c r="D7" s="3153"/>
      <c r="E7" s="140" t="s">
        <v>2125</v>
      </c>
      <c r="F7" s="2432"/>
      <c r="G7" s="2432"/>
      <c r="H7" s="2432"/>
      <c r="I7" s="1834"/>
    </row>
    <row r="8" spans="1:12" ht="12.75">
      <c r="A8" s="3135" t="s">
        <v>2126</v>
      </c>
      <c r="B8" s="3061">
        <v>15</v>
      </c>
      <c r="C8" s="3165"/>
      <c r="D8" s="3153"/>
      <c r="E8" s="140" t="s">
        <v>2127</v>
      </c>
      <c r="F8" s="2432"/>
      <c r="G8" s="2432"/>
      <c r="H8" s="2432"/>
      <c r="I8" s="1834"/>
    </row>
    <row r="9" spans="1:12" ht="12.75">
      <c r="A9" s="3135"/>
      <c r="B9" s="3061"/>
      <c r="C9" s="3166"/>
      <c r="D9" s="3153"/>
      <c r="E9" s="140" t="s">
        <v>2128</v>
      </c>
      <c r="F9" s="2432"/>
      <c r="G9" s="2432"/>
      <c r="H9" s="2432"/>
      <c r="I9" s="1834"/>
    </row>
    <row r="10" spans="1:12" ht="12.75">
      <c r="A10" s="3135" t="s">
        <v>2129</v>
      </c>
      <c r="B10" s="3061">
        <v>15</v>
      </c>
      <c r="C10" s="3165"/>
      <c r="D10" s="3153"/>
      <c r="E10" s="140" t="s">
        <v>2130</v>
      </c>
      <c r="F10" s="2432"/>
      <c r="G10" s="2432"/>
      <c r="H10" s="2432"/>
      <c r="I10" s="1834"/>
    </row>
    <row r="11" spans="1:12" ht="12.75">
      <c r="A11" s="3135"/>
      <c r="B11" s="3061"/>
      <c r="C11" s="3166"/>
      <c r="D11" s="3153"/>
      <c r="E11" s="140" t="s">
        <v>2131</v>
      </c>
      <c r="F11" s="2432"/>
      <c r="G11" s="2432"/>
      <c r="H11" s="2432"/>
      <c r="I11" s="1834"/>
    </row>
    <row r="12" spans="1:12" ht="12.75">
      <c r="A12" s="3135" t="s">
        <v>2132</v>
      </c>
      <c r="B12" s="3061">
        <v>15</v>
      </c>
      <c r="C12" s="3165"/>
      <c r="D12" s="3153"/>
      <c r="E12" s="140" t="s">
        <v>2133</v>
      </c>
      <c r="F12" s="2432"/>
      <c r="G12" s="2432"/>
      <c r="H12" s="2432"/>
      <c r="I12" s="1834"/>
    </row>
    <row r="13" spans="1:12" ht="12.75">
      <c r="A13" s="3135"/>
      <c r="B13" s="3061"/>
      <c r="C13" s="3166"/>
      <c r="D13" s="3153"/>
      <c r="E13" s="140" t="s">
        <v>2134</v>
      </c>
      <c r="F13" s="2432"/>
      <c r="G13" s="2432"/>
      <c r="H13" s="2432"/>
      <c r="I13" s="1834"/>
    </row>
    <row r="14" spans="1:12" ht="12.75">
      <c r="A14" s="3135" t="s">
        <v>2135</v>
      </c>
      <c r="B14" s="3061">
        <v>30</v>
      </c>
      <c r="C14" s="3165">
        <v>6</v>
      </c>
      <c r="D14" s="3153">
        <f>10-C14</f>
        <v>4</v>
      </c>
      <c r="E14" s="140" t="s">
        <v>2136</v>
      </c>
      <c r="F14" s="2432"/>
      <c r="G14" s="2432"/>
      <c r="H14" s="2432"/>
      <c r="I14" s="1834"/>
    </row>
    <row r="15" spans="1:12" ht="12.75">
      <c r="A15" s="3135"/>
      <c r="B15" s="3061"/>
      <c r="C15" s="3167"/>
      <c r="D15" s="3153"/>
      <c r="E15" s="140" t="s">
        <v>2137</v>
      </c>
      <c r="F15" s="2432"/>
      <c r="G15" s="2432"/>
      <c r="H15" s="2432"/>
      <c r="I15" s="1834"/>
    </row>
    <row r="16" spans="1:12" ht="12.75">
      <c r="A16" s="3135"/>
      <c r="B16" s="3061"/>
      <c r="C16" s="3166"/>
      <c r="D16" s="3153"/>
      <c r="E16" s="140" t="s">
        <v>2138</v>
      </c>
      <c r="F16" s="2432"/>
      <c r="G16" s="2432"/>
      <c r="H16" s="2432"/>
      <c r="I16" s="1834"/>
    </row>
    <row r="17" spans="1:35" ht="15">
      <c r="A17" s="2433" t="s">
        <v>2139</v>
      </c>
      <c r="B17" s="64"/>
      <c r="C17" s="141">
        <f>SUM(C5:C16)</f>
        <v>6</v>
      </c>
      <c r="D17" s="141">
        <f>SUM(D5:D16)</f>
        <v>4</v>
      </c>
      <c r="E17" s="138"/>
      <c r="F17" s="138"/>
      <c r="G17" s="138"/>
      <c r="H17" s="138"/>
      <c r="I17" s="138"/>
      <c r="K17" s="2431"/>
      <c r="L17" s="2434" t="s">
        <v>2140</v>
      </c>
      <c r="M17" s="2434" t="s">
        <v>2141</v>
      </c>
    </row>
    <row r="18" spans="1:35" ht="15.75" thickBot="1">
      <c r="A18" s="2435" t="s">
        <v>2142</v>
      </c>
      <c r="B18" s="2436"/>
      <c r="C18" s="142">
        <f>ROUND(C17/SUM(C17:D17),2)</f>
        <v>0.6</v>
      </c>
      <c r="D18" s="142">
        <f>1-C18</f>
        <v>0.4</v>
      </c>
      <c r="E18" s="138"/>
      <c r="F18" s="138"/>
      <c r="G18" s="138"/>
      <c r="H18" s="138"/>
      <c r="I18" s="138"/>
      <c r="K18" s="2431" t="s">
        <v>2143</v>
      </c>
      <c r="L18" s="2431">
        <f>IF(C1="",'数据-汇总表'!E3,SUMIF(项目类型,C1,'数据-汇总表'!E17:E26)+SUMIF(项目类型,C1,'数据-汇总表'!I17:I26))</f>
        <v>7293.6999999999989</v>
      </c>
      <c r="M18" s="2431">
        <f>IF(C1="",'数据-汇总表'!E3,SUMIF(项目类型,C1,'数据-汇总表'!E17:E26))</f>
        <v>7293.6999999999989</v>
      </c>
    </row>
    <row r="19" spans="1:35" ht="15">
      <c r="A19" s="2437" t="s">
        <v>2144</v>
      </c>
      <c r="B19" s="2438" t="s">
        <v>2145</v>
      </c>
      <c r="C19" s="143">
        <f ca="1">SUMIF(INDIRECT("'"&amp;C4&amp;"'"&amp;"!A:A"),结果表!B19,INDIRECT("'"&amp;C4&amp;"'"&amp;"!B:B"))</f>
        <v>7106</v>
      </c>
      <c r="D19" s="144">
        <f ca="1">SUMIF(INDIRECT("'"&amp;D4&amp;"'"&amp;"!A:A"),结果表!B19,INDIRECT("'"&amp;D4&amp;"'"&amp;"!B:B"))</f>
        <v>4735</v>
      </c>
      <c r="E19" s="2437" t="s">
        <v>2146</v>
      </c>
      <c r="F19" s="2438" t="s">
        <v>2145</v>
      </c>
      <c r="G19" s="145">
        <f ca="1">ROUND(C19*$C$18+D19*$D$18,0)</f>
        <v>6158</v>
      </c>
      <c r="H19" s="2439" t="s">
        <v>2147</v>
      </c>
      <c r="I19" s="138"/>
      <c r="K19" s="2431" t="s">
        <v>2148</v>
      </c>
      <c r="L19" s="2431">
        <f>IF(C1="",'数据-汇总表'!D3,SUMIF(项目类型,C1,'数据-汇总表'!D17:D26)+SUMIF(项目类型,C1,'数据-汇总表'!H17:H27))</f>
        <v>8515.35</v>
      </c>
      <c r="M19" s="2431">
        <f>IF(C1="",'数据-汇总表'!D3,SUMIF(项目类型,C1,'数据-汇总表'!D17:D26))</f>
        <v>8515.35</v>
      </c>
    </row>
    <row r="20" spans="1:35" ht="15">
      <c r="A20" s="2440"/>
      <c r="B20" s="1250" t="s">
        <v>2149</v>
      </c>
      <c r="C20" s="146">
        <f ca="1">SUMIF(INDIRECT("'"&amp;C4&amp;"'"&amp;"!A:A"),结果表!B20,INDIRECT("'"&amp;C4&amp;"'"&amp;"!B:B"))</f>
        <v>9743</v>
      </c>
      <c r="D20" s="147">
        <f ca="1">SUMIF(INDIRECT("'"&amp;D4&amp;"'"&amp;"!A:A"),结果表!B20,INDIRECT("'"&amp;D4&amp;"'"&amp;"!B:B"))</f>
        <v>6492</v>
      </c>
      <c r="E20" s="2440"/>
      <c r="F20" s="1250" t="s">
        <v>2149</v>
      </c>
      <c r="G20" s="148">
        <f ca="1">ROUND(C20*$C$18+D20*$D$18,0)</f>
        <v>8443</v>
      </c>
      <c r="H20" s="983" t="s">
        <v>2150</v>
      </c>
      <c r="I20" s="138"/>
    </row>
    <row r="21" spans="1:35" ht="15" customHeight="1" thickBot="1">
      <c r="A21" s="1003"/>
      <c r="B21" s="2441" t="s">
        <v>2151</v>
      </c>
      <c r="C21" s="789">
        <f ca="1">ROUND(C19*10000/L19,0)</f>
        <v>8345</v>
      </c>
      <c r="D21" s="790">
        <f ca="1">ROUND(D19*10000/L19,0)</f>
        <v>5561</v>
      </c>
      <c r="E21" s="1003"/>
      <c r="F21" s="2441" t="s">
        <v>2151</v>
      </c>
      <c r="G21" s="149">
        <f ca="1">ROUND(G19*10000/L19,0)</f>
        <v>7232</v>
      </c>
      <c r="H21" s="2442" t="s">
        <v>2150</v>
      </c>
      <c r="I21" s="138"/>
    </row>
    <row r="22" spans="1:35" ht="15" thickBot="1">
      <c r="A22" s="2283" t="s">
        <v>2152</v>
      </c>
      <c r="B22" s="2443"/>
      <c r="C22" s="2444"/>
      <c r="D22" s="791">
        <f ca="1">IF(C19&lt;D19,D19/C19-1,C19/D19-1)</f>
        <v>0.5007391763463569</v>
      </c>
      <c r="E22" s="138"/>
      <c r="F22" s="138"/>
      <c r="G22" s="138"/>
      <c r="H22" s="138"/>
      <c r="I22" s="138"/>
    </row>
    <row r="23" spans="1:35" ht="13.5" thickBot="1">
      <c r="A23" s="2421"/>
      <c r="B23" s="2421"/>
      <c r="C23" s="2421"/>
      <c r="D23" s="2421"/>
      <c r="E23" s="138"/>
      <c r="F23" s="138"/>
      <c r="G23" s="138"/>
      <c r="H23" s="138"/>
      <c r="I23" s="138"/>
    </row>
    <row r="24" spans="1:35" ht="14.25">
      <c r="A24" s="3174" t="s">
        <v>2153</v>
      </c>
      <c r="B24" s="2438" t="s">
        <v>2145</v>
      </c>
      <c r="C24" s="145">
        <f>IF(B30=0,0,D30)</f>
        <v>0</v>
      </c>
      <c r="D24" s="2445"/>
      <c r="E24" s="138"/>
      <c r="F24" s="138"/>
      <c r="G24" s="138"/>
      <c r="H24" s="138"/>
      <c r="I24" s="138"/>
    </row>
    <row r="25" spans="1:35" ht="14.25">
      <c r="A25" s="3175"/>
      <c r="B25" s="1250" t="s">
        <v>2149</v>
      </c>
      <c r="C25" s="150">
        <f>IF(B30=0,0,C30)</f>
        <v>0</v>
      </c>
      <c r="D25" s="2446"/>
      <c r="E25" s="138"/>
      <c r="F25" s="138"/>
      <c r="G25" s="138"/>
      <c r="H25" s="138"/>
      <c r="I25" s="138"/>
    </row>
    <row r="26" spans="1:35" ht="13.5" customHeight="1">
      <c r="A26" s="2447" t="s">
        <v>2154</v>
      </c>
      <c r="B26" s="151" t="s">
        <v>2155</v>
      </c>
      <c r="C26" s="151" t="s">
        <v>2156</v>
      </c>
      <c r="D26" s="152" t="s">
        <v>2157</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2158</v>
      </c>
      <c r="B30" s="151"/>
      <c r="C30" s="151"/>
      <c r="D30" s="151"/>
      <c r="E30" s="2930" t="s">
        <v>3035</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2159</v>
      </c>
      <c r="B32" s="2451"/>
      <c r="C32" s="153">
        <f ca="1">IF(D32="总价",G19-C24,G20-C25)</f>
        <v>6158</v>
      </c>
      <c r="D32" s="2452" t="s">
        <v>2160</v>
      </c>
      <c r="E32" s="138"/>
      <c r="F32" s="138"/>
      <c r="G32" s="138"/>
      <c r="H32" s="138"/>
      <c r="I32" s="138"/>
    </row>
    <row r="33" spans="1:15" ht="15">
      <c r="A33" s="960" t="s">
        <v>2161</v>
      </c>
      <c r="B33" s="2453"/>
      <c r="C33" s="2454"/>
      <c r="D33" s="2455" t="s">
        <v>3098</v>
      </c>
      <c r="E33" s="2456" t="s">
        <v>2162</v>
      </c>
      <c r="F33" s="2457" t="str">
        <f>IF(D32="楼面单价","取值（单价）","取值（总价）")</f>
        <v>取值（总价）</v>
      </c>
      <c r="G33" s="138"/>
      <c r="H33" s="138"/>
      <c r="I33" s="138"/>
    </row>
    <row r="34" spans="1:15" ht="15">
      <c r="A34" s="2458"/>
      <c r="B34" s="2459" t="s">
        <v>2163</v>
      </c>
      <c r="C34" s="157">
        <f ca="1">IF(C33="自定义",F34,C32-C35)</f>
        <v>5111</v>
      </c>
      <c r="D34" s="1058">
        <f ca="1">IF(C33="自定义",ROUND(C34/C32,3),IF(C33="收益比率",SUMIF(INDIRECT("'"&amp;D33&amp;"'"&amp;"!b:b"),"土地收益比率",INDIRECT("'"&amp;D33&amp;"'"&amp;"!c:c")),SUMIF(INDIRECT("'"&amp;D33&amp;"'"&amp;"!b:b"),"土地成本比率",INDIRECT("'"&amp;D33&amp;"'"&amp;"!c:c"))))</f>
        <v>0.83</v>
      </c>
      <c r="E34" s="2460" t="s">
        <v>2164</v>
      </c>
      <c r="F34" s="1739"/>
      <c r="G34" s="138"/>
      <c r="H34" s="138"/>
      <c r="I34" s="138"/>
    </row>
    <row r="35" spans="1:15" ht="15.75" thickBot="1">
      <c r="A35" s="2461"/>
      <c r="B35" s="2462" t="s">
        <v>2165</v>
      </c>
      <c r="C35" s="1444">
        <f ca="1">IF(C33="自定义",F35,ROUND(C32*D35,0))</f>
        <v>1047</v>
      </c>
      <c r="D35" s="1445">
        <f ca="1">IF(C33="自定义",ROUND(C35/C32,3),IF(C33="收益比率",SUMIF(INDIRECT("'"&amp;D33&amp;"'"&amp;"!b:b"),"建筑物收益比率",INDIRECT("'"&amp;D33&amp;"'"&amp;"!c:c")),SUMIF(INDIRECT("'"&amp;D33&amp;"'"&amp;"!b:b"),"建筑物成本比率",INDIRECT("'"&amp;D33&amp;"'"&amp;"!c:c"))))</f>
        <v>0.17</v>
      </c>
      <c r="E35" s="2463" t="s">
        <v>2166</v>
      </c>
      <c r="F35" s="163"/>
      <c r="G35" s="138"/>
      <c r="H35" s="138"/>
      <c r="I35" s="138"/>
    </row>
    <row r="36" spans="1:15" ht="15.75" thickBot="1">
      <c r="A36" s="3154" t="s">
        <v>2167</v>
      </c>
      <c r="B36" s="2464" t="s">
        <v>2168</v>
      </c>
      <c r="C36" s="154"/>
      <c r="D36" s="2465"/>
      <c r="E36" s="2466"/>
      <c r="F36" s="2467"/>
      <c r="G36" s="138"/>
      <c r="H36" s="138"/>
      <c r="I36" s="138"/>
    </row>
    <row r="37" spans="1:15" ht="15.75" thickBot="1">
      <c r="A37" s="3155"/>
      <c r="B37" s="2269" t="s">
        <v>2169</v>
      </c>
      <c r="C37" s="156"/>
      <c r="D37" s="1395"/>
      <c r="E37" s="1395"/>
      <c r="F37" s="2467"/>
      <c r="G37" s="138"/>
      <c r="H37" s="138"/>
      <c r="I37" s="138"/>
    </row>
    <row r="38" spans="1:15" ht="15.75" thickBot="1">
      <c r="A38" s="3156"/>
      <c r="B38" s="2468" t="s">
        <v>2170</v>
      </c>
      <c r="C38" s="727"/>
      <c r="D38" s="2469" t="s">
        <v>2171</v>
      </c>
      <c r="E38" s="1395"/>
      <c r="F38" s="2467"/>
      <c r="G38" s="138"/>
      <c r="H38" s="138"/>
      <c r="I38" s="138"/>
    </row>
    <row r="39" spans="1:15" ht="15">
      <c r="A39" s="2440" t="s">
        <v>2172</v>
      </c>
      <c r="B39" s="2470" t="s">
        <v>2173</v>
      </c>
      <c r="C39" s="2471" t="s">
        <v>2174</v>
      </c>
      <c r="D39" s="2471" t="s">
        <v>2175</v>
      </c>
      <c r="E39" s="2472" t="s">
        <v>2176</v>
      </c>
      <c r="F39" s="2467"/>
      <c r="G39" s="138"/>
      <c r="H39" s="138"/>
      <c r="I39" s="138"/>
    </row>
    <row r="40" spans="1:15" ht="14.25">
      <c r="A40" s="2473" t="s">
        <v>2177</v>
      </c>
      <c r="B40" s="158"/>
      <c r="C40" s="159"/>
      <c r="D40" s="159"/>
      <c r="E40" s="160"/>
      <c r="F40" s="2467"/>
      <c r="G40" s="138"/>
      <c r="H40" s="138"/>
      <c r="I40" s="138"/>
    </row>
    <row r="41" spans="1:15" ht="14.25">
      <c r="A41" s="2473" t="s">
        <v>2178</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2179</v>
      </c>
      <c r="B44" s="2478"/>
      <c r="C44" s="2478"/>
      <c r="D44" s="2479"/>
      <c r="E44" s="2479"/>
      <c r="F44" s="2480"/>
      <c r="G44" s="2480"/>
      <c r="H44" s="2480"/>
      <c r="I44" s="2480"/>
      <c r="J44" s="2481" t="s">
        <v>2180</v>
      </c>
      <c r="K44" s="2482"/>
      <c r="L44" s="2482"/>
      <c r="M44" s="2482"/>
      <c r="N44" s="2482"/>
      <c r="O44" s="2482"/>
    </row>
    <row r="45" spans="1:15" ht="14.25" customHeight="1" thickBot="1">
      <c r="A45" s="3171" t="s">
        <v>2181</v>
      </c>
      <c r="B45" s="3172"/>
      <c r="C45" s="3173"/>
      <c r="D45" s="164">
        <f ca="1">ROUND(H101*F45,0)</f>
        <v>6158</v>
      </c>
      <c r="E45" s="165" t="s">
        <v>2182</v>
      </c>
      <c r="F45" s="166">
        <v>1</v>
      </c>
      <c r="G45" s="167" t="s">
        <v>2183</v>
      </c>
      <c r="H45" s="138"/>
      <c r="I45" s="138"/>
      <c r="J45" s="3090" t="s">
        <v>2184</v>
      </c>
      <c r="K45" s="3090"/>
      <c r="L45" s="3090"/>
      <c r="M45" s="3090"/>
      <c r="N45" s="3090"/>
      <c r="O45" s="3090"/>
    </row>
    <row r="46" spans="1:15" ht="14.25" customHeight="1">
      <c r="A46" s="3168" t="s">
        <v>2185</v>
      </c>
      <c r="B46" s="3169"/>
      <c r="C46" s="3169"/>
      <c r="D46" s="3169"/>
      <c r="E46" s="3169"/>
      <c r="F46" s="3169"/>
      <c r="G46" s="3170"/>
      <c r="H46" s="2483"/>
      <c r="I46" s="168"/>
      <c r="J46" s="1812">
        <v>1</v>
      </c>
      <c r="K46" s="3090" t="s">
        <v>2186</v>
      </c>
      <c r="L46" s="3090"/>
      <c r="M46" s="3091"/>
      <c r="N46" s="3091"/>
      <c r="O46" s="3091"/>
    </row>
    <row r="47" spans="1:15" ht="12" customHeight="1">
      <c r="A47" s="169" t="s">
        <v>2187</v>
      </c>
      <c r="B47" s="170"/>
      <c r="C47" s="171"/>
      <c r="D47" s="172" t="s">
        <v>2188</v>
      </c>
      <c r="E47" s="24" t="s">
        <v>2189</v>
      </c>
      <c r="F47" s="173" t="s">
        <v>2190</v>
      </c>
      <c r="G47" s="174" t="s">
        <v>2191</v>
      </c>
      <c r="H47" s="2483"/>
      <c r="I47" s="168"/>
      <c r="J47" s="1812">
        <v>2</v>
      </c>
      <c r="K47" s="3090" t="s">
        <v>2192</v>
      </c>
      <c r="L47" s="3090"/>
      <c r="M47" s="3092">
        <f>'数据-取费表'!B2</f>
        <v>43224</v>
      </c>
      <c r="N47" s="3092"/>
      <c r="O47" s="3092"/>
    </row>
    <row r="48" spans="1:15" ht="25.5">
      <c r="A48" s="3158" t="s">
        <v>2193</v>
      </c>
      <c r="B48" s="3159"/>
      <c r="C48" s="3159"/>
      <c r="D48" s="140">
        <f>IF(H48="情况1",0,IF(H48="情况2",D52,IF(H48="情况3",D53,IF(H48="情况4",D54))))</f>
        <v>0</v>
      </c>
      <c r="E48" s="1801" t="str">
        <f>IF(H48="情况4","(销售额-原购置价)×税（费）率","销售额×税（费）率")</f>
        <v>销售额×税（费）率</v>
      </c>
      <c r="F48" s="175" t="str">
        <f>IF(H48="情况1","免征",'数据-取费表'!B41)</f>
        <v>免征</v>
      </c>
      <c r="G48" s="2484" t="s">
        <v>2194</v>
      </c>
      <c r="H48" s="2485" t="s">
        <v>2195</v>
      </c>
      <c r="I48" s="2483"/>
      <c r="J48" s="1812">
        <v>3</v>
      </c>
      <c r="K48" s="3090" t="s">
        <v>2196</v>
      </c>
      <c r="L48" s="3090"/>
      <c r="M48" s="3093">
        <f ca="1">H101</f>
        <v>6158</v>
      </c>
      <c r="N48" s="3093"/>
      <c r="O48" s="3093"/>
    </row>
    <row r="49" spans="1:35" ht="25.5" customHeight="1">
      <c r="A49" s="176" t="s">
        <v>2197</v>
      </c>
      <c r="B49" s="3138" t="s">
        <v>2198</v>
      </c>
      <c r="C49" s="3138"/>
      <c r="D49" s="177">
        <v>0</v>
      </c>
      <c r="E49" s="23" t="s">
        <v>2199</v>
      </c>
      <c r="F49" s="28" t="s">
        <v>34</v>
      </c>
      <c r="G49" s="3119"/>
      <c r="H49" s="138"/>
      <c r="I49" s="2486"/>
      <c r="J49" s="1812">
        <v>4</v>
      </c>
      <c r="K49" s="3090" t="str">
        <f>IF(项目基本情况!E8="房地产抵押价值","房地产抵押价值","抵押担保权已注销时的房地产抵押价值")</f>
        <v>抵押担保权已注销时的房地产抵押价值</v>
      </c>
      <c r="L49" s="3090"/>
      <c r="M49" s="3093">
        <f ca="1">IF(项目基本情况!E8="房地产抵押价值",H107,H109)</f>
        <v>6158</v>
      </c>
      <c r="N49" s="3093"/>
      <c r="O49" s="3093"/>
    </row>
    <row r="50" spans="1:35" ht="25.5" customHeight="1">
      <c r="A50" s="178"/>
      <c r="B50" s="3138" t="s">
        <v>2200</v>
      </c>
      <c r="C50" s="3138"/>
      <c r="D50" s="179"/>
      <c r="E50" s="31"/>
      <c r="F50" s="180"/>
      <c r="G50" s="3120"/>
      <c r="H50" s="138"/>
      <c r="I50" s="2486"/>
      <c r="J50" s="3090" t="s">
        <v>2201</v>
      </c>
      <c r="K50" s="3090"/>
      <c r="L50" s="3090"/>
      <c r="M50" s="3090"/>
      <c r="N50" s="3090"/>
      <c r="O50" s="3090"/>
    </row>
    <row r="51" spans="1:35" ht="12" customHeight="1">
      <c r="A51" s="181"/>
      <c r="B51" s="3138" t="s">
        <v>2202</v>
      </c>
      <c r="C51" s="3138"/>
      <c r="D51" s="182"/>
      <c r="E51" s="30"/>
      <c r="F51" s="180"/>
      <c r="G51" s="3121"/>
      <c r="H51" s="138"/>
      <c r="I51" s="2486"/>
      <c r="J51" s="2487" t="s">
        <v>2203</v>
      </c>
      <c r="K51" s="3090" t="s">
        <v>2204</v>
      </c>
      <c r="L51" s="3090"/>
      <c r="M51" s="2487" t="s">
        <v>2205</v>
      </c>
      <c r="N51" s="2487" t="s">
        <v>2206</v>
      </c>
      <c r="O51" s="2487" t="s">
        <v>2207</v>
      </c>
    </row>
    <row r="52" spans="1:35" ht="24" customHeight="1">
      <c r="A52" s="183" t="s">
        <v>2208</v>
      </c>
      <c r="B52" s="3138" t="s">
        <v>2209</v>
      </c>
      <c r="C52" s="3138"/>
      <c r="D52" s="182">
        <f ca="1">ROUND(D45*'数据-取费表'!B41/(1+'数据-取费表'!C42),0)</f>
        <v>328</v>
      </c>
      <c r="E52" s="11" t="s">
        <v>2210</v>
      </c>
      <c r="F52" s="184">
        <f>'数据-取费表'!B41</f>
        <v>5.6000000000000001E-2</v>
      </c>
      <c r="G52" s="2488"/>
      <c r="H52" s="138"/>
      <c r="I52" s="2486"/>
      <c r="J52" s="1812">
        <v>1</v>
      </c>
      <c r="K52" s="3113" t="s">
        <v>2211</v>
      </c>
      <c r="L52" s="3113"/>
      <c r="M52" s="1754">
        <f>D48</f>
        <v>0</v>
      </c>
      <c r="N52" s="1812" t="str">
        <f>E48</f>
        <v>销售额×税（费）率</v>
      </c>
      <c r="O52" s="1755" t="str">
        <f>F48</f>
        <v>免征</v>
      </c>
    </row>
    <row r="53" spans="1:35" ht="12" customHeight="1">
      <c r="A53" s="183" t="s">
        <v>2212</v>
      </c>
      <c r="B53" s="3139" t="s">
        <v>2213</v>
      </c>
      <c r="C53" s="3140"/>
      <c r="D53" s="182">
        <f ca="1">ROUND(D45*'数据-取费表'!B41/(1+'数据-取费表'!C42),0)</f>
        <v>328</v>
      </c>
      <c r="E53" s="11" t="s">
        <v>2210</v>
      </c>
      <c r="F53" s="184">
        <f>'数据-取费表'!B41</f>
        <v>5.6000000000000001E-2</v>
      </c>
      <c r="G53" s="2488"/>
      <c r="H53" s="138"/>
      <c r="I53" s="2486"/>
      <c r="J53" s="1812">
        <v>2</v>
      </c>
      <c r="K53" s="3113" t="s">
        <v>2214</v>
      </c>
      <c r="L53" s="3113"/>
      <c r="M53" s="1754">
        <f t="shared" ref="M53:O54" ca="1" si="0">D55</f>
        <v>3</v>
      </c>
      <c r="N53" s="1812" t="str">
        <f t="shared" si="0"/>
        <v>销售额×税（费）率</v>
      </c>
      <c r="O53" s="1755">
        <f t="shared" si="0"/>
        <v>5.0000000000000001E-4</v>
      </c>
    </row>
    <row r="54" spans="1:35" ht="12" customHeight="1">
      <c r="A54" s="183" t="s">
        <v>2215</v>
      </c>
      <c r="B54" s="3139" t="s">
        <v>2216</v>
      </c>
      <c r="C54" s="3140"/>
      <c r="D54" s="182">
        <f ca="1">C68</f>
        <v>328</v>
      </c>
      <c r="E54" s="30" t="s">
        <v>2217</v>
      </c>
      <c r="F54" s="184">
        <f>'数据-取费表'!B41</f>
        <v>5.6000000000000001E-2</v>
      </c>
      <c r="G54" s="2488"/>
      <c r="H54" s="2489"/>
      <c r="I54" s="2486"/>
      <c r="J54" s="1812">
        <v>3</v>
      </c>
      <c r="K54" s="3113" t="s">
        <v>2218</v>
      </c>
      <c r="L54" s="3113"/>
      <c r="M54" s="1754">
        <f t="shared" ca="1" si="0"/>
        <v>3486</v>
      </c>
      <c r="N54" s="1812" t="str">
        <f t="shared" si="0"/>
        <v>增值额×税（费）率</v>
      </c>
      <c r="O54" s="1756" t="str">
        <f t="shared" si="0"/>
        <v>——</v>
      </c>
    </row>
    <row r="55" spans="1:35" ht="24" customHeight="1">
      <c r="A55" s="3177" t="s">
        <v>2219</v>
      </c>
      <c r="B55" s="3159"/>
      <c r="C55" s="3159"/>
      <c r="D55" s="185">
        <f ca="1">IF(H55="个人住宅",0,ROUND(D45*I55,0))</f>
        <v>3</v>
      </c>
      <c r="E55" s="11" t="s">
        <v>2220</v>
      </c>
      <c r="F55" s="184">
        <f>IF(H55="正常",I55,"免征")</f>
        <v>5.0000000000000001E-4</v>
      </c>
      <c r="G55" s="2488"/>
      <c r="H55" s="2485" t="s">
        <v>2221</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177" t="s">
        <v>2222</v>
      </c>
      <c r="B56" s="3159"/>
      <c r="C56" s="3159"/>
      <c r="D56" s="185">
        <f ca="1">IF(H56="个人住宅",D57,D58)</f>
        <v>3486</v>
      </c>
      <c r="E56" s="11" t="s">
        <v>2223</v>
      </c>
      <c r="F56" s="184" t="str">
        <f>IF(H56="正常",F58,"免征")</f>
        <v>——</v>
      </c>
      <c r="G56" s="2490" t="s">
        <v>2224</v>
      </c>
      <c r="H56" s="2491" t="s">
        <v>2221</v>
      </c>
      <c r="I56" s="2492"/>
      <c r="J56" s="1812" t="str">
        <f>IF(项目基本情况!K6="上海银行",IF(J55="",4,J55+1),"")</f>
        <v/>
      </c>
      <c r="K56" s="3096" t="str">
        <f>IF(项目基本情况!K6="上海银行","其他处置费用","")</f>
        <v/>
      </c>
      <c r="L56" s="3097"/>
      <c r="M56" s="1754" t="str">
        <f>IF(项目基本情况!K6="上海银行",M69,"")</f>
        <v/>
      </c>
      <c r="N56" s="3099" t="str">
        <f>IF(项目基本情况!K6="上海银行","包含处置中涉及的律师、诉讼、拍卖、评估等费用","")</f>
        <v/>
      </c>
      <c r="O56" s="3100"/>
    </row>
    <row r="57" spans="1:35" ht="12.75">
      <c r="A57" s="183" t="s">
        <v>2197</v>
      </c>
      <c r="B57" s="3144" t="s">
        <v>2225</v>
      </c>
      <c r="C57" s="3145"/>
      <c r="D57" s="187">
        <v>0</v>
      </c>
      <c r="E57" s="23" t="s">
        <v>2199</v>
      </c>
      <c r="F57" s="155"/>
      <c r="G57" s="2488"/>
      <c r="H57" s="2492"/>
      <c r="I57" s="2492"/>
      <c r="J57" s="3113">
        <f>IF(AND(J55="",J56=""),4,IF(项目基本情况!K6="上海银行",结果表!J56+1,结果表!J55+1))</f>
        <v>4</v>
      </c>
      <c r="K57" s="3113" t="s">
        <v>2226</v>
      </c>
      <c r="L57" s="2493" t="s">
        <v>2227</v>
      </c>
      <c r="M57" s="1759"/>
      <c r="N57" s="1760">
        <f ca="1">SUMIF(M52:M56,"&lt;9e307")</f>
        <v>3489</v>
      </c>
      <c r="O57" s="2494"/>
      <c r="P57" s="1753">
        <f ca="1">N57/M49</f>
        <v>0.56658005846053916</v>
      </c>
    </row>
    <row r="58" spans="1:35" ht="24.75">
      <c r="A58" s="183" t="s">
        <v>2208</v>
      </c>
      <c r="B58" s="3144" t="s">
        <v>2228</v>
      </c>
      <c r="C58" s="3157"/>
      <c r="D58" s="185">
        <f ca="1">IF(H58="转让取得",C81,C97)</f>
        <v>3486</v>
      </c>
      <c r="E58" s="11" t="s">
        <v>2223</v>
      </c>
      <c r="F58" s="24" t="s">
        <v>34</v>
      </c>
      <c r="G58" s="2488"/>
      <c r="H58" s="2491" t="s">
        <v>2229</v>
      </c>
      <c r="I58" s="2492"/>
      <c r="J58" s="3113"/>
      <c r="K58" s="3113"/>
      <c r="L58" s="2493" t="s">
        <v>2230</v>
      </c>
      <c r="M58" s="1761"/>
      <c r="N58" s="2495" t="str">
        <f ca="1">NUMBERSTRING(INT(N57*10000),2)&amp;"元整"</f>
        <v>叁仟肆佰捌拾玖万元整</v>
      </c>
      <c r="O58" s="2496"/>
    </row>
    <row r="59" spans="1:35" ht="24.75" thickBot="1">
      <c r="A59" s="3117" t="s">
        <v>2231</v>
      </c>
      <c r="B59" s="3118"/>
      <c r="C59" s="3118"/>
      <c r="D59" s="188" t="str">
        <f>IF(H59="非个人房产","——",IF(H59="个人住宅",0,ROUND(D45*I59,0)))</f>
        <v>——</v>
      </c>
      <c r="E59" s="189" t="str">
        <f>IF(H59="非个人房产","——","销售额×税（费）率")</f>
        <v>——</v>
      </c>
      <c r="F59" s="190" t="str">
        <f>IF(H59="非个人房产","——",IF(H59="个人住宅","免征",I59))</f>
        <v>——</v>
      </c>
      <c r="G59" s="2497" t="s">
        <v>2224</v>
      </c>
      <c r="H59" s="2491" t="s">
        <v>2232</v>
      </c>
      <c r="I59" s="191">
        <v>0.01</v>
      </c>
      <c r="J59" s="3115">
        <f>J57+1</f>
        <v>5</v>
      </c>
      <c r="K59" s="3113" t="s">
        <v>2233</v>
      </c>
      <c r="L59" s="1812" t="s">
        <v>2227</v>
      </c>
      <c r="M59" s="1762"/>
      <c r="N59" s="1763">
        <f ca="1">M49-N57</f>
        <v>2669</v>
      </c>
      <c r="O59" s="2498"/>
    </row>
    <row r="60" spans="1:35" ht="12" customHeight="1">
      <c r="A60" s="2499"/>
      <c r="B60" s="2421"/>
      <c r="C60" s="2421"/>
      <c r="D60" s="2421"/>
      <c r="E60" s="2168"/>
      <c r="F60" s="2492"/>
      <c r="G60" s="2492"/>
      <c r="H60" s="2500"/>
      <c r="I60" s="138"/>
      <c r="J60" s="3116"/>
      <c r="K60" s="3113"/>
      <c r="L60" s="2493" t="s">
        <v>2230</v>
      </c>
      <c r="M60" s="1761"/>
      <c r="N60" s="2495" t="str">
        <f ca="1">NUMBERSTRING(INT(N59*10000),2)&amp;"元整"</f>
        <v>贰仟陆佰陆拾玖万元整</v>
      </c>
      <c r="O60" s="2496"/>
    </row>
    <row r="61" spans="1:35" ht="13.5" thickBot="1">
      <c r="A61" s="3176" t="s">
        <v>2234</v>
      </c>
      <c r="B61" s="3176"/>
      <c r="C61" s="3176"/>
      <c r="D61" s="3176"/>
      <c r="E61" s="3176"/>
      <c r="F61" s="2492"/>
      <c r="G61" s="2492"/>
      <c r="H61" s="2500"/>
      <c r="I61" s="138"/>
      <c r="J61" s="1812">
        <f>J59+1</f>
        <v>6</v>
      </c>
      <c r="K61" s="3113" t="s">
        <v>2235</v>
      </c>
      <c r="L61" s="3113"/>
      <c r="M61" s="1764"/>
      <c r="N61" s="1765">
        <f ca="1">ROUND(N59*10000/'数据-汇总表'!E3,0)</f>
        <v>3659</v>
      </c>
      <c r="O61" s="2501"/>
    </row>
    <row r="62" spans="1:35" ht="12.75">
      <c r="A62" s="3133" t="s">
        <v>2236</v>
      </c>
      <c r="B62" s="3134"/>
      <c r="C62" s="1804"/>
      <c r="D62" s="1804" t="s">
        <v>2237</v>
      </c>
      <c r="E62" s="192" t="s">
        <v>2238</v>
      </c>
      <c r="F62" s="2492"/>
      <c r="G62" s="2492"/>
      <c r="H62" s="2500"/>
      <c r="I62" s="138"/>
    </row>
    <row r="63" spans="1:35" ht="12.75">
      <c r="A63" s="203" t="s">
        <v>775</v>
      </c>
      <c r="B63" s="193" t="s">
        <v>2239</v>
      </c>
      <c r="C63" s="194">
        <f ca="1">ROUND((C64+C65)/(1+'数据-取费表'!C42),0)</f>
        <v>5865</v>
      </c>
      <c r="D63" s="195"/>
      <c r="E63" s="196"/>
      <c r="F63" s="2492"/>
      <c r="G63" s="2492"/>
      <c r="H63" s="2500"/>
      <c r="I63" s="138"/>
      <c r="J63" s="3098" t="s">
        <v>2240</v>
      </c>
      <c r="K63" s="2502" t="s">
        <v>2241</v>
      </c>
      <c r="L63" s="1752">
        <f ca="1">IF(M49&gt;10000,M49*0.5%,IF(AND(M49&gt;1000,M49&lt;=10000),M49*1%,IF(AND(M49&gt;100,M49&lt;=1000),M49*3%,IF(AND(M49&gt;10,M49&lt;=100),M49*5%,M49*8%))))</f>
        <v>61.58</v>
      </c>
      <c r="M63" s="24">
        <f ca="1">ROUND(L63,1)</f>
        <v>61.6</v>
      </c>
      <c r="Z63" s="2426"/>
      <c r="AI63" s="2427"/>
    </row>
    <row r="64" spans="1:35" ht="14.25" customHeight="1">
      <c r="A64" s="197" t="s">
        <v>770</v>
      </c>
      <c r="B64" s="198" t="s">
        <v>2242</v>
      </c>
      <c r="C64" s="199">
        <f ca="1">D45</f>
        <v>6158</v>
      </c>
      <c r="D64" s="200" t="s">
        <v>32</v>
      </c>
      <c r="E64" s="201"/>
      <c r="F64" s="2492"/>
      <c r="G64" s="2492"/>
      <c r="H64" s="2500"/>
      <c r="I64" s="138"/>
      <c r="J64" s="3098"/>
      <c r="K64" s="2502" t="s">
        <v>2243</v>
      </c>
      <c r="L64" s="1752">
        <f ca="1">IF(M49&gt;2000,M49*0.5%,IF(AND(M49&gt;1000,M49&lt;=2000),M49*0.6%,IF(AND(M49&gt;500,M49&lt;=1000),M49*0.7%,IF(AND(M49&gt;200,M49&lt;=500),M49*0.8%,IF(AND(M49&gt;100,M49&lt;=200),M49*0.9%,IF(AND(M49&gt;50,M49&lt;=100),M49*1%,IF(AND(M49&gt;20,M49&lt;=50),M49*1.5%,IF(AND(M49&gt;10,M49&lt;=20),M49*2%,IF(AND(M49&gt;1,M49&lt;=10),M49*2.5%)))))))))</f>
        <v>30.79</v>
      </c>
      <c r="M64" s="24">
        <f t="shared" ref="M64:M65" ca="1" si="1">ROUND(L64,1)</f>
        <v>30.8</v>
      </c>
      <c r="N64" s="138" t="s">
        <v>2244</v>
      </c>
      <c r="Z64" s="2426"/>
      <c r="AI64" s="2427"/>
    </row>
    <row r="65" spans="1:35" ht="14.25" customHeight="1">
      <c r="A65" s="197" t="s">
        <v>771</v>
      </c>
      <c r="B65" s="198" t="s">
        <v>2245</v>
      </c>
      <c r="C65" s="202"/>
      <c r="D65" s="200"/>
      <c r="E65" s="201"/>
      <c r="F65" s="2492"/>
      <c r="G65" s="2492"/>
      <c r="H65" s="2500"/>
      <c r="I65" s="138"/>
      <c r="J65" s="3098"/>
      <c r="K65" s="2502" t="s">
        <v>2246</v>
      </c>
      <c r="L65" s="1752">
        <f ca="1">IF(M49&gt;1000,M49*0.1%,IF(AND(M49&gt;500,M49&lt;=1000),M49*0.5%,IF(AND(M49&gt;50,M49&lt;=500),M49*1%,IF(AND(M49&gt;1,M49&lt;=50),M49*1.5%))))</f>
        <v>6.1580000000000004</v>
      </c>
      <c r="M65" s="24">
        <f t="shared" ca="1" si="1"/>
        <v>6.2</v>
      </c>
      <c r="N65" s="138" t="s">
        <v>2244</v>
      </c>
      <c r="Z65" s="2426"/>
      <c r="AI65" s="2427"/>
    </row>
    <row r="66" spans="1:35" ht="14.25" customHeight="1">
      <c r="A66" s="203" t="s">
        <v>772</v>
      </c>
      <c r="B66" s="204" t="s">
        <v>2247</v>
      </c>
      <c r="C66" s="205"/>
      <c r="D66" s="206" t="s">
        <v>32</v>
      </c>
      <c r="E66" s="1776" t="s">
        <v>1371</v>
      </c>
      <c r="F66" s="2492"/>
      <c r="G66" s="2492"/>
      <c r="H66" s="2500"/>
      <c r="I66" s="138"/>
      <c r="J66" s="3098"/>
      <c r="K66" s="2502" t="s">
        <v>2248</v>
      </c>
      <c r="L66" s="1752">
        <f ca="1">M49*0.5%</f>
        <v>30.79</v>
      </c>
      <c r="M66" s="24">
        <f ca="1">IF(L66&gt;0.5,0.5,ROUND(L66,0))</f>
        <v>0.5</v>
      </c>
      <c r="N66" s="138" t="s">
        <v>2249</v>
      </c>
      <c r="Z66" s="2426"/>
      <c r="AI66" s="2427"/>
    </row>
    <row r="67" spans="1:35" ht="14.25" customHeight="1">
      <c r="A67" s="203" t="s">
        <v>773</v>
      </c>
      <c r="B67" s="204" t="s">
        <v>2250</v>
      </c>
      <c r="C67" s="207">
        <f ca="1">C63-C66</f>
        <v>5865</v>
      </c>
      <c r="D67" s="200" t="s">
        <v>32</v>
      </c>
      <c r="E67" s="201"/>
      <c r="F67" s="2492"/>
      <c r="G67" s="2492"/>
      <c r="H67" s="2500"/>
      <c r="I67" s="138"/>
      <c r="J67" s="3098"/>
      <c r="K67" s="2502" t="s">
        <v>2251</v>
      </c>
      <c r="L67" s="1752">
        <f ca="1">IF(M49&gt;=10000,(8.25+(M49-10000)*0.01%),IF(AND(M49&gt;=8000,M49&lt;10000),(7.85+(M49-8000)*0.02%),IF(AND(M49&gt;=5000,M49&lt;8000),(6.65+(M49-5000)*0.04%),IF(AND(M49&gt;=2000,M49&lt;5000),(4.25+(PM49-2000)*0.08%),IF(AND(M49&gt;=1000,M49&lt;2000),(2.75+(M49-1000)*0.15%),IF(AND(M49&gt;=100,M49&lt;1000),(0.5+(M49-100)*0.25%),IF(AND(M49&gt;0,M49&lt;100),M49*0.5%)))))))</f>
        <v>7.1132</v>
      </c>
      <c r="M67" s="24">
        <f ca="1">ROUND(L67*0.9,1)</f>
        <v>6.4</v>
      </c>
      <c r="Z67" s="2426"/>
      <c r="AI67" s="2427"/>
    </row>
    <row r="68" spans="1:35" ht="14.25" customHeight="1" thickBot="1">
      <c r="A68" s="208" t="s">
        <v>774</v>
      </c>
      <c r="B68" s="209" t="s">
        <v>2252</v>
      </c>
      <c r="C68" s="210">
        <f ca="1">IF(C67&lt;=0,0,ROUND(C67*D68,0))</f>
        <v>328</v>
      </c>
      <c r="D68" s="211">
        <f>'数据-取费表'!B41</f>
        <v>5.6000000000000001E-2</v>
      </c>
      <c r="E68" s="212"/>
      <c r="F68" s="2492"/>
      <c r="G68" s="2492"/>
      <c r="H68" s="2500"/>
      <c r="I68" s="138"/>
      <c r="J68" s="3098"/>
      <c r="K68" s="2502" t="s">
        <v>2253</v>
      </c>
      <c r="L68" s="1752">
        <f ca="1">IF(M49&gt;10000,M49*0.5%,IF(AND(M49&gt;5000,M49&lt;=10000),M49*1%,IF(AND(M49&gt;1000,M49&lt;=5000),M49*2%,IF(AND(M49&gt;200,M49&lt;=1000),M49*3%,M49*5%))))</f>
        <v>61.58</v>
      </c>
      <c r="M68" s="24">
        <f ca="1">ROUND(L68,1)</f>
        <v>61.6</v>
      </c>
      <c r="Z68" s="2426"/>
      <c r="AI68" s="2427"/>
    </row>
    <row r="69" spans="1:35" s="2449" customFormat="1" ht="16.5" customHeight="1">
      <c r="A69" s="2503"/>
      <c r="B69" s="2504"/>
      <c r="C69" s="2505"/>
      <c r="D69" s="2506"/>
      <c r="E69" s="2507"/>
      <c r="F69" s="2168"/>
      <c r="G69" s="2168"/>
      <c r="H69" s="2167"/>
      <c r="I69" s="2421"/>
      <c r="J69" s="3098"/>
      <c r="K69" s="2502" t="s">
        <v>2254</v>
      </c>
      <c r="L69" s="2508"/>
      <c r="M69" s="24">
        <f ca="1">ROUND(SUM(M63:M68),0)</f>
        <v>167</v>
      </c>
      <c r="N69" s="1753">
        <f ca="1">M69/M49</f>
        <v>2.7119194543683015E-2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42" t="s">
        <v>2255</v>
      </c>
      <c r="B70" s="3143"/>
      <c r="C70" s="3143"/>
      <c r="D70" s="3143"/>
      <c r="E70" s="3143"/>
      <c r="F70" s="3143"/>
      <c r="G70" s="3143"/>
      <c r="H70" s="314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33" t="s">
        <v>2236</v>
      </c>
      <c r="B71" s="3134"/>
      <c r="C71" s="1804"/>
      <c r="D71" s="1804" t="s">
        <v>2237</v>
      </c>
      <c r="E71" s="213" t="s">
        <v>2238</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2256</v>
      </c>
      <c r="C72" s="207">
        <f ca="1">ROUND(D45/(1+'数据-取费表'!C42),0)</f>
        <v>5865</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2257</v>
      </c>
      <c r="C73" s="207">
        <f ca="1">C74+C78</f>
        <v>35</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2258</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2259</v>
      </c>
      <c r="C75" s="218"/>
      <c r="D75" s="200" t="s">
        <v>32</v>
      </c>
      <c r="E75" s="219" t="s">
        <v>2260</v>
      </c>
      <c r="F75" s="2514" t="s">
        <v>2261</v>
      </c>
      <c r="G75" s="219" t="s">
        <v>2262</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2263</v>
      </c>
      <c r="C76" s="200">
        <f>IF(F75="购房发票",ROUND(C75*H75*D76,0),0)</f>
        <v>0</v>
      </c>
      <c r="D76" s="222">
        <v>0.05</v>
      </c>
      <c r="E76" s="3139" t="s">
        <v>2264</v>
      </c>
      <c r="F76" s="3138"/>
      <c r="G76" s="3138"/>
      <c r="H76" s="314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6" t="s">
        <v>2267</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2268</v>
      </c>
      <c r="C78" s="225">
        <f ca="1">ROUND(D45*D78/(1+'数据-取费表'!C42),0)</f>
        <v>35</v>
      </c>
      <c r="D78" s="226">
        <f>'数据-取费表'!B43</f>
        <v>6.000000000000001E-3</v>
      </c>
      <c r="E78" s="3130" t="s">
        <v>2269</v>
      </c>
      <c r="F78" s="3131"/>
      <c r="G78" s="3131"/>
      <c r="H78" s="313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2270</v>
      </c>
      <c r="C79" s="207">
        <f ca="1">C72-C73</f>
        <v>5830</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2271</v>
      </c>
      <c r="C80" s="227">
        <f ca="1">IF(C79&lt;=0,0,C79/C73)</f>
        <v>166.57142857142858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2272</v>
      </c>
      <c r="C81" s="228">
        <f ca="1">ROUND(IF(C79&lt;=0,0,IF(C80&gt;=200%,C79*60%-C73*35%,IF(C80&gt;=100%,C79*50%-C73*15%,IF(C80&gt;=50%,C79*40%-C73*5%,IF(C80&lt;50%,C79*30%,0))))),0)</f>
        <v>3486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42" t="s">
        <v>2273</v>
      </c>
      <c r="B83" s="3143"/>
      <c r="C83" s="3143"/>
      <c r="D83" s="3143"/>
      <c r="E83" s="3143"/>
      <c r="F83" s="3143"/>
      <c r="G83" s="3143"/>
      <c r="H83" s="314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33" t="s">
        <v>2236</v>
      </c>
      <c r="B84" s="3134"/>
      <c r="C84" s="1804"/>
      <c r="D84" s="1804" t="s">
        <v>2237</v>
      </c>
      <c r="E84" s="213" t="s">
        <v>2238</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2256</v>
      </c>
      <c r="C85" s="207">
        <f ca="1">ROUND(D45/(1+'数据-取费表'!C42),0)</f>
        <v>5865</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2257</v>
      </c>
      <c r="C86" s="207">
        <f ca="1">IF(H88="仅含出让金",C87+C90+C91+C92+C93+C94,C87+C91+C92+C93+C94)</f>
        <v>35</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2274</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2275</v>
      </c>
      <c r="C88" s="236"/>
      <c r="D88" s="226"/>
      <c r="E88" s="237" t="s">
        <v>2276</v>
      </c>
      <c r="F88" s="1800"/>
      <c r="G88" s="238" t="s">
        <v>2277</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2265</v>
      </c>
      <c r="C89" s="225">
        <f>ROUND(C88*D89,0)</f>
        <v>0</v>
      </c>
      <c r="D89" s="226">
        <f>'数据-取费表'!B48+'数据-取费表'!B49</f>
        <v>3.0499999999999999E-2</v>
      </c>
      <c r="E89" s="237" t="s">
        <v>2278</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2279</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2280</v>
      </c>
      <c r="B91" s="198" t="s">
        <v>2281</v>
      </c>
      <c r="C91" s="225">
        <f>IF(H91="——",成本法!C33,I91)</f>
        <v>0</v>
      </c>
      <c r="D91" s="226"/>
      <c r="E91" s="3130" t="s">
        <v>2282</v>
      </c>
      <c r="F91" s="3131"/>
      <c r="G91" s="3131"/>
      <c r="H91" s="2521" t="s">
        <v>2283</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2284</v>
      </c>
      <c r="B92" s="198" t="s">
        <v>2285</v>
      </c>
      <c r="C92" s="225">
        <f>ROUND((C87+C90+C91)*D92,0)</f>
        <v>0</v>
      </c>
      <c r="D92" s="226">
        <v>0.1</v>
      </c>
      <c r="E92" s="3130" t="s">
        <v>2286</v>
      </c>
      <c r="F92" s="3131"/>
      <c r="G92" s="3131"/>
      <c r="H92" s="313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2287</v>
      </c>
      <c r="B93" s="198" t="s">
        <v>2268</v>
      </c>
      <c r="C93" s="225">
        <f ca="1">ROUND(D45*D93/(1+'数据-取费表'!C42),0)</f>
        <v>35</v>
      </c>
      <c r="D93" s="226">
        <f>'数据-取费表'!B43</f>
        <v>6.000000000000001E-3</v>
      </c>
      <c r="E93" s="3130" t="s">
        <v>2269</v>
      </c>
      <c r="F93" s="3131"/>
      <c r="G93" s="3131"/>
      <c r="H93" s="313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2288</v>
      </c>
      <c r="B94" s="198" t="s">
        <v>2289</v>
      </c>
      <c r="C94" s="236">
        <f>ROUND((C87+C90+C91)*D94,0)</f>
        <v>0</v>
      </c>
      <c r="D94" s="226">
        <v>0.2</v>
      </c>
      <c r="E94" s="3178" t="s">
        <v>2290</v>
      </c>
      <c r="F94" s="3179"/>
      <c r="G94" s="3179"/>
      <c r="H94" s="318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2270</v>
      </c>
      <c r="C95" s="207">
        <f ca="1">ROUND(C85-C86,0)</f>
        <v>5830</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2271</v>
      </c>
      <c r="C96" s="227">
        <f ca="1">IF(C95&lt;=0,0,C95/C86)</f>
        <v>166.57142857142858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2272</v>
      </c>
      <c r="C97" s="228">
        <f ca="1">ROUND(IF(C95&lt;=0,0,IF(C96&gt;=200%,C95*60%-C86*35%,IF(C96&gt;=100%,C95*50%-C86*15%,IF(C96&gt;=50%,C95*40%-C86*5%,IF(C96&lt;50%,C95*30%,0))))),0)</f>
        <v>3486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2291</v>
      </c>
      <c r="B99" s="2421"/>
      <c r="C99" s="2421"/>
      <c r="D99" s="2421"/>
      <c r="E99" s="2168"/>
      <c r="F99" s="2168"/>
      <c r="G99" s="2168"/>
      <c r="H99" s="2167"/>
      <c r="I99" s="138"/>
    </row>
    <row r="100" spans="1:35" ht="18.75" customHeight="1">
      <c r="A100" s="3082" t="s">
        <v>2292</v>
      </c>
      <c r="B100" s="3083"/>
      <c r="C100" s="3083"/>
      <c r="D100" s="3114"/>
      <c r="E100" s="3083" t="s">
        <v>2293</v>
      </c>
      <c r="F100" s="3083"/>
      <c r="G100" s="3083"/>
      <c r="H100" s="3114"/>
      <c r="I100" s="138"/>
    </row>
    <row r="101" spans="1:35" ht="18.75" customHeight="1">
      <c r="A101" s="3122" t="s">
        <v>2294</v>
      </c>
      <c r="B101" s="3123"/>
      <c r="C101" s="736" t="str">
        <f>C4</f>
        <v>收益法（汇总）</v>
      </c>
      <c r="D101" s="737" t="str">
        <f>D4</f>
        <v>成本法</v>
      </c>
      <c r="E101" s="3094" t="s">
        <v>2295</v>
      </c>
      <c r="F101" s="3095"/>
      <c r="G101" s="2523" t="s">
        <v>2296</v>
      </c>
      <c r="H101" s="1048">
        <f ca="1">H118</f>
        <v>6158</v>
      </c>
      <c r="I101" s="138"/>
    </row>
    <row r="102" spans="1:35" ht="18.75" customHeight="1">
      <c r="A102" s="3124" t="s">
        <v>2297</v>
      </c>
      <c r="B102" s="2523" t="s">
        <v>2296</v>
      </c>
      <c r="C102" s="736">
        <f ca="1">C19</f>
        <v>7106</v>
      </c>
      <c r="D102" s="737">
        <f ca="1">D19</f>
        <v>4735</v>
      </c>
      <c r="E102" s="3094"/>
      <c r="F102" s="3095"/>
      <c r="G102" s="2523" t="s">
        <v>2298</v>
      </c>
      <c r="H102" s="371">
        <f ca="1">I118</f>
        <v>8443</v>
      </c>
      <c r="I102" s="138"/>
    </row>
    <row r="103" spans="1:35" ht="42.75" customHeight="1">
      <c r="A103" s="3124"/>
      <c r="B103" s="2523" t="s">
        <v>2298</v>
      </c>
      <c r="C103" s="738">
        <f ca="1">C20</f>
        <v>9743</v>
      </c>
      <c r="D103" s="739">
        <f ca="1">D20</f>
        <v>6492</v>
      </c>
      <c r="E103" s="3088" t="s">
        <v>2299</v>
      </c>
      <c r="F103" s="3089"/>
      <c r="G103" s="2524" t="s">
        <v>2300</v>
      </c>
      <c r="H103" s="1048">
        <f>IF(D36="正常操作",H104+H105+H106,H105+H106)</f>
        <v>0</v>
      </c>
      <c r="I103" s="138"/>
    </row>
    <row r="104" spans="1:35" ht="18.75" customHeight="1">
      <c r="A104" s="3124" t="s">
        <v>2301</v>
      </c>
      <c r="B104" s="2525" t="s">
        <v>2296</v>
      </c>
      <c r="C104" s="740">
        <f ca="1">H118</f>
        <v>6158</v>
      </c>
      <c r="D104" s="741"/>
      <c r="E104" s="2269" t="s">
        <v>2302</v>
      </c>
      <c r="F104" s="2260"/>
      <c r="G104" s="2524" t="s">
        <v>2300</v>
      </c>
      <c r="H104" s="1049">
        <f>IF(D36="同一抵押权人同一抵押物续贷",C36&amp;"（未扣减，详见特别提示）",C36)</f>
        <v>0</v>
      </c>
      <c r="I104" s="138"/>
    </row>
    <row r="105" spans="1:35" ht="18.75" customHeight="1" thickBot="1">
      <c r="A105" s="3136"/>
      <c r="B105" s="2526" t="s">
        <v>2298</v>
      </c>
      <c r="C105" s="742">
        <f ca="1">I118</f>
        <v>8443</v>
      </c>
      <c r="D105" s="743"/>
      <c r="E105" s="2269" t="s">
        <v>2303</v>
      </c>
      <c r="F105" s="2260"/>
      <c r="G105" s="2524" t="s">
        <v>2300</v>
      </c>
      <c r="H105" s="1049">
        <f>C37</f>
        <v>0</v>
      </c>
      <c r="I105" s="138"/>
    </row>
    <row r="106" spans="1:35" ht="18.75" customHeight="1">
      <c r="A106" s="2421" t="s">
        <v>2304</v>
      </c>
      <c r="B106" s="2421"/>
      <c r="C106" s="2421"/>
      <c r="D106" s="2421"/>
      <c r="E106" s="2527" t="s">
        <v>2305</v>
      </c>
      <c r="F106" s="2260"/>
      <c r="G106" s="2524" t="s">
        <v>2300</v>
      </c>
      <c r="H106" s="1049">
        <f>C38</f>
        <v>0</v>
      </c>
      <c r="I106" s="138"/>
    </row>
    <row r="107" spans="1:35" ht="18.75" customHeight="1">
      <c r="A107" s="138"/>
      <c r="B107" s="138"/>
      <c r="C107" s="138"/>
      <c r="D107" s="138"/>
      <c r="E107" s="3125" t="str">
        <f>IF(项目基本情况!E8="已注销","——","3.房地产抵押价值")</f>
        <v>——</v>
      </c>
      <c r="F107" s="3095"/>
      <c r="G107" s="2523" t="s">
        <v>2296</v>
      </c>
      <c r="H107" s="1048" t="str">
        <f>IF(E107="——","——",H101-H103)</f>
        <v>——</v>
      </c>
      <c r="I107" s="138"/>
    </row>
    <row r="108" spans="1:35" ht="18.75" customHeight="1">
      <c r="A108" s="138"/>
      <c r="B108" s="138"/>
      <c r="C108" s="138"/>
      <c r="D108" s="138"/>
      <c r="E108" s="3125"/>
      <c r="F108" s="3095"/>
      <c r="G108" s="2523" t="s">
        <v>2298</v>
      </c>
      <c r="H108" s="371" t="e">
        <f>ROUND(H107*10000/'数据-汇总表'!E3,0)</f>
        <v>#VALUE!</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3.抵押担保权已注销时的房地产抵押价值</v>
      </c>
      <c r="F109" s="3095"/>
      <c r="G109" s="2523" t="s">
        <v>2296</v>
      </c>
      <c r="H109" s="348">
        <f ca="1">IF(E109="——","——",H101-H105-H106)</f>
        <v>6158</v>
      </c>
      <c r="I109" s="138"/>
    </row>
    <row r="110" spans="1:35" ht="18.75" customHeight="1">
      <c r="A110" s="138"/>
      <c r="B110" s="138"/>
      <c r="C110" s="138"/>
      <c r="D110" s="138"/>
      <c r="E110" s="3125"/>
      <c r="F110" s="3095"/>
      <c r="G110" s="2523" t="s">
        <v>2298</v>
      </c>
      <c r="H110" s="371">
        <f ca="1">IF(H109="——","——",ROUND(H109*10000/'数据-汇总表'!E3,0))</f>
        <v>8443</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3" t="s">
        <v>2296</v>
      </c>
      <c r="H111" s="1048" t="str">
        <f>IF(E111="——","——",N59)</f>
        <v>——</v>
      </c>
      <c r="I111" s="138"/>
    </row>
    <row r="112" spans="1:35" ht="18.75" customHeight="1" thickBot="1">
      <c r="A112" s="138"/>
      <c r="B112" s="138"/>
      <c r="C112" s="138"/>
      <c r="D112" s="138"/>
      <c r="E112" s="3128"/>
      <c r="F112" s="3129"/>
      <c r="G112" s="2528" t="s">
        <v>2298</v>
      </c>
      <c r="H112" s="790" t="str">
        <f>IF(E111="——","——",N61)</f>
        <v>——</v>
      </c>
      <c r="I112" s="138"/>
    </row>
    <row r="113" spans="1:11" ht="18.75" customHeight="1">
      <c r="A113" s="138"/>
      <c r="B113" s="138"/>
      <c r="C113" s="138"/>
      <c r="D113" s="138"/>
      <c r="E113" s="3137" t="s">
        <v>2304</v>
      </c>
      <c r="F113" s="3137"/>
      <c r="G113" s="3137"/>
      <c r="H113" s="3137"/>
      <c r="I113" s="138"/>
    </row>
    <row r="114" spans="1:11" ht="3.75" customHeight="1">
      <c r="A114" s="2421"/>
      <c r="B114" s="2421"/>
      <c r="C114" s="2421"/>
      <c r="D114" s="2421"/>
      <c r="E114" s="2499"/>
      <c r="F114" s="2499"/>
      <c r="G114" s="2499"/>
      <c r="H114" s="2499"/>
      <c r="I114" s="2421"/>
    </row>
    <row r="115" spans="1:11" ht="18.75" customHeight="1">
      <c r="A115" s="3150" t="s">
        <v>2306</v>
      </c>
      <c r="B115" s="3151"/>
      <c r="C115" s="3151"/>
      <c r="D115" s="3151"/>
      <c r="E115" s="3151"/>
      <c r="F115" s="3151"/>
      <c r="G115" s="3151"/>
      <c r="H115" s="3151"/>
      <c r="I115" s="3152"/>
    </row>
    <row r="116" spans="1:11" ht="27" customHeight="1">
      <c r="A116" s="3061" t="s">
        <v>2307</v>
      </c>
      <c r="B116" s="3104" t="s">
        <v>2308</v>
      </c>
      <c r="C116" s="3104" t="s">
        <v>2309</v>
      </c>
      <c r="D116" s="3110" t="s">
        <v>2310</v>
      </c>
      <c r="E116" s="3111"/>
      <c r="F116" s="3146" t="s">
        <v>2311</v>
      </c>
      <c r="G116" s="3146"/>
      <c r="H116" s="3061" t="s">
        <v>2312</v>
      </c>
      <c r="I116" s="3061"/>
    </row>
    <row r="117" spans="1:11" ht="18.75" customHeight="1">
      <c r="A117" s="3061"/>
      <c r="B117" s="3105"/>
      <c r="C117" s="3105"/>
      <c r="D117" s="1798" t="s">
        <v>2313</v>
      </c>
      <c r="E117" s="1798" t="s">
        <v>2314</v>
      </c>
      <c r="F117" s="1798" t="s">
        <v>2313</v>
      </c>
      <c r="G117" s="1798" t="s">
        <v>2315</v>
      </c>
      <c r="H117" s="1798" t="s">
        <v>2313</v>
      </c>
      <c r="I117" s="1798" t="s">
        <v>2315</v>
      </c>
    </row>
    <row r="118" spans="1:11" ht="24.75" customHeight="1">
      <c r="A118" s="2529" t="str">
        <f>项目基本情况!S2</f>
        <v>北京市丰台区刘庄子119号1幢等18幢楼房地产</v>
      </c>
      <c r="B118" s="1798">
        <f>M18</f>
        <v>7293.6999999999989</v>
      </c>
      <c r="C118" s="1798">
        <f>M19</f>
        <v>8515.35</v>
      </c>
      <c r="D118" s="1798">
        <f ca="1">ROUND(IF(D32="总价",C34,E118*B118/10000),0)</f>
        <v>5111</v>
      </c>
      <c r="E118" s="1798">
        <f ca="1">ROUND(IF(C33="自定义",IF(D32="楼面单价",C34,D118*10000/B118),I118-G118),0)</f>
        <v>7008</v>
      </c>
      <c r="F118" s="1798">
        <f ca="1">ROUND(IF(D32="总价",C35,G118*B118/10000),0)</f>
        <v>1047</v>
      </c>
      <c r="G118" s="1798">
        <f ca="1">ROUND(IF(D32="楼面单价",C35,F118*10000/B118),0)</f>
        <v>1435</v>
      </c>
      <c r="H118" s="1798">
        <f ca="1">ROUND(IF(D32="总价",C32,I118*B118/10000),0)</f>
        <v>6158</v>
      </c>
      <c r="I118" s="1798">
        <f ca="1">ROUND(IF(D32="楼面单价",C32,H118*10000/B118),0)</f>
        <v>8443</v>
      </c>
    </row>
    <row r="119" spans="1:11" ht="18.75" customHeight="1">
      <c r="A119" s="3061" t="s">
        <v>2316</v>
      </c>
      <c r="B119" s="3061"/>
      <c r="C119" s="3061"/>
      <c r="D119" s="3106" t="str">
        <f ca="1">NUMBERSTRING(INT(D118*10000),2)&amp;"元整"</f>
        <v>伍仟壹佰壹拾壹万元整</v>
      </c>
      <c r="E119" s="3107"/>
      <c r="F119" s="3106" t="str">
        <f ca="1">NUMBERSTRING(INT(F118*10000),2)&amp;"元整"</f>
        <v>壹仟零肆拾柒万元整</v>
      </c>
      <c r="G119" s="3107"/>
      <c r="H119" s="3106" t="str">
        <f ca="1">NUMBERSTRING(INT(H118*10000),2)&amp;"元整"</f>
        <v>陆仟壹佰伍拾捌万元整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6" t="str">
        <f>IF(D120=0,"故，本次评估不存在"&amp;A120,"故，本次评估"&amp;A120&amp;"为人民币"&amp;D120&amp;"万元整。")</f>
        <v>故，本次评估不存在估价师知悉的法定优先受偿款</v>
      </c>
    </row>
    <row r="121" spans="1:11" ht="18.75" customHeight="1">
      <c r="A121" s="3147" t="s">
        <v>2316</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
      </c>
      <c r="B122" s="3112"/>
      <c r="C122" s="3112"/>
      <c r="D122" s="3101" t="str">
        <f>H107</f>
        <v>——</v>
      </c>
      <c r="E122" s="3102"/>
      <c r="F122" s="3102"/>
      <c r="G122" s="3102"/>
      <c r="H122" s="3102"/>
      <c r="I122" s="3103"/>
    </row>
    <row r="123" spans="1:11" ht="18.75" customHeight="1">
      <c r="A123" s="3061" t="s">
        <v>2316</v>
      </c>
      <c r="B123" s="3061"/>
      <c r="C123" s="3061"/>
      <c r="D123" s="3106" t="e">
        <f>NUMBERSTRING(INT(D122*10000),2)&amp;"元整"</f>
        <v>#VALUE!</v>
      </c>
      <c r="E123" s="3108"/>
      <c r="F123" s="3108"/>
      <c r="G123" s="3108"/>
      <c r="H123" s="3108"/>
      <c r="I123" s="3107"/>
    </row>
    <row r="124" spans="1:11" ht="18.75" customHeight="1">
      <c r="A124" s="3112" t="str">
        <f>IF(项目基本情况!B9="房地产市场价值","",MID(E109,3,LEN(E109)-2))</f>
        <v>抵押担保权已注销时的房地产抵押价值</v>
      </c>
      <c r="B124" s="3112"/>
      <c r="C124" s="3112"/>
      <c r="D124" s="3101">
        <f ca="1">H109</f>
        <v>6158</v>
      </c>
      <c r="E124" s="3102"/>
      <c r="F124" s="3102"/>
      <c r="G124" s="3102"/>
      <c r="H124" s="3102"/>
      <c r="I124" s="3103"/>
    </row>
    <row r="125" spans="1:11" ht="18.75" customHeight="1">
      <c r="A125" s="3061" t="s">
        <v>2316</v>
      </c>
      <c r="B125" s="3061"/>
      <c r="C125" s="3061"/>
      <c r="D125" s="3106" t="str">
        <f ca="1">NUMBERSTRING(INT(D124*10000),2)&amp;"元整"</f>
        <v>陆仟壹佰伍拾捌万元整</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2316</v>
      </c>
      <c r="B127" s="3061"/>
      <c r="C127" s="3061"/>
      <c r="D127" s="3106" t="e">
        <f>NUMBERSTRING(INT(D126*10000),2)&amp;"元整"</f>
        <v>#VALUE!</v>
      </c>
      <c r="E127" s="3108"/>
      <c r="F127" s="3108"/>
      <c r="G127" s="3108"/>
      <c r="H127" s="3108"/>
      <c r="I127" s="3107"/>
    </row>
    <row r="128" spans="1:11" ht="21.75" customHeight="1">
      <c r="A128" s="3109" t="s">
        <v>2317</v>
      </c>
      <c r="B128" s="3109"/>
      <c r="C128" s="3109"/>
      <c r="D128" s="3109"/>
      <c r="E128" s="3109"/>
      <c r="F128" s="3109"/>
      <c r="G128" s="3109"/>
      <c r="H128" s="3109"/>
      <c r="I128" s="3109"/>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8</v>
      </c>
    </row>
    <row r="2" spans="1:9" s="244" customFormat="1" ht="18" customHeight="1">
      <c r="A2" s="245" t="s">
        <v>2326</v>
      </c>
      <c r="B2" s="246">
        <f ca="1">IF(D2="——",C52,C52-E2)</f>
        <v>4735</v>
      </c>
      <c r="C2" s="243" t="s">
        <v>2327</v>
      </c>
      <c r="D2" s="2552" t="s">
        <v>70</v>
      </c>
      <c r="E2" s="1443" t="e">
        <f ca="1">SUMIF(INDIRECT("'"&amp;G2&amp;"'"&amp;"!A:A"),"承租人权益价值",INDIRECT("'"&amp;G2&amp;"'"&amp;"!c:c"))</f>
        <v>#REF!</v>
      </c>
      <c r="F2" s="2553" t="s">
        <v>2327</v>
      </c>
      <c r="G2" s="2554"/>
    </row>
    <row r="3" spans="1:9" s="244" customFormat="1" ht="18" customHeight="1" thickBot="1">
      <c r="A3" s="247" t="s">
        <v>2328</v>
      </c>
      <c r="B3" s="248">
        <f ca="1">ROUND(B2*10000/(IF(B1="",'数据-汇总表'!E3,INDIRECT("'数据-取费表'!k"&amp;$G$1))),0)</f>
        <v>6492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2703</v>
      </c>
      <c r="D5" s="255" t="s">
        <v>2333</v>
      </c>
      <c r="E5" s="256" t="s">
        <v>2334</v>
      </c>
      <c r="F5" s="256" t="s">
        <v>2335</v>
      </c>
      <c r="G5" s="257"/>
    </row>
    <row r="6" spans="1:9" s="258" customFormat="1" ht="13.5" customHeight="1">
      <c r="A6" s="952" t="s">
        <v>2336</v>
      </c>
      <c r="B6" s="259" t="s">
        <v>2337</v>
      </c>
      <c r="C6" s="260">
        <f ca="1">基准地价修正!C26</f>
        <v>2481</v>
      </c>
      <c r="D6" s="261"/>
      <c r="E6" s="262"/>
      <c r="F6" s="262"/>
      <c r="G6" s="263"/>
    </row>
    <row r="7" spans="1:9" s="258" customFormat="1" ht="13.5" customHeight="1">
      <c r="A7" s="952" t="s">
        <v>2338</v>
      </c>
      <c r="B7" s="259" t="s">
        <v>2339</v>
      </c>
      <c r="C7" s="264">
        <f ca="1">ROUND(C6*F7,0)</f>
        <v>76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146</v>
      </c>
      <c r="D8" s="266"/>
      <c r="E8" s="264"/>
      <c r="F8" s="265"/>
      <c r="G8" s="2555" t="s">
        <v>3095</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6" t="s">
        <v>3089</v>
      </c>
      <c r="H9" s="1393"/>
      <c r="I9" s="2557" t="s">
        <v>2343</v>
      </c>
    </row>
    <row r="10" spans="1:9" s="258" customFormat="1" ht="13.5" customHeight="1">
      <c r="A10" s="953" t="s">
        <v>801</v>
      </c>
      <c r="B10" s="268" t="s">
        <v>2344</v>
      </c>
      <c r="C10" s="269">
        <f ca="1">ROUND(D10*E10/10000,0)</f>
        <v>146</v>
      </c>
      <c r="D10" s="1035">
        <f ca="1">IF(B1="",'数据-汇总表'!E6,IF(INDIRECT("'数据-取费表'!c"&amp;$G$1)="住宅",INDIRECT("'数据-取费表'!s"&amp;$G$1),INDIRECT("'数据-取费表'!k"&amp;$G$1)+INDIRECT("'数据-取费表'!s"&amp;$G$1)))</f>
        <v>7293.6999999999989</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7293.6999999999989</v>
      </c>
      <c r="E19" s="255">
        <f>'数据-取费表'!B31</f>
        <v>200</v>
      </c>
      <c r="F19" s="275"/>
      <c r="G19" s="2555" t="s">
        <v>3096</v>
      </c>
    </row>
    <row r="20" spans="1:7" s="258" customFormat="1" ht="13.5" customHeight="1">
      <c r="A20" s="299" t="s">
        <v>2357</v>
      </c>
      <c r="B20" s="254" t="s">
        <v>2358</v>
      </c>
      <c r="C20" s="276">
        <f ca="1">ROUND((C5+C19)*F20,0)</f>
        <v>81</v>
      </c>
      <c r="D20" s="276"/>
      <c r="E20" s="276"/>
      <c r="F20" s="277">
        <f>'数据-取费表'!B37</f>
        <v>0.03</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267</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263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4</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418</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ROUND((C5+C19+C20)*F27*'数据-取费表'!B21/'数据-取费表'!B20,0)</f>
        <v>418</v>
      </c>
      <c r="D28" s="279"/>
      <c r="E28" s="280"/>
      <c r="F28" s="290"/>
      <c r="G28" s="291"/>
    </row>
    <row r="29" spans="1:7" s="258" customFormat="1" ht="13.5" customHeight="1">
      <c r="A29" s="954"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3760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1823</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1605</v>
      </c>
      <c r="D34" s="261"/>
      <c r="E34" s="264"/>
      <c r="F34" s="301">
        <f ca="1">IF('数据-取费表'!B24=0,1,IF(B1="",'数据-取费表'!N16,INDIRECT("'数据-取费表'!n"&amp;$G$1)))</f>
        <v>1</v>
      </c>
      <c r="G34" s="263" t="s">
        <v>2390</v>
      </c>
    </row>
    <row r="35" spans="1:7" ht="13.5" customHeight="1">
      <c r="A35" s="954" t="s">
        <v>796</v>
      </c>
      <c r="B35" s="259" t="s">
        <v>2391</v>
      </c>
      <c r="C35" s="264">
        <f ca="1">ROUND(C34*F35,0)</f>
        <v>48</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146</v>
      </c>
      <c r="D37" s="261">
        <f ca="1">D19</f>
        <v>7293.6999999999989</v>
      </c>
      <c r="E37" s="293">
        <f>'数据-取费表'!B35</f>
        <v>200</v>
      </c>
      <c r="F37" s="303"/>
      <c r="G37" s="305" t="s">
        <v>2396</v>
      </c>
    </row>
    <row r="38" spans="1:7" ht="13.5" customHeight="1">
      <c r="A38" s="954" t="s">
        <v>799</v>
      </c>
      <c r="B38" s="259" t="s">
        <v>2397</v>
      </c>
      <c r="C38" s="264">
        <f ca="1">ROUND(C34*F38,0)</f>
        <v>24</v>
      </c>
      <c r="D38" s="264"/>
      <c r="E38" s="264"/>
      <c r="F38" s="303">
        <f>'数据-取费表'!B36</f>
        <v>1.4999999999999999E-2</v>
      </c>
      <c r="G38" s="263" t="s">
        <v>2392</v>
      </c>
    </row>
    <row r="39" spans="1:7" s="258" customFormat="1" ht="13.5" customHeight="1">
      <c r="A39" s="299" t="s">
        <v>2398</v>
      </c>
      <c r="B39" s="254" t="s">
        <v>2399</v>
      </c>
      <c r="C39" s="276">
        <f ca="1">ROUND(C33*F20,0)</f>
        <v>55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90</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87</v>
      </c>
      <c r="D42" s="282"/>
      <c r="E42" s="282"/>
      <c r="F42" s="283"/>
      <c r="G42" s="3181" t="s">
        <v>2408</v>
      </c>
    </row>
    <row r="43" spans="1:7" ht="13.5" customHeight="1">
      <c r="A43" s="954" t="s">
        <v>792</v>
      </c>
      <c r="B43" s="259" t="s">
        <v>2409</v>
      </c>
      <c r="C43" s="282">
        <f ca="1">ROUND(IF('数据-取费表'!B22&lt;=1,C39*F22*'数据-取费表'!B21/2,C39*(POWER((1+F22),'数据-取费表'!B21/2)-1)),0)</f>
        <v>3</v>
      </c>
      <c r="D43" s="282"/>
      <c r="E43" s="282"/>
      <c r="F43" s="283"/>
      <c r="G43" s="3182"/>
    </row>
    <row r="44" spans="1:7" ht="13.5" customHeight="1">
      <c r="A44" s="954" t="s">
        <v>793</v>
      </c>
      <c r="B44" s="259" t="s">
        <v>2410</v>
      </c>
      <c r="C44" s="282">
        <f ca="1">ROUND(IF('数据-取费表'!B22&lt;=1,C40*F22*'数据-取费表'!B21/2,C40*(POWER((1+F22),'数据-取费表'!B21/2)-1)),4)</f>
        <v>1E-3</v>
      </c>
      <c r="D44" s="282"/>
      <c r="E44" s="282"/>
      <c r="F44" s="283"/>
      <c r="G44" s="3183"/>
    </row>
    <row r="45" spans="1:7" s="258" customFormat="1" ht="13.5" customHeight="1">
      <c r="A45" s="299" t="s">
        <v>2411</v>
      </c>
      <c r="B45" s="288" t="s">
        <v>2377</v>
      </c>
      <c r="C45" s="289">
        <f ca="1">C46</f>
        <v>282</v>
      </c>
      <c r="D45" s="279">
        <f ca="1">C47</f>
        <v>3.0000000000000001E-3</v>
      </c>
      <c r="E45" s="280" t="s">
        <v>2403</v>
      </c>
      <c r="F45" s="290"/>
      <c r="G45" s="291" t="s">
        <v>2412</v>
      </c>
    </row>
    <row r="46" spans="1:7" s="258" customFormat="1" ht="13.5" customHeight="1">
      <c r="A46" s="954" t="s">
        <v>791</v>
      </c>
      <c r="B46" s="292" t="s">
        <v>2413</v>
      </c>
      <c r="C46" s="293">
        <f ca="1">ROUND((C33+C39)*F27,0)</f>
        <v>282</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2438</v>
      </c>
      <c r="D49" s="276"/>
      <c r="E49" s="276"/>
      <c r="F49" s="308"/>
      <c r="G49" s="278" t="s">
        <v>2418</v>
      </c>
    </row>
    <row r="50" spans="1:7" s="302" customFormat="1" ht="24">
      <c r="A50" s="299" t="s">
        <v>2419</v>
      </c>
      <c r="B50" s="254" t="s">
        <v>2420</v>
      </c>
      <c r="C50" s="276"/>
      <c r="D50" s="276"/>
      <c r="E50" s="276"/>
      <c r="F50" s="308">
        <f>IF('数据-取费表'!B24=0,'数据-取费表'!N16,1)</f>
        <v>0.4</v>
      </c>
      <c r="G50" s="291" t="s">
        <v>2421</v>
      </c>
    </row>
    <row r="51" spans="1:7" ht="16.5" customHeight="1">
      <c r="A51" s="299" t="s">
        <v>2422</v>
      </c>
      <c r="B51" s="254" t="s">
        <v>2423</v>
      </c>
      <c r="C51" s="276">
        <f ca="1">ROUND(C49*F50,0)</f>
        <v>975</v>
      </c>
      <c r="D51" s="276"/>
      <c r="E51" s="276"/>
      <c r="F51" s="308"/>
      <c r="G51" s="278" t="s">
        <v>2424</v>
      </c>
    </row>
    <row r="52" spans="1:7" s="252" customFormat="1" ht="16.5" thickBot="1">
      <c r="A52" s="309" t="s">
        <v>2425</v>
      </c>
      <c r="B52" s="310"/>
      <c r="C52" s="311">
        <f ca="1">C31+C51</f>
        <v>4735</v>
      </c>
      <c r="D52" s="310"/>
      <c r="E52" s="310"/>
      <c r="F52" s="310"/>
      <c r="G52" s="312"/>
    </row>
    <row r="55" spans="1:7" ht="15">
      <c r="B55" s="314" t="s">
        <v>2426</v>
      </c>
      <c r="C55" s="315"/>
    </row>
    <row r="56" spans="1:7">
      <c r="B56" s="317" t="s">
        <v>1512</v>
      </c>
      <c r="C56" s="319">
        <f ca="1">1-C57</f>
        <v>0.79400000000000004</v>
      </c>
    </row>
    <row r="57" spans="1:7">
      <c r="B57" s="317" t="s">
        <v>1513</v>
      </c>
      <c r="C57" s="318">
        <f ca="1">ROUND(C51/C52,3)</f>
        <v>0.20599999999999999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5" t="str">
        <f>项目基本情况!B1</f>
        <v>北京市丰台区刘庄子119号1幢等18幢楼房地产抵押价值预评估</v>
      </c>
      <c r="C37" s="2995"/>
      <c r="D37" s="2995"/>
      <c r="E37" s="2995"/>
      <c r="F37" s="2995"/>
      <c r="G37" s="2995"/>
      <c r="H37" s="2995"/>
      <c r="I37" s="2995"/>
    </row>
    <row r="38" spans="1:9">
      <c r="A38" s="1019"/>
      <c r="B38" s="1019"/>
    </row>
    <row r="39" spans="1:9">
      <c r="A39" s="1017" t="s">
        <v>818</v>
      </c>
      <c r="B39" s="1017" t="s">
        <v>820</v>
      </c>
    </row>
    <row r="40" spans="1:9">
      <c r="A40" s="1017"/>
      <c r="B40" s="1945" t="str">
        <f>项目基本情况!B5</f>
        <v>北京富仁通商贸有限公司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8</v>
      </c>
      <c r="H1" s="1285" t="str">
        <f>IF(ISERROR(FIND("住宅",B1)),"非住宅","住宅")</f>
        <v>非住宅</v>
      </c>
    </row>
    <row r="2" spans="1:8" s="244" customFormat="1" ht="18" customHeight="1">
      <c r="A2" s="245" t="s">
        <v>2326</v>
      </c>
      <c r="B2" s="246">
        <f ca="1">ROUND(IF(D2="——",C52/10000,C52/10000-E2),0)</f>
        <v>1380</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1892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1458740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1458740</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1458740</v>
      </c>
      <c r="D10" s="1035">
        <f ca="1">IF(B1="",'数据-汇总表'!E6,IF(INDIRECT("'数据-取费表'!c"&amp;$G$1)="住宅",INDIRECT("'数据-取费表'!s"&amp;$G$1),INDIRECT("'数据-取费表'!k"&amp;$G$1)+INDIRECT("'数据-取费表'!s"&amp;$G$1)))</f>
        <v>7293.6999999999989</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1458740</v>
      </c>
      <c r="D19" s="1039">
        <f ca="1">D9+D10</f>
        <v>7293.6999999999989</v>
      </c>
      <c r="E19" s="255">
        <f>'数据-取费表'!B31</f>
        <v>200</v>
      </c>
      <c r="F19" s="275"/>
      <c r="G19" s="2555"/>
    </row>
    <row r="20" spans="1:7" s="258" customFormat="1" ht="13.5" customHeight="1">
      <c r="A20" s="299" t="s">
        <v>2438</v>
      </c>
      <c r="B20" s="254" t="s">
        <v>2439</v>
      </c>
      <c r="C20" s="276">
        <f ca="1">ROUND((C5+C19)*F20,0)</f>
        <v>87524</v>
      </c>
      <c r="D20" s="276"/>
      <c r="E20" s="276"/>
      <c r="F20" s="277">
        <f>'数据-取费表'!B37</f>
        <v>0.03</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287901</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141872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141872</v>
      </c>
      <c r="D24" s="282"/>
      <c r="E24" s="282"/>
      <c r="F24" s="283"/>
      <c r="G24" s="284" t="s">
        <v>2450</v>
      </c>
    </row>
    <row r="25" spans="1:7" s="258" customFormat="1" ht="24">
      <c r="A25" s="954" t="s">
        <v>2340</v>
      </c>
      <c r="B25" s="259" t="s">
        <v>2451</v>
      </c>
      <c r="C25" s="1384">
        <f ca="1">ROUND(IF('数据-取费表'!B22&lt;=1,C20*F22*'数据-取费表'!B22/2,C20*(POWER((1+F22),'数据-取费表'!B22/2)-1)),0)</f>
        <v>4157</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450751</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ROUND((C5+C19+C20)*F27,0)</f>
        <v>450751</v>
      </c>
      <c r="D28" s="279"/>
      <c r="E28" s="280"/>
      <c r="F28" s="290"/>
      <c r="G28" s="291"/>
    </row>
    <row r="29" spans="1:7" s="258" customFormat="1" ht="13.5" customHeight="1">
      <c r="A29" s="954"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4057284</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18226956</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16046140</v>
      </c>
      <c r="D34" s="261"/>
      <c r="E34" s="264"/>
      <c r="F34" s="301"/>
      <c r="G34" s="263"/>
    </row>
    <row r="35" spans="1:7" ht="13.5" customHeight="1">
      <c r="A35" s="954" t="s">
        <v>796</v>
      </c>
      <c r="B35" s="259" t="s">
        <v>2391</v>
      </c>
      <c r="C35" s="264">
        <f ca="1">ROUND(C34*F35,0)</f>
        <v>481384</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0.03</v>
      </c>
      <c r="G36" s="304" t="s">
        <v>2394</v>
      </c>
    </row>
    <row r="37" spans="1:7" s="302" customFormat="1" ht="13.5" customHeight="1">
      <c r="A37" s="954" t="s">
        <v>798</v>
      </c>
      <c r="B37" s="259" t="s">
        <v>2395</v>
      </c>
      <c r="C37" s="293">
        <f ca="1">ROUND(E37*D37,0)</f>
        <v>1458740</v>
      </c>
      <c r="D37" s="261">
        <f ca="1">D19</f>
        <v>7293.6999999999989</v>
      </c>
      <c r="E37" s="293">
        <f>'数据-取费表'!B35</f>
        <v>200</v>
      </c>
      <c r="F37" s="303"/>
      <c r="G37" s="305"/>
    </row>
    <row r="38" spans="1:7" ht="13.5" customHeight="1">
      <c r="A38" s="954" t="s">
        <v>799</v>
      </c>
      <c r="B38" s="259" t="s">
        <v>2397</v>
      </c>
      <c r="C38" s="264">
        <f ca="1">ROUND(C34*F38,0)</f>
        <v>240692</v>
      </c>
      <c r="D38" s="264"/>
      <c r="E38" s="264"/>
      <c r="F38" s="303">
        <f>'数据-取费表'!B36</f>
        <v>1.4999999999999999E-2</v>
      </c>
      <c r="G38" s="263" t="s">
        <v>2392</v>
      </c>
    </row>
    <row r="39" spans="1:7" s="258" customFormat="1" ht="13.5" customHeight="1">
      <c r="A39" s="299" t="s">
        <v>2398</v>
      </c>
      <c r="B39" s="254" t="s">
        <v>2399</v>
      </c>
      <c r="C39" s="276">
        <f ca="1">ROUND(C33*F20,0)</f>
        <v>546809</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891753</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865780</v>
      </c>
      <c r="D42" s="282"/>
      <c r="E42" s="282"/>
      <c r="F42" s="283"/>
      <c r="G42" s="3181" t="s">
        <v>2455</v>
      </c>
    </row>
    <row r="43" spans="1:7" ht="13.5" customHeight="1">
      <c r="A43" s="954" t="s">
        <v>792</v>
      </c>
      <c r="B43" s="259" t="s">
        <v>2409</v>
      </c>
      <c r="C43" s="282">
        <f ca="1">ROUND(IF('数据-取费表'!B22&lt;=1,C39*F22*'数据-取费表'!B20/2,C39*(POWER((1+F22),'数据-取费表'!B20/2)-1)),0)</f>
        <v>25973</v>
      </c>
      <c r="D43" s="282"/>
      <c r="E43" s="282"/>
      <c r="F43" s="283"/>
      <c r="G43" s="3182"/>
    </row>
    <row r="44" spans="1:7" ht="13.5" customHeight="1">
      <c r="A44" s="954" t="s">
        <v>793</v>
      </c>
      <c r="B44" s="259" t="s">
        <v>2410</v>
      </c>
      <c r="C44" s="282">
        <f ca="1">ROUND(IF('数据-取费表'!B22&lt;=1,C40*F22*'数据-取费表'!B20/2,C40*(POWER((1+F22),'数据-取费表'!B20/2)-1)),4)</f>
        <v>1E-3</v>
      </c>
      <c r="D44" s="282"/>
      <c r="E44" s="282"/>
      <c r="F44" s="283"/>
      <c r="G44" s="3183"/>
    </row>
    <row r="45" spans="1:7" s="258" customFormat="1" ht="13.5" customHeight="1">
      <c r="A45" s="299" t="s">
        <v>2411</v>
      </c>
      <c r="B45" s="288" t="s">
        <v>2377</v>
      </c>
      <c r="C45" s="289">
        <f ca="1">C46</f>
        <v>2816065</v>
      </c>
      <c r="D45" s="279">
        <f ca="1">C47</f>
        <v>3.0000000000000001E-3</v>
      </c>
      <c r="E45" s="280" t="s">
        <v>2403</v>
      </c>
      <c r="F45" s="290"/>
      <c r="G45" s="291" t="s">
        <v>2412</v>
      </c>
    </row>
    <row r="46" spans="1:7" s="258" customFormat="1" ht="13.5" customHeight="1">
      <c r="A46" s="954" t="s">
        <v>791</v>
      </c>
      <c r="B46" s="292" t="s">
        <v>2413</v>
      </c>
      <c r="C46" s="293">
        <f ca="1">ROUND((C33+C39)*F27,0)</f>
        <v>2816065</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24364997</v>
      </c>
      <c r="D49" s="276"/>
      <c r="E49" s="276"/>
      <c r="F49" s="308"/>
      <c r="G49" s="278" t="s">
        <v>2418</v>
      </c>
    </row>
    <row r="50" spans="1:7" s="302" customFormat="1">
      <c r="A50" s="299" t="s">
        <v>2419</v>
      </c>
      <c r="B50" s="254" t="s">
        <v>2420</v>
      </c>
      <c r="C50" s="276"/>
      <c r="D50" s="276"/>
      <c r="E50" s="276"/>
      <c r="F50" s="308">
        <f>IF('数据-取费表'!B24=0,'数据-取费表'!N16,1)</f>
        <v>0.4</v>
      </c>
      <c r="G50" s="291"/>
    </row>
    <row r="51" spans="1:7" ht="16.5" customHeight="1">
      <c r="A51" s="299" t="s">
        <v>2422</v>
      </c>
      <c r="B51" s="254" t="s">
        <v>2457</v>
      </c>
      <c r="C51" s="276">
        <f ca="1">ROUND(C49*F50,0)</f>
        <v>9745999</v>
      </c>
      <c r="D51" s="276"/>
      <c r="E51" s="276"/>
      <c r="F51" s="308"/>
      <c r="G51" s="278" t="s">
        <v>2424</v>
      </c>
    </row>
    <row r="52" spans="1:7" s="252" customFormat="1" ht="16.5" thickBot="1">
      <c r="A52" s="309" t="s">
        <v>2425</v>
      </c>
      <c r="B52" s="310"/>
      <c r="C52" s="311">
        <f ca="1">C31+C51</f>
        <v>13803283</v>
      </c>
      <c r="D52" s="310"/>
      <c r="E52" s="310"/>
      <c r="F52" s="310"/>
      <c r="G52" s="312"/>
    </row>
    <row r="55" spans="1:7" ht="15">
      <c r="B55" s="314" t="s">
        <v>2426</v>
      </c>
      <c r="C55" s="315"/>
    </row>
    <row r="56" spans="1:7">
      <c r="B56" s="317" t="s">
        <v>1512</v>
      </c>
      <c r="C56" s="319">
        <f ca="1">1-C57</f>
        <v>0.29400000000000004</v>
      </c>
    </row>
    <row r="57" spans="1:7">
      <c r="B57" s="317" t="s">
        <v>1513</v>
      </c>
      <c r="C57" s="318">
        <f ca="1">ROUND(C51/C52,3)</f>
        <v>0.70599999999999996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8</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7293.6999999999989</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7293.6999999999989</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146</v>
      </c>
      <c r="D20" s="1036">
        <f ca="1">IF(C1="",'数据-汇总表'!E6,IF(INDIRECT("'数据-取费表'!c"&amp;$K$1)="住宅",INDIRECT("'数据-取费表'!s"&amp;$K$1),INDIRECT("'数据-取费表'!k"&amp;$K$1)+INDIRECT("'数据-取费表'!s"&amp;$K$1)))</f>
        <v>7293.6999999999989</v>
      </c>
      <c r="E20" s="24">
        <f>'数据-取费表'!B28</f>
        <v>200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16" sqref="B1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2803</v>
      </c>
      <c r="B1" s="241"/>
      <c r="C1" s="245" t="s">
        <v>2804</v>
      </c>
      <c r="D1" s="388">
        <f>SUM(D29:D30,D33:D39)</f>
        <v>7293.7000000000007</v>
      </c>
      <c r="E1" s="2722"/>
      <c r="F1" s="2722"/>
      <c r="G1" s="2722"/>
      <c r="H1" s="2722"/>
      <c r="I1" s="2722"/>
      <c r="J1" s="2722"/>
      <c r="K1" s="1373"/>
      <c r="L1" s="2723" t="s">
        <v>2805</v>
      </c>
      <c r="M1" s="1083">
        <f>SUMPRODUCT((区片价!B5:B9=I2)*(区片价!C3:F3=E2)*(区片价!C5:F9))</f>
        <v>0</v>
      </c>
      <c r="N1" s="1086">
        <f>SUMPRODUCT((因素修正幅度!B5:B9=I2)*(因素修正幅度!C3:F3=E2)*(因素修正幅度!C5:F9))</f>
        <v>0</v>
      </c>
      <c r="O1" s="2724"/>
      <c r="P1" s="2724"/>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f ca="1">C26</f>
        <v>2481</v>
      </c>
      <c r="C2" s="2726" t="s">
        <v>2812</v>
      </c>
      <c r="D2" s="2727" t="s">
        <v>2813</v>
      </c>
      <c r="E2" s="2728" t="s">
        <v>6</v>
      </c>
      <c r="F2" s="2727" t="s">
        <v>2814</v>
      </c>
      <c r="G2" s="2729" t="str">
        <f>IF(E2="商业",项目基本情况!B37,IF(E2="办公",项目基本情况!C37,IF(E2="住宅",项目基本情况!D37,项目基本情况!E37)))</f>
        <v>五级</v>
      </c>
      <c r="H2" s="2727" t="s">
        <v>2815</v>
      </c>
      <c r="I2" s="2729" t="str">
        <f>IF(E2="商业",项目基本情况!B38,IF(E2="办公",项目基本情况!C38,IF(E2="住宅",项目基本情况!D38,项目基本情况!E38)))</f>
        <v>Ⅴ-05</v>
      </c>
      <c r="J2" s="2730"/>
      <c r="K2" s="1373"/>
      <c r="L2" s="2731"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2.1661999999999999</v>
      </c>
      <c r="T2" s="1605">
        <f ca="1">ROUND($C$5*$C$18*$C$19*$C$20*S2*$C$24,0)</f>
        <v>5255</v>
      </c>
      <c r="U2" s="1606"/>
      <c r="V2" s="1605">
        <f ca="1">ROUND(T2*U2/10000,0)</f>
        <v>0</v>
      </c>
      <c r="W2" s="1609"/>
      <c r="X2" s="1609"/>
      <c r="Y2" s="1609"/>
      <c r="Z2" s="1609"/>
      <c r="AA2" s="1609"/>
      <c r="AB2" s="1609"/>
      <c r="AC2" s="1610"/>
      <c r="AD2" s="1611"/>
      <c r="AE2" s="1611"/>
      <c r="AF2" s="1611"/>
      <c r="AG2" s="1611"/>
      <c r="AH2" s="1611"/>
      <c r="AI2" s="1611"/>
      <c r="AJ2" s="1612"/>
    </row>
    <row r="3" spans="1:36" ht="15.75">
      <c r="A3" s="247" t="s">
        <v>2817</v>
      </c>
      <c r="B3" s="248">
        <f ca="1">ROUND(B2*10000/D1,0)</f>
        <v>3402</v>
      </c>
      <c r="C3" s="2726" t="s">
        <v>2818</v>
      </c>
      <c r="D3" s="2727" t="s">
        <v>2819</v>
      </c>
      <c r="E3" s="2732" t="s">
        <v>3075</v>
      </c>
      <c r="F3" s="2733" t="s">
        <v>2820</v>
      </c>
      <c r="G3" s="916">
        <f>IF(F3="宗地容积率",'数据-汇总表'!I4,IF(F3="估价对象容积率",'数据-汇总表'!I6,'数据-汇总表'!I7))</f>
        <v>0.86</v>
      </c>
      <c r="H3" s="198" t="s">
        <v>2821</v>
      </c>
      <c r="I3" s="947"/>
      <c r="J3" s="2730" t="s">
        <v>2822</v>
      </c>
      <c r="K3" s="1373"/>
      <c r="L3" s="2731"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1.5548999999999999</v>
      </c>
      <c r="T3" s="1605">
        <f t="shared" ref="T3:T16" ca="1" si="0">ROUND($C$5*$C$18*$C$19*$C$20*S3*$C$24,0)</f>
        <v>3772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98"/>
      <c r="B4" s="3199"/>
      <c r="C4" s="3199"/>
      <c r="D4" s="3200"/>
      <c r="E4" s="3200"/>
      <c r="F4" s="3200"/>
      <c r="G4" s="3200"/>
      <c r="H4" s="3200"/>
      <c r="I4" s="3200"/>
      <c r="J4" s="3201"/>
      <c r="K4" s="1373"/>
      <c r="L4" s="2731"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1.2544</v>
      </c>
      <c r="T4" s="1605">
        <f t="shared" ca="1" si="0"/>
        <v>3043</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2825</v>
      </c>
      <c r="C5" s="917">
        <f>ROUND(IF(E2="商业",IF(F16="增加",C6*C7+C16,C6*C7-C16),IF(E2="住宅",IF(F16="增加",C6*C12+C16,C6*C12-C16),IF(F16="增加",C6+C16,C6-C16))),0)</f>
        <v>2230</v>
      </c>
      <c r="D5" s="1790">
        <f>ROUND(IF(E2="商业",IF(F16="增加",C6+C16,C6-C16)),0)</f>
        <v>0</v>
      </c>
      <c r="E5" s="2736"/>
      <c r="F5" s="2736"/>
      <c r="G5" s="2737"/>
      <c r="H5" s="2737"/>
      <c r="I5" s="2737"/>
      <c r="J5" s="2738"/>
      <c r="K5" s="2739"/>
      <c r="L5" s="2731" t="s">
        <v>2826</v>
      </c>
      <c r="M5" s="1084">
        <f>SUMPRODUCT((区片价!B76:B109=I2)*(区片价!C3:F3=E2)*(区片价!C76:F109))</f>
        <v>2290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1.0065</v>
      </c>
      <c r="T5" s="1605">
        <f t="shared" ca="1" si="0"/>
        <v>2442</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2827</v>
      </c>
      <c r="B6" s="2745" t="s">
        <v>2828</v>
      </c>
      <c r="C6" s="918">
        <f>SUMIF(L1:L12,G2,M1:M12)</f>
        <v>2290</v>
      </c>
      <c r="D6" s="2746" t="s">
        <v>2829</v>
      </c>
      <c r="E6" s="2747"/>
      <c r="F6" s="2747"/>
      <c r="G6" s="2748"/>
      <c r="H6" s="2748"/>
      <c r="I6" s="2748"/>
      <c r="J6" s="2749"/>
      <c r="K6" s="1845"/>
      <c r="L6" s="2731"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0.85709999999999997</v>
      </c>
      <c r="T6" s="1605">
        <f t="shared" ca="1" si="0"/>
        <v>2079</v>
      </c>
      <c r="U6" s="1606"/>
      <c r="V6" s="1605">
        <f t="shared" ca="1" si="1"/>
        <v>0</v>
      </c>
      <c r="W6" s="1609"/>
      <c r="X6" s="1609"/>
      <c r="Y6" s="1609"/>
      <c r="Z6" s="1609"/>
      <c r="AA6" s="1609"/>
      <c r="AB6" s="1609"/>
      <c r="AC6" s="2740"/>
      <c r="AD6" s="2741"/>
      <c r="AE6" s="2741"/>
      <c r="AF6" s="2741"/>
      <c r="AG6" s="2741"/>
      <c r="AH6" s="2741"/>
      <c r="AI6" s="2741"/>
      <c r="AJ6" s="2742"/>
    </row>
    <row r="7" spans="1:36" ht="24" hidden="1">
      <c r="A7" s="3184" t="str">
        <f>IF(E2="商业",IF(C8="不临58条商业街","",2),"")</f>
        <v/>
      </c>
      <c r="B7" s="2750" t="s">
        <v>2831</v>
      </c>
      <c r="C7" s="919">
        <f>IF(C8="不临58条商业街",1,ROUND(1+(1.6*E8+1.2*E9+0.8*E10+0.4*E11)*C9,4))</f>
        <v>1</v>
      </c>
      <c r="D7" s="2751" t="s">
        <v>2832</v>
      </c>
      <c r="E7" s="948"/>
      <c r="F7" s="2752"/>
      <c r="G7" s="2753"/>
      <c r="H7" s="2753"/>
      <c r="I7" s="2753"/>
      <c r="J7" s="2754"/>
      <c r="K7" s="1845"/>
      <c r="L7" s="2731"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0.75370000000000004</v>
      </c>
      <c r="T7" s="1605">
        <f t="shared" ca="1" si="0"/>
        <v>1829</v>
      </c>
      <c r="U7" s="1606"/>
      <c r="V7" s="1605">
        <f t="shared" ca="1" si="1"/>
        <v>0</v>
      </c>
      <c r="W7" s="1819" t="s">
        <v>2834</v>
      </c>
      <c r="X7" s="1607" t="str">
        <f>G2</f>
        <v>五级</v>
      </c>
      <c r="Y7" s="1607" t="s">
        <v>2835</v>
      </c>
      <c r="Z7" s="1608">
        <f>G3</f>
        <v>0.86</v>
      </c>
      <c r="AA7" s="1609"/>
      <c r="AB7" s="1609"/>
      <c r="AC7" s="1610"/>
      <c r="AD7" s="1611"/>
      <c r="AE7" s="1611"/>
      <c r="AF7" s="1611"/>
      <c r="AG7" s="1611"/>
      <c r="AH7" s="1611"/>
      <c r="AI7" s="1611"/>
      <c r="AJ7" s="1612"/>
    </row>
    <row r="8" spans="1:36" ht="25.5" hidden="1">
      <c r="A8" s="3185"/>
      <c r="B8" s="198" t="s">
        <v>2836</v>
      </c>
      <c r="C8" s="2755" t="s">
        <v>3073</v>
      </c>
      <c r="D8" s="920" t="s">
        <v>139</v>
      </c>
      <c r="E8" s="921" t="e">
        <f>ROUND(C11/E7,4)</f>
        <v>#DIV/0!</v>
      </c>
      <c r="F8" s="2756" t="s">
        <v>2837</v>
      </c>
      <c r="G8" s="2757"/>
      <c r="H8" s="2757"/>
      <c r="I8" s="2757"/>
      <c r="J8" s="2758"/>
      <c r="K8" s="1373"/>
      <c r="L8" s="2731"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95" t="s">
        <v>2839</v>
      </c>
      <c r="X8" s="3196"/>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hidden="1">
      <c r="A9" s="3185"/>
      <c r="B9" s="198" t="s">
        <v>2852</v>
      </c>
      <c r="C9" s="922">
        <f>SUMIF(修正!C59:C119,C8,修正!E59:E119)</f>
        <v>0</v>
      </c>
      <c r="D9" s="200" t="s">
        <v>140</v>
      </c>
      <c r="E9" s="200" t="e">
        <f>ROUND(C11/E7,4)</f>
        <v>#DIV/0!</v>
      </c>
      <c r="F9" s="2756" t="s">
        <v>2853</v>
      </c>
      <c r="G9" s="2757"/>
      <c r="H9" s="2757"/>
      <c r="I9" s="2757"/>
      <c r="J9" s="2758"/>
      <c r="K9" s="1373"/>
      <c r="L9" s="2731"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97"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185"/>
      <c r="B10" s="198" t="s">
        <v>2857</v>
      </c>
      <c r="C10" s="200">
        <f>SUMIF(修正!C59:C119,C8,修正!F59:F119)</f>
        <v>0</v>
      </c>
      <c r="D10" s="200" t="s">
        <v>141</v>
      </c>
      <c r="E10" s="200" t="e">
        <f>ROUND(C11/E7,4)</f>
        <v>#DIV/0!</v>
      </c>
      <c r="F10" s="2756" t="s">
        <v>2858</v>
      </c>
      <c r="G10" s="2757"/>
      <c r="H10" s="2757"/>
      <c r="I10" s="2757"/>
      <c r="J10" s="2758"/>
      <c r="K10" s="1373"/>
      <c r="L10" s="2731"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9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185"/>
      <c r="B11" s="2759" t="s">
        <v>2860</v>
      </c>
      <c r="C11" s="923">
        <f>C10/4</f>
        <v>0</v>
      </c>
      <c r="D11" s="923" t="s">
        <v>142</v>
      </c>
      <c r="E11" s="923" t="e">
        <f>ROUND(C11/E7,4)</f>
        <v>#DIV/0!</v>
      </c>
      <c r="F11" s="2760" t="s">
        <v>2861</v>
      </c>
      <c r="G11" s="2761"/>
      <c r="H11" s="2761"/>
      <c r="I11" s="2761"/>
      <c r="J11" s="2762"/>
      <c r="K11" s="1373"/>
      <c r="L11" s="2731"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97" t="s">
        <v>2863</v>
      </c>
      <c r="X11" s="1617" t="s">
        <v>2864</v>
      </c>
      <c r="Y11" s="1618">
        <f>$G$3</f>
        <v>0.86</v>
      </c>
      <c r="Z11" s="1618">
        <f t="shared" ref="Z11:AJ11" si="3">$G$3</f>
        <v>0.86</v>
      </c>
      <c r="AA11" s="1618">
        <f t="shared" si="3"/>
        <v>0.86</v>
      </c>
      <c r="AB11" s="1618">
        <f t="shared" si="3"/>
        <v>0.86</v>
      </c>
      <c r="AC11" s="1618">
        <f t="shared" si="3"/>
        <v>0.86</v>
      </c>
      <c r="AD11" s="1618">
        <f t="shared" si="3"/>
        <v>0.86</v>
      </c>
      <c r="AE11" s="1618">
        <f t="shared" si="3"/>
        <v>0.86</v>
      </c>
      <c r="AF11" s="1618">
        <f t="shared" si="3"/>
        <v>0.86</v>
      </c>
      <c r="AG11" s="1618">
        <f t="shared" si="3"/>
        <v>0.86</v>
      </c>
      <c r="AH11" s="1618">
        <f t="shared" si="3"/>
        <v>0.86</v>
      </c>
      <c r="AI11" s="1618">
        <f t="shared" si="3"/>
        <v>0.86</v>
      </c>
      <c r="AJ11" s="1618">
        <f t="shared" si="3"/>
        <v>0.86</v>
      </c>
    </row>
    <row r="12" spans="1:36" ht="25.5" hidden="1" thickBot="1">
      <c r="A12" s="3184" t="s">
        <v>2865</v>
      </c>
      <c r="B12" s="2763" t="s">
        <v>2866</v>
      </c>
      <c r="C12" s="919">
        <f>ROUND(C15*D15*E15*F15*G15*H15*I15*J15,4)</f>
        <v>1</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97"/>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02"/>
      <c r="B13" s="2769" t="s">
        <v>2870</v>
      </c>
      <c r="C13" s="2770" t="s">
        <v>2871</v>
      </c>
      <c r="D13" s="1811" t="s">
        <v>2872</v>
      </c>
      <c r="E13" s="1811" t="s">
        <v>2873</v>
      </c>
      <c r="F13" s="30" t="s">
        <v>2874</v>
      </c>
      <c r="G13" s="2771" t="s">
        <v>2875</v>
      </c>
      <c r="H13" s="2771" t="s">
        <v>2875</v>
      </c>
      <c r="I13" s="2771" t="s">
        <v>2875</v>
      </c>
      <c r="J13" s="2772" t="s">
        <v>2875</v>
      </c>
      <c r="K13" s="1373"/>
      <c r="L13" s="1373"/>
      <c r="M13" s="1373"/>
      <c r="N13" s="1373"/>
      <c r="O13" s="1373"/>
      <c r="P13" s="1373"/>
      <c r="Q13" s="1373"/>
      <c r="R13" s="1605">
        <v>12</v>
      </c>
      <c r="S13" s="1606"/>
      <c r="T13" s="1605">
        <f t="shared" ca="1" si="0"/>
        <v>0</v>
      </c>
      <c r="U13" s="1606"/>
      <c r="V13" s="1605">
        <f t="shared" ca="1" si="1"/>
        <v>0</v>
      </c>
      <c r="W13" s="3197"/>
      <c r="X13" s="1619"/>
      <c r="Y13" s="1616">
        <f>(-0.163*(Y12^2)-0.59*Y12+7617)*(10^(-4))/Y11</f>
        <v>0.8856976744186047</v>
      </c>
      <c r="Z13" s="1616">
        <f t="shared" ref="Z13:AJ13" si="5">(-0.163*(Z12^2)-0.59*Z12+7617)*(10^(-4))/Z11</f>
        <v>0.8856976744186047</v>
      </c>
      <c r="AA13" s="1616">
        <f t="shared" si="5"/>
        <v>0.8856976744186047</v>
      </c>
      <c r="AB13" s="1616">
        <f t="shared" si="5"/>
        <v>0.8856976744186047</v>
      </c>
      <c r="AC13" s="1616">
        <f t="shared" si="5"/>
        <v>0.8856976744186047</v>
      </c>
      <c r="AD13" s="1616">
        <f t="shared" si="5"/>
        <v>0.8856976744186047</v>
      </c>
      <c r="AE13" s="1616">
        <f t="shared" si="5"/>
        <v>0.8856976744186047</v>
      </c>
      <c r="AF13" s="1616">
        <f t="shared" si="5"/>
        <v>0.8856976744186047</v>
      </c>
      <c r="AG13" s="1616">
        <f t="shared" si="5"/>
        <v>0.8856976744186047</v>
      </c>
      <c r="AH13" s="1616">
        <f t="shared" si="5"/>
        <v>0.8856976744186047</v>
      </c>
      <c r="AI13" s="1616">
        <f t="shared" si="5"/>
        <v>0.8856976744186047</v>
      </c>
      <c r="AJ13" s="1616">
        <f t="shared" si="5"/>
        <v>0.8856976744186047</v>
      </c>
    </row>
    <row r="14" spans="1:36" ht="15" hidden="1">
      <c r="A14" s="3202"/>
      <c r="B14" s="2773"/>
      <c r="C14" s="2774"/>
      <c r="D14" s="2775"/>
      <c r="E14" s="2775"/>
      <c r="F14" s="2776"/>
      <c r="G14" s="2777" t="s">
        <v>2876</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03"/>
      <c r="B15" s="2781" t="s">
        <v>2877</v>
      </c>
      <c r="C15" s="229">
        <f>IF(C14="有",1.1,1)</f>
        <v>1</v>
      </c>
      <c r="D15" s="229">
        <f>IF(D14="有",1.1,1)</f>
        <v>1</v>
      </c>
      <c r="E15" s="229">
        <f>IF(E14="有",1.1,1)</f>
        <v>1</v>
      </c>
      <c r="F15" s="229">
        <f>IF(F14="500米范围内",1.2,IF(F14="500-1000米",1.1,1))</f>
        <v>1</v>
      </c>
      <c r="G15" s="949">
        <v>1</v>
      </c>
      <c r="H15" s="949">
        <v>1</v>
      </c>
      <c r="I15" s="949">
        <v>1</v>
      </c>
      <c r="J15" s="950">
        <v>1</v>
      </c>
      <c r="K15" s="1373"/>
      <c r="L15" s="2782" t="s">
        <v>2813</v>
      </c>
      <c r="M15" s="920" t="s">
        <v>2878</v>
      </c>
      <c r="N15" s="920" t="s">
        <v>2879</v>
      </c>
      <c r="O15" s="920" t="s">
        <v>2880</v>
      </c>
      <c r="P15" s="2783"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84" t="s">
        <v>2882</v>
      </c>
      <c r="B16" s="2750" t="s">
        <v>2883</v>
      </c>
      <c r="C16" s="1804">
        <f>ROUND(SUM(G17:J17)/C17,0)</f>
        <v>60</v>
      </c>
      <c r="D16" s="2784" t="s">
        <v>2884</v>
      </c>
      <c r="E16" s="2785" t="s">
        <v>3071</v>
      </c>
      <c r="F16" s="2786" t="s">
        <v>3072</v>
      </c>
      <c r="G16" s="2787" t="s">
        <v>3084</v>
      </c>
      <c r="H16" s="2787" t="s">
        <v>3085</v>
      </c>
      <c r="I16" s="2787"/>
      <c r="J16" s="2788"/>
      <c r="K16" s="1373"/>
      <c r="L16" s="2789"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85"/>
      <c r="B17" s="2790" t="s">
        <v>2886</v>
      </c>
      <c r="C17" s="924">
        <f>SUMPRODUCT((修正!A2:A5=E2)*(修正!B1:M1=G2)*(修正!B2:M5))</f>
        <v>1.5</v>
      </c>
      <c r="D17" s="2791" t="s">
        <v>2887</v>
      </c>
      <c r="E17" s="923" t="str">
        <f>IF(OR(G2="八级",G2="九级",G2="十级",G2="十一级",G2="十二级"),"五通一平","七通一平")</f>
        <v>七通一平</v>
      </c>
      <c r="F17" s="924" t="s">
        <v>2888</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2890</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2891</v>
      </c>
      <c r="C19" s="927">
        <f>ROUND(IF(H19="按公示增长率计算",SUMPRODUCT((地价!A3:A22=YEAR(G19)&amp;"-"&amp;ROUNDUP(MONTH(G19)/3,0))*(地价!X2:AB2=E2)*(地价!X3:AB22)),IF(H19="地价指数",M20/M19,(1+I19)^O19)),4)</f>
        <v>1.2303999999999999</v>
      </c>
      <c r="D19" s="2802" t="s">
        <v>2892</v>
      </c>
      <c r="E19" s="928">
        <v>41640</v>
      </c>
      <c r="F19" s="2802" t="s">
        <v>2893</v>
      </c>
      <c r="G19" s="929">
        <f>'数据-取费表'!B2</f>
        <v>43224</v>
      </c>
      <c r="H19" s="2803" t="s">
        <v>3086</v>
      </c>
      <c r="I19" s="930" t="str">
        <f>IF(H19="季度增幅（自定义）",SUMIF(N21:N24,E2,O21:O24),"")</f>
        <v/>
      </c>
      <c r="J19" s="2800"/>
      <c r="K19" s="1380"/>
      <c r="L19" s="2804" t="s">
        <v>2894</v>
      </c>
      <c r="M19" s="1737">
        <f>ROUND(SUMIF(地价!B2:F2,E2,地价!B22:F22),0)</f>
        <v>230</v>
      </c>
      <c r="N19" s="2805"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f ca="1">ROUND(POWER(1+G20,J20-I20)*(POWER(1+G20,I20)-1)/(POWER(1+G20,J20)-1),4)</f>
        <v>0.88419999999999999</v>
      </c>
      <c r="D20" s="2811" t="s">
        <v>2897</v>
      </c>
      <c r="E20" s="1771">
        <f ca="1">存贷款利率!D4/100</f>
        <v>4.3499999999999997E-2</v>
      </c>
      <c r="F20" s="2811" t="s">
        <v>2889</v>
      </c>
      <c r="G20" s="937">
        <f ca="1">SUMIF(M15:P15,E2,M17:P17)</f>
        <v>4.8000000000000001E-2</v>
      </c>
      <c r="H20" s="2811" t="s">
        <v>2898</v>
      </c>
      <c r="I20" s="938">
        <f>SUMIF('数据-取费表'!C6:C15,E2,'数据-取费表'!F6:F15)/COUNTIF('数据-取费表'!C6:C15,E2)</f>
        <v>34.26</v>
      </c>
      <c r="J20" s="939">
        <f>IF(E2="住宅",70,IF(E2="商业",40,50))</f>
        <v>50</v>
      </c>
      <c r="K20" s="1380"/>
      <c r="L20" s="2812" t="s">
        <v>2899</v>
      </c>
      <c r="M20" s="1738">
        <f>ROUND(SUMPRODUCT((地价!A4:A22=YEAR(G19)&amp;"-"&amp;ROUNDUP(MONTH(G19)/3,0))*(地价!B2:F2=E2)*(地价!B4:F22)),0)</f>
        <v>283</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3087</v>
      </c>
      <c r="C21" s="940">
        <f>IF(B21="容积率修正",IF(G3&lt;=10,D22,J22),C23)</f>
        <v>1.4017999999999999</v>
      </c>
      <c r="D21" s="2818"/>
      <c r="E21" s="2818"/>
      <c r="F21" s="2818"/>
      <c r="G21" s="2818"/>
      <c r="H21" s="2818"/>
      <c r="I21" s="2818"/>
      <c r="J21" s="2819"/>
      <c r="K21" s="1380"/>
      <c r="N21" s="2820" t="s">
        <v>2903</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1813" t="s">
        <v>2906</v>
      </c>
      <c r="D22" s="1813">
        <f>IF(E22=G22,F22,IF(G3&lt;=10,ROUND(F22+(H22-F22)*(G3-E22)/(G22-E22),4),"——"))</f>
        <v>1.4017999999999999</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1.5019</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1.335</v>
      </c>
      <c r="I22" s="1813" t="s">
        <v>155</v>
      </c>
      <c r="J22" s="941" t="str">
        <f>IF(G3&gt;10,D113,"——")</f>
        <v>——</v>
      </c>
      <c r="K22" s="1380"/>
      <c r="N22" s="2820" t="s">
        <v>2907</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2910</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2911</v>
      </c>
      <c r="C24" s="927">
        <f>SUMIF(A45:A88,E2,B45:B88)</f>
        <v>1</v>
      </c>
      <c r="D24" s="2798"/>
      <c r="E24" s="2828"/>
      <c r="F24" s="2828"/>
      <c r="G24" s="2828"/>
      <c r="H24" s="2828"/>
      <c r="I24" s="2828"/>
      <c r="J24" s="2829"/>
      <c r="K24" s="1380"/>
      <c r="N24" s="2830" t="s">
        <v>2912</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2913</v>
      </c>
      <c r="C25" s="933"/>
      <c r="D25" s="2753"/>
      <c r="E25" s="2753"/>
      <c r="F25" s="2832"/>
      <c r="G25" s="2753"/>
      <c r="H25" s="2753"/>
      <c r="I25" s="2753"/>
      <c r="J25" s="2754"/>
      <c r="K25" s="1373"/>
      <c r="N25" s="2833" t="s">
        <v>2914</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4"/>
      <c r="B26" s="2821" t="s">
        <v>2915</v>
      </c>
      <c r="C26" s="206">
        <f ca="1">E29+SUM(E33:E39)</f>
        <v>2481</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3401</v>
      </c>
      <c r="D29" s="2850">
        <f>'数据-汇总表'!F27</f>
        <v>7293.7000000000007</v>
      </c>
      <c r="E29" s="945">
        <f ca="1">ROUND(C29*D29/10000,0)</f>
        <v>2481</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f ca="1">ROUND(IF(E2="工业",C29*M39,C29*M38),0)</f>
        <v>510</v>
      </c>
      <c r="D30" s="2856"/>
      <c r="E30" s="945">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192" t="s">
        <v>2929</v>
      </c>
      <c r="B33" s="2866" t="s">
        <v>2930</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93"/>
      <c r="B34" s="2770" t="s">
        <v>2931</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93"/>
      <c r="B35" s="2770" t="s">
        <v>2932</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194"/>
      <c r="B36" s="2770" t="s">
        <v>2933</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f ca="1">ROUND(C5*C19*C20*C24*F37,0)</f>
        <v>607</v>
      </c>
      <c r="D37" s="2850"/>
      <c r="E37" s="200">
        <f t="shared" ca="1" si="7"/>
        <v>0</v>
      </c>
      <c r="F37" s="206">
        <f>SUMIF(修正!A45:A56,G2,修正!F45:F56)</f>
        <v>0.25</v>
      </c>
      <c r="G37" s="200">
        <f t="shared" ca="1" si="6"/>
        <v>152</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607</v>
      </c>
      <c r="D38" s="2850"/>
      <c r="E38" s="200">
        <f t="shared" ca="1" si="7"/>
        <v>0</v>
      </c>
      <c r="F38" s="206">
        <f>SUMIF(修正!A45:A56,G2,修正!G45:G56)</f>
        <v>0.25</v>
      </c>
      <c r="G38" s="200">
        <f t="shared" ca="1" si="6"/>
        <v>152</v>
      </c>
      <c r="H38" s="200">
        <f t="shared" si="8"/>
        <v>0</v>
      </c>
      <c r="I38" s="200">
        <f t="shared" ca="1" si="9"/>
        <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485</v>
      </c>
      <c r="D39" s="2856"/>
      <c r="E39" s="229">
        <f t="shared" ca="1" si="7"/>
        <v>0</v>
      </c>
      <c r="F39" s="935">
        <f>SUMIF(修正!A45:A56,G2,修正!H45:H56)</f>
        <v>0.2</v>
      </c>
      <c r="G39" s="229" t="e">
        <f t="shared" si="6"/>
        <v>#DIV/0!</v>
      </c>
      <c r="H39" s="229">
        <f t="shared" si="8"/>
        <v>0</v>
      </c>
      <c r="I39" s="229" t="e">
        <f t="shared" si="9"/>
        <v>#DIV/0!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1812" t="s">
        <v>2942</v>
      </c>
      <c r="C47" s="1812" t="s">
        <v>2943</v>
      </c>
      <c r="D47" s="1812" t="s">
        <v>2944</v>
      </c>
      <c r="E47" s="819" t="s">
        <v>2945</v>
      </c>
      <c r="F47" s="2884" t="s">
        <v>2946</v>
      </c>
      <c r="G47" s="1812" t="s">
        <v>754</v>
      </c>
      <c r="H47" s="2885" t="s">
        <v>2947</v>
      </c>
      <c r="I47" s="1812" t="s">
        <v>2948</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2949</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2952</v>
      </c>
      <c r="B51" s="2888" t="s">
        <v>2953</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2954</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2955</v>
      </c>
      <c r="B53" s="2889" t="s">
        <v>2956</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2957</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2958</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1812"/>
      <c r="C58" s="1812" t="s">
        <v>2943</v>
      </c>
      <c r="D58" s="1812" t="s">
        <v>2944</v>
      </c>
      <c r="E58" s="819" t="s">
        <v>2945</v>
      </c>
      <c r="F58" s="2884" t="s">
        <v>2961</v>
      </c>
      <c r="G58" s="1812" t="s">
        <v>754</v>
      </c>
      <c r="H58" s="2885" t="s">
        <v>2947</v>
      </c>
      <c r="I58" s="1812" t="s">
        <v>2948</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2962</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2958</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1812"/>
      <c r="C69" s="1812" t="s">
        <v>2943</v>
      </c>
      <c r="D69" s="1812" t="s">
        <v>2944</v>
      </c>
      <c r="E69" s="819" t="s">
        <v>2945</v>
      </c>
      <c r="F69" s="2884" t="s">
        <v>2961</v>
      </c>
      <c r="G69" s="1812" t="s">
        <v>754</v>
      </c>
      <c r="H69" s="2885" t="s">
        <v>2947</v>
      </c>
      <c r="I69" s="1812" t="s">
        <v>2948</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2964</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2958</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1812"/>
      <c r="C80" s="1812" t="s">
        <v>2943</v>
      </c>
      <c r="D80" s="1812" t="s">
        <v>2944</v>
      </c>
      <c r="E80" s="819" t="s">
        <v>2945</v>
      </c>
      <c r="F80" s="2884" t="s">
        <v>2961</v>
      </c>
      <c r="G80" s="1812" t="s">
        <v>754</v>
      </c>
      <c r="H80" s="2885" t="s">
        <v>2947</v>
      </c>
      <c r="I80" s="1812" t="s">
        <v>2948</v>
      </c>
      <c r="J80" s="603" t="s">
        <v>2596</v>
      </c>
      <c r="K80" s="603" t="s">
        <v>2597</v>
      </c>
      <c r="L80" s="603" t="s">
        <v>2598</v>
      </c>
      <c r="M80" s="603" t="s">
        <v>2599</v>
      </c>
      <c r="N80" s="603" t="s">
        <v>2600</v>
      </c>
      <c r="Z80" s="2725"/>
      <c r="AA80" s="2801"/>
      <c r="AG80" s="1375"/>
      <c r="AK80" s="2801"/>
    </row>
    <row r="81" spans="1:37" ht="38.25">
      <c r="A81" s="2883" t="s">
        <v>2968</v>
      </c>
      <c r="B81" s="2887" t="str">
        <f>估价对象房地状况!G15</f>
        <v>估价对象位于XX开发区，园区建设成熟度XX，产业集聚程度XX</v>
      </c>
      <c r="C81" s="2775" t="s">
        <v>3088</v>
      </c>
      <c r="D81" s="1289">
        <f t="shared" ref="D81:D88" si="25">SUMIF($J$80:$N$80,C81,J81:N81)</f>
        <v>0</v>
      </c>
      <c r="E81" s="821">
        <f>ROUND(SUM(D81:D88),4)</f>
        <v>0</v>
      </c>
      <c r="F81" s="2506">
        <f>IF(E2="工业",SUMIF(L1:L12,G2,N1:N12),"——")</f>
        <v>0.1</v>
      </c>
      <c r="G81" s="2962">
        <v>1.2999999999999999E-2</v>
      </c>
      <c r="H81" s="1291">
        <f t="shared" ref="H81:H88" si="26">IFERROR(ROUNDDOWN($F$81*I81/2,4),"——")</f>
        <v>1.2999999999999999E-2</v>
      </c>
      <c r="I81" s="820">
        <v>0.26</v>
      </c>
      <c r="J81" s="1288">
        <f t="shared" ref="J81:J88" si="27">K81+$G81</f>
        <v>2.5999999999999999E-2</v>
      </c>
      <c r="K81" s="1288">
        <f t="shared" ref="K81:K88" si="28">$L81+$G81</f>
        <v>1.2999999999999999E-2</v>
      </c>
      <c r="L81" s="1288">
        <v>0</v>
      </c>
      <c r="M81" s="1288">
        <f t="shared" ref="M81:N88" si="29">L81-$G81</f>
        <v>-1.2999999999999999E-2</v>
      </c>
      <c r="N81" s="1288">
        <f t="shared" si="29"/>
        <v>-2.5999999999999999E-2</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t="s">
        <v>3088</v>
      </c>
      <c r="D82" s="1289">
        <f t="shared" si="25"/>
        <v>0</v>
      </c>
      <c r="E82" s="826"/>
      <c r="F82" s="2506"/>
      <c r="G82" s="2962">
        <v>1.6500000000000001E-2</v>
      </c>
      <c r="H82" s="1291">
        <f t="shared" si="26"/>
        <v>1.6500000000000001E-2</v>
      </c>
      <c r="I82" s="820">
        <v>0.33</v>
      </c>
      <c r="J82" s="1288">
        <f t="shared" si="27"/>
        <v>3.3000000000000002E-2</v>
      </c>
      <c r="K82" s="1288">
        <f t="shared" si="28"/>
        <v>1.6500000000000001E-2</v>
      </c>
      <c r="L82" s="1288">
        <v>0</v>
      </c>
      <c r="M82" s="1288">
        <f t="shared" si="29"/>
        <v>-1.6500000000000001E-2</v>
      </c>
      <c r="N82" s="1288">
        <f t="shared" si="29"/>
        <v>-3.3000000000000002E-2</v>
      </c>
      <c r="Z82" s="2725"/>
      <c r="AA82" s="2801"/>
      <c r="AG82" s="1375"/>
      <c r="AK82" s="2801"/>
    </row>
    <row r="83" spans="1:37" ht="24">
      <c r="A83" s="2883" t="s">
        <v>2951</v>
      </c>
      <c r="B83" s="2887">
        <f>估价对象房地状况!G17</f>
        <v>0</v>
      </c>
      <c r="C83" s="2775" t="s">
        <v>3088</v>
      </c>
      <c r="D83" s="1289">
        <f t="shared" si="25"/>
        <v>0</v>
      </c>
      <c r="E83" s="826"/>
      <c r="F83" s="2506"/>
      <c r="G83" s="2962">
        <v>2.5000000000000001E-3</v>
      </c>
      <c r="H83" s="1291">
        <f t="shared" si="26"/>
        <v>2.5000000000000001E-3</v>
      </c>
      <c r="I83" s="820">
        <v>0.05</v>
      </c>
      <c r="J83" s="1288">
        <f t="shared" si="27"/>
        <v>5.0000000000000001E-3</v>
      </c>
      <c r="K83" s="1288">
        <f t="shared" si="28"/>
        <v>2.5000000000000001E-3</v>
      </c>
      <c r="L83" s="1288">
        <v>0</v>
      </c>
      <c r="M83" s="1288">
        <f t="shared" si="29"/>
        <v>-2.5000000000000001E-3</v>
      </c>
      <c r="N83" s="1288">
        <f t="shared" si="29"/>
        <v>-5.0000000000000001E-3</v>
      </c>
      <c r="Z83" s="2725"/>
      <c r="AA83" s="2801"/>
      <c r="AG83" s="1375"/>
      <c r="AK83" s="2801"/>
    </row>
    <row r="84" spans="1:37" ht="14.25">
      <c r="A84" s="2883" t="s">
        <v>2965</v>
      </c>
      <c r="B84" s="2887">
        <f>估价对象房地状况!G22</f>
        <v>0</v>
      </c>
      <c r="C84" s="2775" t="s">
        <v>3088</v>
      </c>
      <c r="D84" s="1289">
        <f t="shared" si="25"/>
        <v>0</v>
      </c>
      <c r="E84" s="826"/>
      <c r="F84" s="2506"/>
      <c r="G84" s="2962">
        <v>2E-3</v>
      </c>
      <c r="H84" s="1291">
        <f t="shared" si="26"/>
        <v>2E-3</v>
      </c>
      <c r="I84" s="820">
        <v>0.04</v>
      </c>
      <c r="J84" s="1288">
        <f t="shared" si="27"/>
        <v>4.0000000000000001E-3</v>
      </c>
      <c r="K84" s="1288">
        <f t="shared" si="28"/>
        <v>2E-3</v>
      </c>
      <c r="L84" s="1288">
        <v>0</v>
      </c>
      <c r="M84" s="1288">
        <f t="shared" si="29"/>
        <v>-2E-3</v>
      </c>
      <c r="N84" s="1288">
        <f t="shared" si="29"/>
        <v>-4.0000000000000001E-3</v>
      </c>
      <c r="Z84" s="2725"/>
      <c r="AA84" s="2801"/>
      <c r="AG84" s="1375"/>
      <c r="AK84" s="2801"/>
    </row>
    <row r="85" spans="1:37" ht="25.5">
      <c r="A85" s="2883" t="s">
        <v>2957</v>
      </c>
      <c r="B85" s="1728" t="str">
        <f>估价对象房地状况!G19</f>
        <v>估价对象所在区域公共配套设施齐备情况</v>
      </c>
      <c r="C85" s="2775" t="s">
        <v>3088</v>
      </c>
      <c r="D85" s="1289">
        <f t="shared" si="25"/>
        <v>0</v>
      </c>
      <c r="E85" s="826"/>
      <c r="F85" s="2506"/>
      <c r="G85" s="2962">
        <v>3.0000000000000001E-3</v>
      </c>
      <c r="H85" s="1291">
        <f t="shared" si="26"/>
        <v>3.0000000000000001E-3</v>
      </c>
      <c r="I85" s="820">
        <v>0.06</v>
      </c>
      <c r="J85" s="1288">
        <f t="shared" si="27"/>
        <v>6.0000000000000001E-3</v>
      </c>
      <c r="K85" s="1288">
        <f t="shared" si="28"/>
        <v>3.0000000000000001E-3</v>
      </c>
      <c r="L85" s="1288">
        <v>0</v>
      </c>
      <c r="M85" s="1288">
        <f t="shared" si="29"/>
        <v>-3.0000000000000001E-3</v>
      </c>
      <c r="N85" s="1288">
        <f t="shared" si="29"/>
        <v>-6.0000000000000001E-3</v>
      </c>
      <c r="Z85" s="2725"/>
      <c r="AA85" s="2801"/>
      <c r="AG85" s="1375"/>
      <c r="AK85" s="2801"/>
    </row>
    <row r="86" spans="1:37" ht="25.5">
      <c r="A86" s="2883" t="s">
        <v>2958</v>
      </c>
      <c r="B86" s="1728" t="str">
        <f>估价对象房地状况!G20</f>
        <v>估价对象所在区域基础设施水平</v>
      </c>
      <c r="C86" s="2775" t="s">
        <v>3088</v>
      </c>
      <c r="D86" s="1289">
        <f t="shared" si="25"/>
        <v>0</v>
      </c>
      <c r="E86" s="826"/>
      <c r="F86" s="2506"/>
      <c r="G86" s="2962">
        <v>7.4999999999999997E-3</v>
      </c>
      <c r="H86" s="1291">
        <f t="shared" si="26"/>
        <v>7.4999999999999997E-3</v>
      </c>
      <c r="I86" s="820">
        <v>0.15</v>
      </c>
      <c r="J86" s="1288">
        <f t="shared" si="27"/>
        <v>1.4999999999999999E-2</v>
      </c>
      <c r="K86" s="1288">
        <f t="shared" si="28"/>
        <v>7.4999999999999997E-3</v>
      </c>
      <c r="L86" s="1288">
        <v>0</v>
      </c>
      <c r="M86" s="1288">
        <f t="shared" si="29"/>
        <v>-7.4999999999999997E-3</v>
      </c>
      <c r="N86" s="1288">
        <f t="shared" si="29"/>
        <v>-1.4999999999999999E-2</v>
      </c>
      <c r="Z86" s="2725"/>
      <c r="AA86" s="2801"/>
      <c r="AG86" s="1375"/>
      <c r="AK86" s="2801"/>
    </row>
    <row r="87" spans="1:37" ht="24">
      <c r="A87" s="2883" t="s">
        <v>2955</v>
      </c>
      <c r="B87" s="2889" t="s">
        <v>2969</v>
      </c>
      <c r="C87" s="2775" t="s">
        <v>3088</v>
      </c>
      <c r="D87" s="1289">
        <f t="shared" si="25"/>
        <v>0</v>
      </c>
      <c r="E87" s="826"/>
      <c r="F87" s="2506"/>
      <c r="G87" s="2962">
        <v>2.5000000000000001E-3</v>
      </c>
      <c r="H87" s="1291">
        <f t="shared" si="26"/>
        <v>2.5000000000000001E-3</v>
      </c>
      <c r="I87" s="820">
        <v>0.05</v>
      </c>
      <c r="J87" s="1288">
        <f t="shared" si="27"/>
        <v>5.0000000000000001E-3</v>
      </c>
      <c r="K87" s="1288">
        <f t="shared" si="28"/>
        <v>2.5000000000000001E-3</v>
      </c>
      <c r="L87" s="1288">
        <v>0</v>
      </c>
      <c r="M87" s="1288">
        <f t="shared" si="29"/>
        <v>-2.5000000000000001E-3</v>
      </c>
      <c r="N87" s="1288">
        <f t="shared" si="29"/>
        <v>-5.0000000000000001E-3</v>
      </c>
      <c r="Z87" s="2725"/>
      <c r="AA87" s="2801"/>
      <c r="AG87" s="1375"/>
      <c r="AK87" s="2801"/>
    </row>
    <row r="88" spans="1:37" ht="39" thickBot="1">
      <c r="A88" s="2891" t="s">
        <v>2970</v>
      </c>
      <c r="B88" s="2896" t="str">
        <f>估价对象房地状况!G18</f>
        <v>该园区内是否有污染型企业，绿化情况，卫生条件，整体环境状况判断</v>
      </c>
      <c r="C88" s="2775" t="s">
        <v>3088</v>
      </c>
      <c r="D88" s="1289">
        <f t="shared" si="25"/>
        <v>0</v>
      </c>
      <c r="E88" s="827"/>
      <c r="F88" s="2506"/>
      <c r="G88" s="2962">
        <v>3.0000000000000001E-3</v>
      </c>
      <c r="H88" s="1291">
        <f t="shared" si="26"/>
        <v>3.0000000000000001E-3</v>
      </c>
      <c r="I88" s="824">
        <v>0.06</v>
      </c>
      <c r="J88" s="1288">
        <f t="shared" si="27"/>
        <v>6.0000000000000001E-3</v>
      </c>
      <c r="K88" s="1288">
        <f t="shared" si="28"/>
        <v>3.0000000000000001E-3</v>
      </c>
      <c r="L88" s="1288">
        <v>0</v>
      </c>
      <c r="M88" s="1288">
        <f t="shared" si="29"/>
        <v>-3.0000000000000001E-3</v>
      </c>
      <c r="N88" s="1288">
        <f t="shared" si="29"/>
        <v>-6.0000000000000001E-3</v>
      </c>
      <c r="Z88" s="2725"/>
      <c r="AA88" s="2801"/>
      <c r="AG88" s="1375"/>
      <c r="AK88" s="2801"/>
    </row>
    <row r="90" spans="1:37">
      <c r="A90" s="3186" t="s">
        <v>2971</v>
      </c>
      <c r="B90" s="3186"/>
      <c r="C90" s="3186"/>
      <c r="D90" s="3186"/>
      <c r="E90" s="3186"/>
      <c r="F90" s="3186"/>
      <c r="G90" s="3186"/>
      <c r="H90" s="3186"/>
      <c r="I90" s="3186"/>
      <c r="J90" s="3186"/>
      <c r="K90" s="2897"/>
      <c r="L90" s="2897"/>
      <c r="M90" s="2897"/>
      <c r="N90" s="2897"/>
    </row>
    <row r="91" spans="1:37">
      <c r="A91" s="3188" t="s">
        <v>2972</v>
      </c>
      <c r="B91" s="3188" t="s">
        <v>2973</v>
      </c>
      <c r="C91" s="2851" t="s">
        <v>2974</v>
      </c>
      <c r="D91" s="2852"/>
      <c r="E91" s="2852"/>
      <c r="F91" s="2852"/>
      <c r="G91" s="2852"/>
      <c r="H91" s="2852"/>
      <c r="I91" s="2852"/>
      <c r="J91" s="2898"/>
      <c r="K91" s="2899"/>
      <c r="L91" s="2899"/>
      <c r="M91" s="2899"/>
      <c r="N91" s="2899"/>
    </row>
    <row r="92" spans="1:37">
      <c r="A92" s="3188"/>
      <c r="B92" s="3188"/>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89"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9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9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9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9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9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90"/>
      <c r="B99" s="2900" t="s">
        <v>2856</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19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189" t="s">
        <v>2976</v>
      </c>
      <c r="B101" s="2904" t="s">
        <v>2977</v>
      </c>
      <c r="C101" s="2905">
        <f>$G$3</f>
        <v>0.86</v>
      </c>
      <c r="D101" s="2905">
        <f t="shared" ref="D101:N101" si="31">$G$3</f>
        <v>0.86</v>
      </c>
      <c r="E101" s="2905">
        <f t="shared" si="31"/>
        <v>0.86</v>
      </c>
      <c r="F101" s="2905">
        <f t="shared" si="31"/>
        <v>0.86</v>
      </c>
      <c r="G101" s="2905">
        <f t="shared" si="31"/>
        <v>0.86</v>
      </c>
      <c r="H101" s="2905">
        <f t="shared" si="31"/>
        <v>0.86</v>
      </c>
      <c r="I101" s="2905">
        <f t="shared" si="31"/>
        <v>0.86</v>
      </c>
      <c r="J101" s="2905">
        <f t="shared" si="31"/>
        <v>0.86</v>
      </c>
      <c r="K101" s="2905">
        <f t="shared" si="31"/>
        <v>0.86</v>
      </c>
      <c r="L101" s="2905">
        <f t="shared" si="31"/>
        <v>0.86</v>
      </c>
      <c r="M101" s="2905">
        <f t="shared" si="31"/>
        <v>0.86</v>
      </c>
      <c r="N101" s="2905">
        <f t="shared" si="31"/>
        <v>0.86</v>
      </c>
    </row>
    <row r="102" spans="1:14">
      <c r="A102" s="3190"/>
      <c r="B102" s="2900">
        <v>1</v>
      </c>
      <c r="C102" s="2901">
        <f>1.9362/C101</f>
        <v>2.2513953488372094</v>
      </c>
      <c r="D102" s="2901">
        <f>1.9362/D101</f>
        <v>2.2513953488372094</v>
      </c>
      <c r="E102" s="2901">
        <f>1.8629/E101</f>
        <v>2.1661627906976744</v>
      </c>
      <c r="F102" s="2901">
        <f>1.8629/F101</f>
        <v>2.1661627906976744</v>
      </c>
      <c r="G102" s="2901">
        <f>1.8629/G101</f>
        <v>2.1661627906976744</v>
      </c>
      <c r="H102" s="2901">
        <f>1.8629/H101</f>
        <v>2.1661627906976744</v>
      </c>
      <c r="I102" s="2901">
        <f>1.8629/I101</f>
        <v>2.1661627906976744</v>
      </c>
      <c r="J102" s="2901">
        <f>1.942/J101</f>
        <v>2.2581395348837208</v>
      </c>
      <c r="K102" s="2901">
        <f>1.942/K101</f>
        <v>2.2581395348837208</v>
      </c>
      <c r="L102" s="2901">
        <f>1.942/L101</f>
        <v>2.2581395348837208</v>
      </c>
      <c r="M102" s="2901">
        <f>1.942/M101</f>
        <v>2.2581395348837208</v>
      </c>
      <c r="N102" s="2901">
        <f>1.942/N101</f>
        <v>2.2581395348837208</v>
      </c>
    </row>
    <row r="103" spans="1:14">
      <c r="A103" s="3190"/>
      <c r="B103" s="2900">
        <v>2</v>
      </c>
      <c r="C103" s="2901">
        <f>1.4198/C101</f>
        <v>1.6509302325581394</v>
      </c>
      <c r="D103" s="2901">
        <f>1.4198/D101</f>
        <v>1.6509302325581394</v>
      </c>
      <c r="E103" s="2901">
        <f>1.3372/E101</f>
        <v>1.5548837209302324</v>
      </c>
      <c r="F103" s="2901">
        <f>1.3372/F101</f>
        <v>1.5548837209302324</v>
      </c>
      <c r="G103" s="2901">
        <f>1.3372/G101</f>
        <v>1.5548837209302324</v>
      </c>
      <c r="H103" s="2901">
        <f>1.3372/H101</f>
        <v>1.5548837209302324</v>
      </c>
      <c r="I103" s="2901">
        <f>1.3372/I101</f>
        <v>1.5548837209302324</v>
      </c>
      <c r="J103" s="2901">
        <f>1.2799/J101</f>
        <v>1.4882558139534885</v>
      </c>
      <c r="K103" s="2901">
        <f>1.2799/K101</f>
        <v>1.4882558139534885</v>
      </c>
      <c r="L103" s="2901">
        <f>1.2799/L101</f>
        <v>1.4882558139534885</v>
      </c>
      <c r="M103" s="2901">
        <f>1.2799/M101</f>
        <v>1.4882558139534885</v>
      </c>
      <c r="N103" s="2901">
        <f>1.2799/N101</f>
        <v>1.4882558139534885</v>
      </c>
    </row>
    <row r="104" spans="1:14">
      <c r="A104" s="3190"/>
      <c r="B104" s="2900">
        <v>3</v>
      </c>
      <c r="C104" s="2901">
        <f>1.1594/C101</f>
        <v>1.3481395348837208</v>
      </c>
      <c r="D104" s="2901">
        <f>1.1594/D101</f>
        <v>1.3481395348837208</v>
      </c>
      <c r="E104" s="2901">
        <f>1.0788/E101</f>
        <v>1.2544186046511627</v>
      </c>
      <c r="F104" s="2901">
        <f>1.0788/F101</f>
        <v>1.2544186046511627</v>
      </c>
      <c r="G104" s="2901">
        <f>1.0788/G101</f>
        <v>1.2544186046511627</v>
      </c>
      <c r="H104" s="2901">
        <f>1.0788/H101</f>
        <v>1.2544186046511627</v>
      </c>
      <c r="I104" s="2901">
        <f>1.0788/I101</f>
        <v>1.2544186046511627</v>
      </c>
      <c r="J104" s="2901">
        <f>1.0072/J101</f>
        <v>1.1711627906976745</v>
      </c>
      <c r="K104" s="2901">
        <f>1.0072/K101</f>
        <v>1.1711627906976745</v>
      </c>
      <c r="L104" s="2901">
        <f>1.0072/L101</f>
        <v>1.1711627906976745</v>
      </c>
      <c r="M104" s="2901">
        <f>1.0072/M101</f>
        <v>1.1711627906976745</v>
      </c>
      <c r="N104" s="2901">
        <f>1.0072/N101</f>
        <v>1.1711627906976745</v>
      </c>
    </row>
    <row r="105" spans="1:14">
      <c r="A105" s="3190"/>
      <c r="B105" s="2900">
        <v>4</v>
      </c>
      <c r="C105" s="2901">
        <f>0.9622/C101</f>
        <v>1.1188372093023256</v>
      </c>
      <c r="D105" s="2901">
        <f>0.9622/D101</f>
        <v>1.1188372093023256</v>
      </c>
      <c r="E105" s="2901">
        <f>0.8656/E101</f>
        <v>1.0065116279069768</v>
      </c>
      <c r="F105" s="2901">
        <f>0.8656/F101</f>
        <v>1.0065116279069768</v>
      </c>
      <c r="G105" s="2901">
        <f>0.8656/G101</f>
        <v>1.0065116279069768</v>
      </c>
      <c r="H105" s="2901">
        <f>0.8656/H101</f>
        <v>1.0065116279069768</v>
      </c>
      <c r="I105" s="2901">
        <f>0.8656/I101</f>
        <v>1.0065116279069768</v>
      </c>
      <c r="J105" s="2901">
        <f>0.7525/J101</f>
        <v>0.875</v>
      </c>
      <c r="K105" s="2901">
        <f>0.7525/K101</f>
        <v>0.875</v>
      </c>
      <c r="L105" s="2901">
        <f>0.7525/L101</f>
        <v>0.875</v>
      </c>
      <c r="M105" s="2901">
        <f>0.7525/M101</f>
        <v>0.875</v>
      </c>
      <c r="N105" s="2901">
        <f>0.7525/N101</f>
        <v>0.875</v>
      </c>
    </row>
    <row r="106" spans="1:14">
      <c r="A106" s="3190"/>
      <c r="B106" s="2900">
        <v>5</v>
      </c>
      <c r="C106" s="2901">
        <f>0.8417/C101</f>
        <v>0.97872093023255813</v>
      </c>
      <c r="D106" s="2901">
        <f>0.8417/D101</f>
        <v>0.97872093023255813</v>
      </c>
      <c r="E106" s="2901">
        <f>0.7371/E101</f>
        <v>0.85709302325581394</v>
      </c>
      <c r="F106" s="2901">
        <f>0.7371/F101</f>
        <v>0.85709302325581394</v>
      </c>
      <c r="G106" s="2901">
        <f>0.7371/G101</f>
        <v>0.85709302325581394</v>
      </c>
      <c r="H106" s="2901">
        <f>0.7371/H101</f>
        <v>0.85709302325581394</v>
      </c>
      <c r="I106" s="2901">
        <f>0.7371/I101</f>
        <v>0.85709302325581394</v>
      </c>
      <c r="J106" s="2901">
        <f>0.5659/J101</f>
        <v>0.65802325581395349</v>
      </c>
      <c r="K106" s="2901">
        <f>0.5659/K101</f>
        <v>0.65802325581395349</v>
      </c>
      <c r="L106" s="2901">
        <f>0.5659/L101</f>
        <v>0.65802325581395349</v>
      </c>
      <c r="M106" s="2901">
        <f>0.5659/M101</f>
        <v>0.65802325581395349</v>
      </c>
      <c r="N106" s="2901">
        <f>0.5659/N101</f>
        <v>0.65802325581395349</v>
      </c>
    </row>
    <row r="107" spans="1:14">
      <c r="A107" s="3190"/>
      <c r="B107" s="2900">
        <v>6</v>
      </c>
      <c r="C107" s="2901">
        <f>0.7608/C101</f>
        <v>0.88465116279069778</v>
      </c>
      <c r="D107" s="2901">
        <f>0.7608/D101</f>
        <v>0.88465116279069778</v>
      </c>
      <c r="E107" s="2901">
        <f>0.6482/E101</f>
        <v>0.75372093023255815</v>
      </c>
      <c r="F107" s="2901">
        <f>0.6482/F101</f>
        <v>0.75372093023255815</v>
      </c>
      <c r="G107" s="2901">
        <f>0.6482/G101</f>
        <v>0.75372093023255815</v>
      </c>
      <c r="H107" s="2901">
        <f>0.6482/H101</f>
        <v>0.75372093023255815</v>
      </c>
      <c r="I107" s="2901">
        <f>0.6482/I101</f>
        <v>0.75372093023255815</v>
      </c>
      <c r="J107" s="2901">
        <f>0.4525/J101</f>
        <v>0.52616279069767447</v>
      </c>
      <c r="K107" s="2901">
        <f>0.4525/K101</f>
        <v>0.52616279069767447</v>
      </c>
      <c r="L107" s="2901">
        <f>0.4525/L101</f>
        <v>0.52616279069767447</v>
      </c>
      <c r="M107" s="2901">
        <f>0.4525/M101</f>
        <v>0.52616279069767447</v>
      </c>
      <c r="N107" s="2901">
        <f>0.4525/N101</f>
        <v>0.52616279069767447</v>
      </c>
    </row>
    <row r="108" spans="1:14">
      <c r="A108" s="3190"/>
      <c r="B108" s="3115" t="s">
        <v>2978</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191"/>
      <c r="B109" s="3116"/>
      <c r="C109" s="2903">
        <f>(-0.163*(C108^2)-0.59*C108+7617)*(10^(-4))/C101</f>
        <v>0.8856976744186047</v>
      </c>
      <c r="D109" s="2903">
        <f>(-0.163*(D108^2)-0.59*D108+7617)*(10^(-4))/D101</f>
        <v>0.8856976744186047</v>
      </c>
      <c r="E109" s="2903">
        <f>(-0.161*(E108^2)-7.509*E108+6533)*(10^(-4))/E101</f>
        <v>0.75965116279069766</v>
      </c>
      <c r="F109" s="2903">
        <f>(-0.161*(F108^2)-7.509*F108+6533)*(10^(-4))/F101</f>
        <v>0.75965116279069766</v>
      </c>
      <c r="G109" s="2903">
        <f>(-0.161*(G108^2)-7.509*G108+6533)*(10^(-4))/G101</f>
        <v>0.75965116279069766</v>
      </c>
      <c r="H109" s="2903">
        <f>(-0.161*(H108^2)-7.509*H108+6533)*(10^(-4))/H101</f>
        <v>0.75965116279069766</v>
      </c>
      <c r="I109" s="2903">
        <f>(-0.161*(I108^2)-7.509*I108+6533)*(10^(-4))/I101</f>
        <v>0.75965116279069766</v>
      </c>
      <c r="J109" s="2903">
        <f>(-0.214*(J108^2)-21.991*J108+4665)*(10^(-4))/J101</f>
        <v>0.54244186046511633</v>
      </c>
      <c r="K109" s="2903">
        <f>(-0.214*(K108^2)-21.991*K108+4665)*(10^(-4))/K101</f>
        <v>0.54244186046511633</v>
      </c>
      <c r="L109" s="2903">
        <f>(-0.214*(L108^2)-21.991*L108+4665)*(10^(-4))/L101</f>
        <v>0.54244186046511633</v>
      </c>
      <c r="M109" s="2903">
        <f>(-0.214*(M108^2)-21.991*M108+4665)*(10^(-4))/M101</f>
        <v>0.54244186046511633</v>
      </c>
      <c r="N109" s="2903">
        <f>(-0.214*(N108^2)-21.991*N108+4665)*(10^(-4))/N101</f>
        <v>0.54244186046511633</v>
      </c>
    </row>
    <row r="110" spans="1:14">
      <c r="A110" s="3187" t="s">
        <v>2979</v>
      </c>
      <c r="B110" s="3187"/>
      <c r="C110" s="3187"/>
      <c r="D110" s="3187"/>
      <c r="E110" s="3187"/>
      <c r="F110" s="3187"/>
      <c r="G110" s="3187"/>
      <c r="H110" s="3187"/>
      <c r="I110" s="3187"/>
      <c r="J110" s="3187"/>
      <c r="K110" s="2906"/>
      <c r="L110" s="2906"/>
      <c r="M110" s="2906"/>
      <c r="N110" s="2906"/>
    </row>
    <row r="112" spans="1:14" ht="13.5" thickBot="1"/>
    <row r="113" spans="1:13" ht="25.5" thickBot="1">
      <c r="A113" s="903" t="s">
        <v>2980</v>
      </c>
      <c r="B113" s="1290">
        <f>G3</f>
        <v>0.86</v>
      </c>
      <c r="C113" s="904" t="s">
        <v>2981</v>
      </c>
      <c r="D113" s="905">
        <f>SUMPRODUCT((A115:A118=F113)*(B114:M114=H113)*B115:M118)</f>
        <v>0.69399999999999995</v>
      </c>
      <c r="E113" s="2729" t="s">
        <v>2813</v>
      </c>
      <c r="F113" s="2908" t="str">
        <f>E2</f>
        <v>工业</v>
      </c>
      <c r="G113" s="2729" t="s">
        <v>2814</v>
      </c>
      <c r="H113" s="2908" t="str">
        <f>G2</f>
        <v>五级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2878</v>
      </c>
      <c r="B115" s="910">
        <f>ROUND(0.9335-0.0094*B113,4)</f>
        <v>0.9254</v>
      </c>
      <c r="C115" s="910">
        <f>B115</f>
        <v>0.9254</v>
      </c>
      <c r="D115" s="910">
        <f>ROUND(0.8331-0.0109*B113,4)</f>
        <v>0.82369999999999999</v>
      </c>
      <c r="E115" s="910">
        <f>D115</f>
        <v>0.82369999999999999</v>
      </c>
      <c r="F115" s="910">
        <f>E115</f>
        <v>0.82369999999999999</v>
      </c>
      <c r="G115" s="910">
        <f>F115</f>
        <v>0.82369999999999999</v>
      </c>
      <c r="H115" s="910">
        <f>G115</f>
        <v>0.82369999999999999</v>
      </c>
      <c r="I115" s="910">
        <f>ROUND(0.689-0.0155*B113,4)</f>
        <v>0.67569999999999997</v>
      </c>
      <c r="J115" s="910">
        <f t="shared" ref="J115:M118" si="33">I115</f>
        <v>0.67569999999999997</v>
      </c>
      <c r="K115" s="910">
        <f t="shared" si="33"/>
        <v>0.67569999999999997</v>
      </c>
      <c r="L115" s="910">
        <f t="shared" si="33"/>
        <v>0.67569999999999997</v>
      </c>
      <c r="M115" s="911">
        <f t="shared" si="33"/>
        <v>0.67569999999999997</v>
      </c>
    </row>
    <row r="116" spans="1:13">
      <c r="A116" s="909" t="s">
        <v>2879</v>
      </c>
      <c r="B116" s="910">
        <f>ROUND(0.949-0.012*B113,4)</f>
        <v>0.93869999999999998</v>
      </c>
      <c r="C116" s="910">
        <f>B116</f>
        <v>0.93869999999999998</v>
      </c>
      <c r="D116" s="910">
        <f>ROUND(0.8567-0.013*B113,4)</f>
        <v>0.84550000000000003</v>
      </c>
      <c r="E116" s="910">
        <f t="shared" ref="E116:H117" si="34">D116</f>
        <v>0.84550000000000003</v>
      </c>
      <c r="F116" s="910">
        <f t="shared" si="34"/>
        <v>0.84550000000000003</v>
      </c>
      <c r="G116" s="910">
        <f t="shared" si="34"/>
        <v>0.84550000000000003</v>
      </c>
      <c r="H116" s="910">
        <f t="shared" si="34"/>
        <v>0.84550000000000003</v>
      </c>
      <c r="I116" s="910">
        <f>ROUND(0.7694-0.014*B113,4)</f>
        <v>0.75739999999999996</v>
      </c>
      <c r="J116" s="910">
        <f t="shared" si="33"/>
        <v>0.75739999999999996</v>
      </c>
      <c r="K116" s="910">
        <f t="shared" si="33"/>
        <v>0.75739999999999996</v>
      </c>
      <c r="L116" s="910">
        <f t="shared" si="33"/>
        <v>0.75739999999999996</v>
      </c>
      <c r="M116" s="911">
        <f t="shared" si="33"/>
        <v>0.75739999999999996</v>
      </c>
    </row>
    <row r="117" spans="1:13">
      <c r="A117" s="909" t="s">
        <v>2880</v>
      </c>
      <c r="B117" s="910">
        <f>ROUND(0.8808-0.006*B113,4)</f>
        <v>0.87560000000000004</v>
      </c>
      <c r="C117" s="910">
        <f>B117</f>
        <v>0.87560000000000004</v>
      </c>
      <c r="D117" s="910">
        <f>ROUND(0.8748-0.008*B113,4)</f>
        <v>0.8679</v>
      </c>
      <c r="E117" s="910">
        <f t="shared" si="34"/>
        <v>0.8679</v>
      </c>
      <c r="F117" s="910">
        <f t="shared" si="34"/>
        <v>0.8679</v>
      </c>
      <c r="G117" s="910">
        <f t="shared" si="34"/>
        <v>0.8679</v>
      </c>
      <c r="H117" s="910">
        <f t="shared" si="34"/>
        <v>0.8679</v>
      </c>
      <c r="I117" s="910">
        <f>ROUND(0.7412-0.0095*B113,4)</f>
        <v>0.73299999999999998</v>
      </c>
      <c r="J117" s="910">
        <f t="shared" si="33"/>
        <v>0.73299999999999998</v>
      </c>
      <c r="K117" s="910">
        <f t="shared" si="33"/>
        <v>0.73299999999999998</v>
      </c>
      <c r="L117" s="910">
        <f t="shared" si="33"/>
        <v>0.73299999999999998</v>
      </c>
      <c r="M117" s="911">
        <f t="shared" si="33"/>
        <v>0.73299999999999998</v>
      </c>
    </row>
    <row r="118" spans="1:13" ht="13.5" thickBot="1">
      <c r="A118" s="714" t="s">
        <v>2881</v>
      </c>
      <c r="B118" s="912">
        <f>ROUND(0.7275-0.01*B113,4)</f>
        <v>0.71889999999999998</v>
      </c>
      <c r="C118" s="912">
        <f>B118</f>
        <v>0.71889999999999998</v>
      </c>
      <c r="D118" s="912">
        <f>ROUND(0.7043-0.012*B113,4)</f>
        <v>0.69399999999999995</v>
      </c>
      <c r="E118" s="912">
        <f>D118</f>
        <v>0.69399999999999995</v>
      </c>
      <c r="F118" s="912">
        <f>E118</f>
        <v>0.69399999999999995</v>
      </c>
      <c r="G118" s="912">
        <f>ROUND(0.6299-0.0122*B113,4)</f>
        <v>0.61939999999999995</v>
      </c>
      <c r="H118" s="912">
        <f>G118</f>
        <v>0.61939999999999995</v>
      </c>
      <c r="I118" s="912">
        <f>ROUND(0.5667-0.0136*B113,4)</f>
        <v>0.55500000000000005</v>
      </c>
      <c r="J118" s="912">
        <f t="shared" si="33"/>
        <v>0.55500000000000005</v>
      </c>
      <c r="K118" s="912">
        <f t="shared" si="33"/>
        <v>0.55500000000000005</v>
      </c>
      <c r="L118" s="912">
        <f t="shared" si="33"/>
        <v>0.55500000000000005</v>
      </c>
      <c r="M118" s="913">
        <f t="shared" si="33"/>
        <v>0.55500000000000005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8" priority="6" stopIfTrue="1" operator="notEqual">
      <formula>"——"</formula>
    </cfRule>
  </conditionalFormatting>
  <conditionalFormatting sqref="F59">
    <cfRule type="cellIs" dxfId="137" priority="5" stopIfTrue="1" operator="notEqual">
      <formula>"——"</formula>
    </cfRule>
  </conditionalFormatting>
  <conditionalFormatting sqref="F70">
    <cfRule type="cellIs" dxfId="136" priority="4" stopIfTrue="1" operator="notEqual">
      <formula>"——"</formula>
    </cfRule>
  </conditionalFormatting>
  <conditionalFormatting sqref="F81">
    <cfRule type="cellIs" dxfId="135" priority="3" stopIfTrue="1" operator="notEqual">
      <formula>"——"</formula>
    </cfRule>
  </conditionalFormatting>
  <conditionalFormatting sqref="H48:H56 H59:H67 H70:H78 H81:H88">
    <cfRule type="cellIs" dxfId="134" priority="2" operator="notEqual">
      <formula>"——"</formula>
    </cfRule>
  </conditionalFormatting>
  <conditionalFormatting sqref="G81:G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3062</v>
      </c>
      <c r="D1" s="1823" t="s">
        <v>70</v>
      </c>
      <c r="E1" s="1824" t="s">
        <v>1387</v>
      </c>
      <c r="F1" s="1286">
        <f ca="1">J53</f>
        <v>34.26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6996</v>
      </c>
      <c r="C2" s="1848" t="s">
        <v>1515</v>
      </c>
      <c r="D2" s="1848"/>
      <c r="E2" s="1849"/>
      <c r="F2" s="1850"/>
      <c r="G2" s="1851"/>
      <c r="H2" s="1843"/>
      <c r="I2" s="1843"/>
      <c r="J2" s="1843"/>
      <c r="K2" s="1844"/>
      <c r="L2" s="1843"/>
      <c r="M2" s="1843"/>
    </row>
    <row r="3" spans="1:37" ht="18" customHeight="1" thickBot="1">
      <c r="A3" s="1852" t="s">
        <v>1516</v>
      </c>
      <c r="B3" s="1853">
        <f ca="1">IF(ISERROR(B2*10000/F43),0,ROUND(B2*10000/F43,0))</f>
        <v>9780</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405</v>
      </c>
      <c r="D5" s="1825" t="s">
        <v>1402</v>
      </c>
      <c r="E5" s="1296"/>
      <c r="F5" s="1297"/>
      <c r="G5" s="1854"/>
      <c r="H5" s="344">
        <v>1</v>
      </c>
      <c r="I5" s="345" t="s">
        <v>1401</v>
      </c>
      <c r="J5" s="1295">
        <f ca="1">J6+J10+J12</f>
        <v>440</v>
      </c>
      <c r="K5" s="1825" t="s">
        <v>1402</v>
      </c>
      <c r="L5" s="1296"/>
      <c r="M5" s="1297"/>
    </row>
    <row r="6" spans="1:37" ht="18" customHeight="1">
      <c r="A6" s="1294" t="s">
        <v>1035</v>
      </c>
      <c r="B6" s="3204" t="s">
        <v>1403</v>
      </c>
      <c r="C6" s="1299">
        <f ca="1">ROUND(F6*F8*F7*(1-F9)/10000,0)</f>
        <v>405</v>
      </c>
      <c r="D6" s="164" t="s">
        <v>3031</v>
      </c>
      <c r="E6" s="347" t="s">
        <v>1405</v>
      </c>
      <c r="F6" s="348">
        <f ca="1">INDIRECT("'数据-取费表'!u"&amp;$G$1)</f>
        <v>1.55</v>
      </c>
      <c r="G6" s="1854"/>
      <c r="H6" s="1294" t="s">
        <v>1035</v>
      </c>
      <c r="I6" s="3204" t="s">
        <v>1403</v>
      </c>
      <c r="J6" s="346">
        <f ca="1">ROUND(M6*M8*M7*(1-M9)/10000,0)</f>
        <v>439</v>
      </c>
      <c r="K6" s="164" t="s">
        <v>3030</v>
      </c>
      <c r="L6" s="347" t="s">
        <v>1405</v>
      </c>
      <c r="M6" s="348">
        <f ca="1">INDIRECT("'数据-取费表'!z"&amp;$G$1)</f>
        <v>1.98</v>
      </c>
    </row>
    <row r="7" spans="1:37" ht="18" customHeight="1">
      <c r="A7" s="1298"/>
      <c r="B7" s="3205"/>
      <c r="C7" s="1300"/>
      <c r="D7" s="352"/>
      <c r="E7" s="2954" t="s">
        <v>1406</v>
      </c>
      <c r="F7" s="348">
        <f ca="1">IF(INDIRECT("'数据-取费表'!ah"&amp;$G$1)="",INDIRECT("'数据-取费表'!k"&amp;$G$1),INDIRECT("'数据-取费表'!ah"&amp;$G$1))</f>
        <v>7153.6</v>
      </c>
      <c r="G7" s="1854"/>
      <c r="H7" s="349"/>
      <c r="I7" s="3205"/>
      <c r="J7" s="351"/>
      <c r="K7" s="352"/>
      <c r="L7" s="347" t="s">
        <v>1406</v>
      </c>
      <c r="M7" s="348">
        <f ca="1">F7</f>
        <v>7153.6</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v>
      </c>
      <c r="G9" s="1854"/>
      <c r="H9" s="349"/>
      <c r="I9" s="3206"/>
      <c r="J9" s="351"/>
      <c r="K9" s="352"/>
      <c r="L9" s="358" t="s">
        <v>1408</v>
      </c>
      <c r="M9" s="359">
        <f ca="1">INDIRECT("'数据-取费表'!ab"&amp;$G$1)</f>
        <v>0.15</v>
      </c>
    </row>
    <row r="10" spans="1:37" ht="18" customHeight="1">
      <c r="A10" s="1294" t="s">
        <v>1039</v>
      </c>
      <c r="B10" s="1826" t="s">
        <v>1409</v>
      </c>
      <c r="C10" s="361">
        <f ca="1">ROUND(IF(F10="押一",C6/12*F11,IF(F10="押二",C6/12*2*F11,IF(F10="押三",C6/12*3*F11,C11*F11))),0)</f>
        <v>0</v>
      </c>
      <c r="D10" s="1827" t="s">
        <v>3039</v>
      </c>
      <c r="E10" s="358" t="s">
        <v>1410</v>
      </c>
      <c r="F10" s="1369" t="s">
        <v>3097</v>
      </c>
      <c r="G10" s="1854"/>
      <c r="H10" s="1294" t="s">
        <v>1039</v>
      </c>
      <c r="I10" s="1826" t="s">
        <v>1409</v>
      </c>
      <c r="J10" s="346">
        <f ca="1">ROUND(IF(M10="押一",J6/12*M11,IF(M10="押二",J6/12*2*M11,IF(M10="押三",J6/12*3*M11,J11*M11))),0)</f>
        <v>1</v>
      </c>
      <c r="K10" s="1827" t="s">
        <v>3039</v>
      </c>
      <c r="L10" s="358" t="s">
        <v>1410</v>
      </c>
      <c r="M10" s="1369" t="s">
        <v>3069</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956</v>
      </c>
      <c r="D13" s="1334" t="s">
        <v>1414</v>
      </c>
      <c r="E13" s="1334" t="s">
        <v>1415</v>
      </c>
      <c r="F13" s="1335">
        <f ca="1">INDIRECT("'数据-取费表'!y"&amp;$G$1)</f>
        <v>0.4</v>
      </c>
      <c r="G13" s="1854"/>
      <c r="H13" s="1332">
        <v>2</v>
      </c>
      <c r="I13" s="1333" t="s">
        <v>1413</v>
      </c>
      <c r="J13" s="1293">
        <f ca="1">ROUND(J14*J15,0)</f>
        <v>956</v>
      </c>
      <c r="K13" s="1340" t="s">
        <v>1414</v>
      </c>
      <c r="L13" s="1855"/>
      <c r="M13" s="1856"/>
    </row>
    <row r="14" spans="1:37" ht="18" customHeight="1">
      <c r="A14" s="1204" t="s">
        <v>1034</v>
      </c>
      <c r="B14" s="347" t="s">
        <v>1416</v>
      </c>
      <c r="C14" s="363">
        <f ca="1">INDIRECT("'数据-取费表'!m"&amp;$G$1)+INDIRECT("'数据-取费表'!t"&amp;$G$1)</f>
        <v>1574</v>
      </c>
      <c r="D14" s="2948" t="s">
        <v>1417</v>
      </c>
      <c r="E14" s="2946"/>
      <c r="F14" s="364"/>
      <c r="G14" s="1854"/>
      <c r="H14" s="1204" t="s">
        <v>1035</v>
      </c>
      <c r="I14" s="347" t="s">
        <v>1418</v>
      </c>
      <c r="J14" s="24">
        <f ca="1">C29</f>
        <v>2391</v>
      </c>
      <c r="K14" s="2953"/>
      <c r="L14" s="982"/>
      <c r="M14" s="983"/>
    </row>
    <row r="15" spans="1:37" s="1861" customFormat="1" ht="18" customHeight="1" thickBot="1">
      <c r="A15" s="1204" t="s">
        <v>1036</v>
      </c>
      <c r="B15" s="347" t="s">
        <v>1419</v>
      </c>
      <c r="C15" s="24">
        <f ca="1">ROUND(C14*F15,0)</f>
        <v>47</v>
      </c>
      <c r="D15" s="365" t="s">
        <v>1420</v>
      </c>
      <c r="E15" s="365" t="s">
        <v>1421</v>
      </c>
      <c r="F15" s="366">
        <f>'数据-取费表'!B33</f>
        <v>0.03</v>
      </c>
      <c r="G15" s="1857"/>
      <c r="H15" s="1342" t="s">
        <v>1039</v>
      </c>
      <c r="I15" s="1343" t="s">
        <v>1415</v>
      </c>
      <c r="J15" s="1352">
        <f ca="1">INDIRECT("'数据-取费表'!ad"&amp;$G$1)</f>
        <v>0.4</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121</v>
      </c>
      <c r="K16" s="1340" t="s">
        <v>1424</v>
      </c>
      <c r="L16" s="2949"/>
      <c r="M16" s="1297"/>
    </row>
    <row r="17" spans="1:37" s="1861" customFormat="1" ht="18" customHeight="1">
      <c r="A17" s="1204" t="s">
        <v>1390</v>
      </c>
      <c r="B17" s="347" t="s">
        <v>1425</v>
      </c>
      <c r="C17" s="24">
        <f ca="1">ROUND(F17*(F43+INDIRECT("'数据-取费表'!S"&amp;$G$1))/10000,0)</f>
        <v>143</v>
      </c>
      <c r="D17" s="347" t="s">
        <v>1426</v>
      </c>
      <c r="E17" s="347" t="s">
        <v>1427</v>
      </c>
      <c r="F17" s="26">
        <f>'数据-取费表'!B35</f>
        <v>200</v>
      </c>
      <c r="G17" s="1857"/>
      <c r="H17" s="1204" t="s">
        <v>1035</v>
      </c>
      <c r="I17" s="347" t="s">
        <v>1428</v>
      </c>
      <c r="J17" s="24">
        <f ca="1">ROUND(IF(项目基本情况!B11="自然人",J5*M17,J18+J19+J20),1)</f>
        <v>78.8</v>
      </c>
      <c r="K17" s="2948" t="s">
        <v>1429</v>
      </c>
      <c r="L17" s="2947"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24</v>
      </c>
      <c r="D18" s="347" t="s">
        <v>1420</v>
      </c>
      <c r="E18" s="347" t="s">
        <v>1421</v>
      </c>
      <c r="F18" s="367">
        <f>'数据-取费表'!B36</f>
        <v>1.4999999999999999E-2</v>
      </c>
      <c r="G18" s="1857"/>
      <c r="H18" s="1204" t="s">
        <v>1034</v>
      </c>
      <c r="I18" s="347" t="s">
        <v>1432</v>
      </c>
      <c r="J18" s="24">
        <f ca="1">ROUND(J5*M18/(1+'数据-取费表'!C42),2)</f>
        <v>23.47</v>
      </c>
      <c r="K18" s="2947"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1788</v>
      </c>
      <c r="D19" s="140" t="s">
        <v>1435</v>
      </c>
      <c r="E19" s="2952"/>
      <c r="F19" s="26"/>
      <c r="G19" s="1854"/>
      <c r="H19" s="1204" t="s">
        <v>1036</v>
      </c>
      <c r="I19" s="347" t="s">
        <v>1436</v>
      </c>
      <c r="J19" s="24">
        <f ca="1">IF(K19="按租金收入计税",ROUND(J5*M19,2),ROUND(C29*M19*0.7,2))</f>
        <v>52.8</v>
      </c>
      <c r="K19" s="1831" t="s">
        <v>3070</v>
      </c>
      <c r="L19" s="347" t="s">
        <v>1421</v>
      </c>
      <c r="M19" s="367">
        <f>IF(K19="按租金收入计税",'数据-取费表'!B51,'数据-取费表'!B50)</f>
        <v>0.12</v>
      </c>
    </row>
    <row r="20" spans="1:37" s="1861" customFormat="1" ht="18" customHeight="1">
      <c r="A20" s="1204" t="s">
        <v>1039</v>
      </c>
      <c r="B20" s="347" t="s">
        <v>1438</v>
      </c>
      <c r="C20" s="24">
        <f ca="1">ROUND(C19*F20,0)</f>
        <v>54</v>
      </c>
      <c r="D20" s="369" t="s">
        <v>1439</v>
      </c>
      <c r="E20" s="347" t="s">
        <v>1421</v>
      </c>
      <c r="F20" s="367">
        <f>'数据-取费表'!B37</f>
        <v>0.03</v>
      </c>
      <c r="G20" s="1857"/>
      <c r="H20" s="1204" t="s">
        <v>1389</v>
      </c>
      <c r="I20" s="164" t="s">
        <v>1440</v>
      </c>
      <c r="J20" s="25">
        <f ca="1">ROUND(M20*M21/10000,2)</f>
        <v>2.5099999999999998</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8351.7800000000007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52"/>
      <c r="F22" s="26"/>
      <c r="G22" s="1854"/>
      <c r="H22" s="1204" t="s">
        <v>1039</v>
      </c>
      <c r="I22" s="347" t="s">
        <v>1448</v>
      </c>
      <c r="J22" s="24">
        <f ca="1">ROUND(J14*M22,1)</f>
        <v>35.9</v>
      </c>
      <c r="K22" s="2947"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88</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1.4</v>
      </c>
      <c r="K23" s="2947" t="s">
        <v>1453</v>
      </c>
      <c r="L23" s="347" t="s">
        <v>1421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4.4000000000000004</v>
      </c>
      <c r="K24" s="1345" t="s">
        <v>1458</v>
      </c>
      <c r="L24" s="1343" t="s">
        <v>1421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2952"/>
      <c r="F25" s="26"/>
      <c r="G25" s="1854"/>
      <c r="H25" s="1332" t="s">
        <v>1031</v>
      </c>
      <c r="I25" s="1347" t="s">
        <v>1462</v>
      </c>
      <c r="J25" s="355">
        <f ca="1">J5-J16</f>
        <v>319</v>
      </c>
      <c r="K25" s="1348" t="s">
        <v>1463</v>
      </c>
      <c r="L25" s="1349"/>
      <c r="M25" s="1350"/>
    </row>
    <row r="26" spans="1:37">
      <c r="A26" s="1204" t="s">
        <v>1034</v>
      </c>
      <c r="B26" s="347" t="s">
        <v>1464</v>
      </c>
      <c r="C26" s="24">
        <f ca="1">ROUND((C19+C20)*F26,0)</f>
        <v>276</v>
      </c>
      <c r="D26" s="369" t="s">
        <v>1465</v>
      </c>
      <c r="E26" s="358" t="s">
        <v>1466</v>
      </c>
      <c r="F26" s="357">
        <f ca="1">INDIRECT("'数据-取费表'!q"&amp;$G$1)</f>
        <v>0.15</v>
      </c>
      <c r="G26" s="1854"/>
      <c r="H26" s="344" t="s">
        <v>1032</v>
      </c>
      <c r="I26" s="345" t="s">
        <v>1467</v>
      </c>
      <c r="J26" s="346">
        <f ca="1">IF(J5&lt;&gt;0,ROUND(J25*(1-((1+M28)/(1+M26))^M27)/(M26-M28),0),0)</f>
        <v>7093</v>
      </c>
      <c r="K26" s="370" t="s">
        <v>1468</v>
      </c>
      <c r="L26" s="347" t="s">
        <v>1469</v>
      </c>
      <c r="M26" s="357">
        <f ca="1">INDIRECT("'数据-取费表'!I"&amp;$G$1)</f>
        <v>4.4999999999999998E-2</v>
      </c>
    </row>
    <row r="27" spans="1:37" ht="18" customHeight="1">
      <c r="A27" s="1204" t="s">
        <v>1036</v>
      </c>
      <c r="B27" s="347" t="s">
        <v>1470</v>
      </c>
      <c r="C27" s="24">
        <f ca="1">ROUND(F21*F26,4)</f>
        <v>3.0000000000000001E-3</v>
      </c>
      <c r="D27" s="369" t="s">
        <v>1471</v>
      </c>
      <c r="E27" s="365"/>
      <c r="F27" s="366"/>
      <c r="G27" s="1854"/>
      <c r="H27" s="349"/>
      <c r="I27" s="350"/>
      <c r="J27" s="351"/>
      <c r="K27" s="378" t="s">
        <v>1472</v>
      </c>
      <c r="L27" s="347" t="s">
        <v>1473</v>
      </c>
      <c r="M27" s="379">
        <f ca="1">INDIRECT("'数据-取费表'!ag"&amp;$G$1)</f>
        <v>30.439999999999998</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2391</v>
      </c>
      <c r="D29" s="1345"/>
      <c r="E29" s="1343"/>
      <c r="F29" s="1346"/>
      <c r="G29" s="1857"/>
      <c r="H29" s="380" t="s">
        <v>1033</v>
      </c>
      <c r="I29" s="381" t="s">
        <v>1478</v>
      </c>
      <c r="J29" s="382">
        <f ca="1">ROUND(J26/(1+F40)^F41,0)</f>
        <v>5995</v>
      </c>
      <c r="K29" s="383" t="s">
        <v>1479</v>
      </c>
      <c r="L29" s="384"/>
      <c r="M29" s="385">
        <f ca="1">INDIRECT("'数据-取费表'!k"&amp;$G$1)</f>
        <v>7153.6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114</v>
      </c>
      <c r="D30" s="1340" t="s">
        <v>1424</v>
      </c>
      <c r="E30" s="2949"/>
      <c r="F30" s="1297"/>
      <c r="G30" s="1854"/>
      <c r="H30" s="745"/>
      <c r="I30" s="746"/>
      <c r="J30" s="747"/>
      <c r="K30" s="748"/>
      <c r="L30" s="749"/>
      <c r="M30" s="750"/>
    </row>
    <row r="31" spans="1:37" ht="18" customHeight="1">
      <c r="A31" s="1204" t="s">
        <v>1035</v>
      </c>
      <c r="B31" s="347" t="s">
        <v>1428</v>
      </c>
      <c r="C31" s="24">
        <f ca="1">ROUND(IF(项目基本情况!B11="自然人",C5*F31,C32+C33+C34),1)</f>
        <v>72.7</v>
      </c>
      <c r="D31" s="2948" t="s">
        <v>1429</v>
      </c>
      <c r="E31" s="2947"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21.6</v>
      </c>
      <c r="D32" s="2947"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48.6</v>
      </c>
      <c r="D33" s="1831" t="s">
        <v>3070</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2.5099999999999998</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8351.7800000000007</v>
      </c>
      <c r="G35" s="1854"/>
      <c r="H35" s="745"/>
      <c r="I35" s="1863"/>
      <c r="J35" s="1864"/>
      <c r="K35" s="1865"/>
      <c r="L35" s="1862"/>
      <c r="M35" s="1862"/>
    </row>
    <row r="36" spans="1:18" ht="18" customHeight="1">
      <c r="A36" s="1355" t="s">
        <v>1039</v>
      </c>
      <c r="B36" s="347" t="s">
        <v>1448</v>
      </c>
      <c r="C36" s="24">
        <f ca="1">ROUND(C29*F36,1)</f>
        <v>35.9</v>
      </c>
      <c r="D36" s="2947"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1.4</v>
      </c>
      <c r="D37" s="2947" t="s">
        <v>1453</v>
      </c>
      <c r="E37" s="347" t="s">
        <v>1421</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4.0999999999999996</v>
      </c>
      <c r="D38" s="1345" t="s">
        <v>1458</v>
      </c>
      <c r="E38" s="1343" t="s">
        <v>1421</v>
      </c>
      <c r="F38" s="1339">
        <f ca="1">INDIRECT("'数据-取费表'!Am"&amp;$G$1)</f>
        <v>0.01</v>
      </c>
      <c r="G38" s="1854"/>
      <c r="H38" s="1862"/>
      <c r="I38" s="1863"/>
      <c r="J38" s="1864"/>
      <c r="K38" s="1868"/>
      <c r="L38" s="1862"/>
      <c r="M38" s="1862"/>
    </row>
    <row r="39" spans="1:18" ht="24.6" customHeight="1" thickTop="1">
      <c r="A39" s="1332" t="s">
        <v>1031</v>
      </c>
      <c r="B39" s="1347" t="s">
        <v>1462</v>
      </c>
      <c r="C39" s="355">
        <f ca="1">C5-C30</f>
        <v>291</v>
      </c>
      <c r="D39" s="1348" t="s">
        <v>1463</v>
      </c>
      <c r="E39" s="1349"/>
      <c r="F39" s="1350"/>
      <c r="G39" s="1854"/>
      <c r="H39" s="1862"/>
      <c r="I39" s="1863"/>
      <c r="J39" s="1864"/>
      <c r="K39" s="1868"/>
      <c r="L39" s="1862"/>
      <c r="M39" s="1862"/>
    </row>
    <row r="40" spans="1:18" ht="18" customHeight="1">
      <c r="A40" s="344" t="s">
        <v>1032</v>
      </c>
      <c r="B40" s="345" t="s">
        <v>1484</v>
      </c>
      <c r="C40" s="346">
        <f ca="1">ROUND(C39*(1-((1+F42)/(1+F40))^F41)/(F40-F42),0)</f>
        <v>1001</v>
      </c>
      <c r="D40" s="370" t="s">
        <v>1468</v>
      </c>
      <c r="E40" s="347" t="s">
        <v>1469</v>
      </c>
      <c r="F40" s="357">
        <f ca="1">INDIRECT("'数据-取费表'!I"&amp;$G$1)</f>
        <v>4.4999999999999998E-2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3.82</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1399</v>
      </c>
      <c r="D43" s="383" t="s">
        <v>1487</v>
      </c>
      <c r="E43" s="384" t="s">
        <v>1488</v>
      </c>
      <c r="F43" s="385">
        <f ca="1">INDIRECT("'数据-取费表'!k"&amp;$G$1)</f>
        <v>7153.6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-1139</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3090</v>
      </c>
      <c r="K47" s="1885" t="s">
        <v>1526</v>
      </c>
      <c r="L47" s="1886">
        <f ca="1">INDIRECT("'数据-取费表'!d"&amp;$G$1)</f>
        <v>50</v>
      </c>
      <c r="M47" s="1841" t="str">
        <f>IF(ISNUMBER(FIND("住宅",C1)),"住宅","非住宅")</f>
        <v>非住宅</v>
      </c>
      <c r="O47" s="1887" t="s">
        <v>1040</v>
      </c>
      <c r="P47" s="1888" t="s">
        <v>1527</v>
      </c>
      <c r="Q47" s="1889">
        <f ca="1">C40+J29</f>
        <v>6996</v>
      </c>
      <c r="R47" s="1889" t="s">
        <v>1528</v>
      </c>
    </row>
    <row r="48" spans="1:18" s="1845" customFormat="1" ht="28.5" thickBot="1">
      <c r="A48" s="1363" t="s">
        <v>1135</v>
      </c>
      <c r="B48" s="345" t="s">
        <v>1401</v>
      </c>
      <c r="C48" s="2951">
        <f ca="1">C49+C53+C55</f>
        <v>0</v>
      </c>
      <c r="D48" s="1365"/>
      <c r="E48" s="1366"/>
      <c r="F48" s="1184"/>
      <c r="G48" s="792"/>
      <c r="H48" s="793"/>
      <c r="I48" s="1890" t="s">
        <v>1529</v>
      </c>
      <c r="J48" s="1891" t="s">
        <v>3091</v>
      </c>
      <c r="K48" s="1892" t="s">
        <v>1530</v>
      </c>
      <c r="L48" s="1893">
        <f ca="1">INDIRECT("'数据-取费表'!f"&amp;$G$1)</f>
        <v>34.26</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3030</v>
      </c>
      <c r="E49" s="1833" t="s">
        <v>1490</v>
      </c>
      <c r="F49" s="1284"/>
      <c r="G49" s="1894"/>
      <c r="H49" s="793"/>
      <c r="I49" s="1890" t="s">
        <v>1533</v>
      </c>
      <c r="J49" s="1895"/>
      <c r="K49" s="1892" t="s">
        <v>1534</v>
      </c>
      <c r="L49" s="1896"/>
      <c r="O49" s="1897" t="s">
        <v>1042</v>
      </c>
      <c r="P49" s="1888" t="s">
        <v>1535</v>
      </c>
      <c r="Q49" s="1889">
        <f ca="1">C29</f>
        <v>2391</v>
      </c>
      <c r="R49" s="1889" t="s">
        <v>1528</v>
      </c>
    </row>
    <row r="50" spans="1:18" s="1845" customFormat="1" ht="13.5" thickBot="1">
      <c r="A50" s="1198"/>
      <c r="B50" s="1201"/>
      <c r="C50" s="1371"/>
      <c r="D50" s="1175"/>
      <c r="E50" s="1280" t="s">
        <v>1406</v>
      </c>
      <c r="F50" s="1281">
        <f ca="1">F7</f>
        <v>7153.6</v>
      </c>
      <c r="H50" s="793"/>
      <c r="I50" s="1890" t="s">
        <v>1536</v>
      </c>
      <c r="J50" s="1898">
        <f>SUMPRODUCT((I63:I65=J47)*(J62:L62=J48)*(J63:L65))</f>
        <v>50</v>
      </c>
      <c r="K50" s="1892" t="s">
        <v>1537</v>
      </c>
      <c r="L50" s="1896">
        <v>2481</v>
      </c>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3629</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v>0.05</v>
      </c>
      <c r="O52" s="1897" t="s">
        <v>1045</v>
      </c>
      <c r="P52" s="1888" t="s">
        <v>1544</v>
      </c>
      <c r="Q52" s="1889">
        <f ca="1">J53</f>
        <v>34.26</v>
      </c>
      <c r="R52" s="1889" t="s">
        <v>1545</v>
      </c>
    </row>
    <row r="53" spans="1:18" s="1845" customFormat="1" ht="24.75" thickBot="1">
      <c r="A53" s="1408" t="s">
        <v>1137</v>
      </c>
      <c r="B53" s="1834" t="s">
        <v>1409</v>
      </c>
      <c r="C53" s="361">
        <f ca="1">ROUND(IF(F53="押一",C49/12*F11,IF(F53="押二",C49/12*2*F11,IF(F53="押三",C49/12*3*F11,C54*F11))),0)</f>
        <v>0</v>
      </c>
      <c r="D53" s="1827" t="s">
        <v>3039</v>
      </c>
      <c r="E53" s="358" t="s">
        <v>1410</v>
      </c>
      <c r="F53" s="1369" t="s">
        <v>3069</v>
      </c>
      <c r="I53" s="1908" t="s">
        <v>1546</v>
      </c>
      <c r="J53" s="1909">
        <f ca="1">IF(M47="住宅",J51,IF(D1="——",MIN(J51,L48),IF(D1="在建（套用方法）",MIN(J51,L48-'数据-取费表'!B24),IF(D1="土地（套用方法）",MIN(J51,L48-'数据-取费表'!B20)))))</f>
        <v>34.26</v>
      </c>
      <c r="K53" s="3207" t="s">
        <v>1547</v>
      </c>
      <c r="L53" s="3208"/>
      <c r="O53" s="1887" t="s">
        <v>1046</v>
      </c>
      <c r="P53" s="1888" t="s">
        <v>1548</v>
      </c>
      <c r="Q53" s="1889">
        <f ca="1">Q47+Q48</f>
        <v>6996</v>
      </c>
      <c r="R53" s="1889" t="s">
        <v>1047</v>
      </c>
    </row>
    <row r="54" spans="1:18" s="1845" customFormat="1" ht="13.5" thickBot="1">
      <c r="A54" s="1409"/>
      <c r="B54" s="1828" t="s">
        <v>1388</v>
      </c>
      <c r="C54" s="1181"/>
      <c r="D54" s="1827"/>
      <c r="E54" s="2950"/>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2950"/>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956</v>
      </c>
      <c r="D56" s="1917"/>
      <c r="E56" s="1918"/>
      <c r="F56" s="1910"/>
      <c r="I56" s="1919" t="s">
        <v>1553</v>
      </c>
      <c r="J56" s="1920" t="s">
        <v>3058</v>
      </c>
      <c r="K56" s="1890" t="s">
        <v>1554</v>
      </c>
      <c r="L56" s="1893" t="str">
        <f ca="1">IF(L48&lt;J51,"——",L48-J53)</f>
        <v>——</v>
      </c>
      <c r="O56" s="1887" t="s">
        <v>1040</v>
      </c>
      <c r="P56" s="1888" t="s">
        <v>1527</v>
      </c>
      <c r="Q56" s="1889">
        <f ca="1">C40+J29</f>
        <v>6996</v>
      </c>
      <c r="R56" s="1889" t="s">
        <v>1528</v>
      </c>
    </row>
    <row r="57" spans="1:18" s="1845" customFormat="1" ht="24.75" thickBot="1">
      <c r="A57" s="1921"/>
      <c r="B57" s="1172" t="s">
        <v>1477</v>
      </c>
      <c r="C57" s="282">
        <f ca="1">C29</f>
        <v>2391</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40</v>
      </c>
      <c r="D58" s="1182" t="s">
        <v>1424</v>
      </c>
      <c r="E58" s="1183"/>
      <c r="F58" s="1184"/>
      <c r="I58" s="1925" t="s">
        <v>1559</v>
      </c>
      <c r="J58" s="1927" t="e">
        <f ca="1">IF(J55&lt;0.4,0.4,J55)</f>
        <v>#VALUE!</v>
      </c>
      <c r="K58" s="1903" t="s">
        <v>1560</v>
      </c>
      <c r="L58" s="1893">
        <f ca="1">ROUND(POWER(1+L52,L47-L48)*(POWER(1+L52,L48)-1)/(POWER(1+L52,L47)-1),4)</f>
        <v>0.88959999999999995</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2.5</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v>
      </c>
      <c r="M59" s="1841">
        <f ca="1">ROUND(POWER(1+L52,L47-(J51+'数据-取费表'!B24))*(POWER(1+L52,(J51+'数据-取费表'!B24))-1)/(POWER(1+L52,L47)-1),4)</f>
        <v>1</v>
      </c>
      <c r="N59" s="1841">
        <f ca="1">ROUND(POWER(1+L52,L47-(J51+'数据-取费表'!B20))*(POWER(1+L52,(J51+'数据-取费表'!B20))-1)/(POWER(1+L52,L47)-1),4)</f>
        <v>1.0088999999999999</v>
      </c>
      <c r="O59" s="1897" t="s">
        <v>1043</v>
      </c>
      <c r="P59" s="1888" t="s">
        <v>1563</v>
      </c>
      <c r="Q59" s="1900">
        <f>L52</f>
        <v>0.05</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f ca="1">L58</f>
        <v>0.88959999999999995</v>
      </c>
      <c r="R60" s="1889" t="s">
        <v>1567</v>
      </c>
    </row>
    <row r="61" spans="1:18" s="1845" customFormat="1" ht="13.5" thickBot="1">
      <c r="A61" s="1204" t="s">
        <v>1491</v>
      </c>
      <c r="B61" s="1172" t="s">
        <v>1436</v>
      </c>
      <c r="C61" s="24">
        <f ca="1">IF(项目基本情况!B11="自然人","——",IF(D61="按租金收入计税",ROUND(C48*F61,2),IF(D61="按房产原值计税",ROUND(C57*F61*0.7,2),INDIRECT("'数据-取费表'!Aj"&amp;$G$1))))</f>
        <v>0</v>
      </c>
      <c r="D61" s="1831" t="s">
        <v>3070</v>
      </c>
      <c r="E61" s="1172" t="s">
        <v>1421</v>
      </c>
      <c r="F61" s="367">
        <f t="shared" si="0"/>
        <v>0.12</v>
      </c>
      <c r="I61" s="1931"/>
      <c r="J61" s="1931"/>
      <c r="K61" s="1931"/>
      <c r="L61" s="1931"/>
      <c r="O61" s="1897" t="s">
        <v>1045</v>
      </c>
      <c r="P61" s="1888" t="str">
        <f>K59</f>
        <v>建筑物剩余耐用年限下的土地年期修正系数Kn</v>
      </c>
      <c r="Q61" s="1889">
        <f ca="1">L59</f>
        <v>1</v>
      </c>
      <c r="R61" s="1889" t="s">
        <v>1568</v>
      </c>
    </row>
    <row r="62" spans="1:18" s="1845" customFormat="1" ht="13.5" thickBot="1">
      <c r="A62" s="1204" t="s">
        <v>1494</v>
      </c>
      <c r="B62" s="1171" t="s">
        <v>1440</v>
      </c>
      <c r="C62" s="25">
        <f ca="1">IF(项目基本情况!B11="自然人","——",ROUND(F62*F63/10000,2))</f>
        <v>2.5099999999999998</v>
      </c>
      <c r="D62" s="1187" t="s">
        <v>1441</v>
      </c>
      <c r="E62" s="1172" t="s">
        <v>1442</v>
      </c>
      <c r="F62" s="371">
        <f t="shared" si="0"/>
        <v>3</v>
      </c>
      <c r="I62" s="1932" t="s">
        <v>1569</v>
      </c>
      <c r="J62" s="1933" t="s">
        <v>1570</v>
      </c>
      <c r="K62" s="1933" t="s">
        <v>1571</v>
      </c>
      <c r="L62" s="1933" t="s">
        <v>1572</v>
      </c>
      <c r="M62" s="1934" t="s">
        <v>1573</v>
      </c>
      <c r="O62" s="1887" t="s">
        <v>1046</v>
      </c>
      <c r="P62" s="1888" t="s">
        <v>1548</v>
      </c>
      <c r="Q62" s="1889">
        <f ca="1">Q56+Q57</f>
        <v>6996</v>
      </c>
      <c r="R62" s="1889" t="s">
        <v>1047</v>
      </c>
    </row>
    <row r="63" spans="1:18" s="1845" customFormat="1" ht="13.5" thickBot="1">
      <c r="A63" s="372"/>
      <c r="B63" s="1178"/>
      <c r="C63" s="29"/>
      <c r="D63" s="1188"/>
      <c r="E63" s="1172" t="s">
        <v>1446</v>
      </c>
      <c r="F63" s="348">
        <f t="shared" ca="1" si="0"/>
        <v>8351.7800000000007</v>
      </c>
      <c r="I63" s="1932" t="s">
        <v>1575</v>
      </c>
      <c r="J63" s="1933">
        <v>70</v>
      </c>
      <c r="K63" s="1933">
        <v>50</v>
      </c>
      <c r="L63" s="1933">
        <v>80</v>
      </c>
      <c r="M63" s="1935">
        <v>0.02</v>
      </c>
      <c r="O63" s="1872" t="s">
        <v>1576</v>
      </c>
      <c r="P63" s="1842"/>
      <c r="Q63" s="1842"/>
      <c r="R63" s="1842"/>
    </row>
    <row r="64" spans="1:18" s="1845" customFormat="1" ht="13.5" thickBot="1">
      <c r="A64" s="1204" t="s">
        <v>1039</v>
      </c>
      <c r="B64" s="1172" t="s">
        <v>1448</v>
      </c>
      <c r="C64" s="24">
        <f ca="1">ROUND(C57*F64,1)</f>
        <v>35.9</v>
      </c>
      <c r="D64" s="1186" t="s">
        <v>1481</v>
      </c>
      <c r="E64" s="1172" t="s">
        <v>1421</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1.4</v>
      </c>
      <c r="D65" s="1186" t="s">
        <v>1453</v>
      </c>
      <c r="E65" s="1172" t="s">
        <v>1421</v>
      </c>
      <c r="F65" s="376">
        <f t="shared" ca="1" si="0"/>
        <v>1.5E-3</v>
      </c>
      <c r="I65" s="1932" t="s">
        <v>1578</v>
      </c>
      <c r="J65" s="1933">
        <v>40</v>
      </c>
      <c r="K65" s="1933">
        <v>30</v>
      </c>
      <c r="L65" s="1933">
        <v>50</v>
      </c>
      <c r="M65" s="1935">
        <v>0.02</v>
      </c>
      <c r="O65" s="1887" t="s">
        <v>1040</v>
      </c>
      <c r="P65" s="1888" t="s">
        <v>1527</v>
      </c>
      <c r="Q65" s="1889">
        <f ca="1">C40+J29</f>
        <v>6996</v>
      </c>
      <c r="R65" s="1889" t="s">
        <v>1528</v>
      </c>
    </row>
    <row r="66" spans="1:18" s="1845" customFormat="1" ht="16.5" thickBot="1">
      <c r="A66" s="1204" t="s">
        <v>1503</v>
      </c>
      <c r="B66" s="1172" t="s">
        <v>1438</v>
      </c>
      <c r="C66" s="24">
        <f ca="1">ROUND(C48*F66,1)</f>
        <v>0</v>
      </c>
      <c r="D66" s="1186" t="s">
        <v>1458</v>
      </c>
      <c r="E66" s="1172" t="s">
        <v>1421</v>
      </c>
      <c r="F66" s="357">
        <f t="shared" ca="1" si="0"/>
        <v>0.01</v>
      </c>
      <c r="O66" s="1887" t="s">
        <v>1041</v>
      </c>
      <c r="P66" s="1888" t="s">
        <v>1557</v>
      </c>
      <c r="Q66" s="1889">
        <f ca="1">L60</f>
        <v>0</v>
      </c>
      <c r="R66" s="1889" t="s">
        <v>1580</v>
      </c>
    </row>
    <row r="67" spans="1:18" s="1845" customFormat="1" ht="16.5" thickBot="1">
      <c r="A67" s="1179" t="s">
        <v>1031</v>
      </c>
      <c r="B67" s="1189" t="s">
        <v>1462</v>
      </c>
      <c r="C67" s="361">
        <f ca="1">C48-C58</f>
        <v>-40</v>
      </c>
      <c r="D67" s="1185" t="s">
        <v>1463</v>
      </c>
      <c r="E67" s="1190"/>
      <c r="F67" s="1191"/>
      <c r="O67" s="1897" t="s">
        <v>1042</v>
      </c>
      <c r="P67" s="1888" t="s">
        <v>1561</v>
      </c>
      <c r="Q67" s="1936">
        <f ca="1">L51</f>
        <v>3629</v>
      </c>
      <c r="R67" s="1889" t="s">
        <v>1581</v>
      </c>
    </row>
    <row r="68" spans="1:18" s="1845" customFormat="1" ht="16.5" thickBot="1">
      <c r="A68" s="1169" t="s">
        <v>1032</v>
      </c>
      <c r="B68" s="1170" t="s">
        <v>1484</v>
      </c>
      <c r="C68" s="346">
        <f ca="1">ROUND(C67*(1-((1+F70)/(1+F68))^F69)/(F68-F70),0)</f>
        <v>-138</v>
      </c>
      <c r="D68" s="1187" t="s">
        <v>1468</v>
      </c>
      <c r="E68" s="1172" t="s">
        <v>1469</v>
      </c>
      <c r="F68" s="357">
        <f ca="1">F40</f>
        <v>4.4999999999999998E-2</v>
      </c>
      <c r="O68" s="1897" t="s">
        <v>1043</v>
      </c>
      <c r="P68" s="1937" t="s">
        <v>1582</v>
      </c>
      <c r="Q68" s="1889">
        <f ca="1">ROUND(Q69-Q70*Q71,0)</f>
        <v>210</v>
      </c>
      <c r="R68" s="1889" t="s">
        <v>1051</v>
      </c>
    </row>
    <row r="69" spans="1:18" s="1845" customFormat="1" ht="13.5" thickBot="1">
      <c r="A69" s="1173"/>
      <c r="B69" s="1174"/>
      <c r="C69" s="351"/>
      <c r="D69" s="1192" t="s">
        <v>1472</v>
      </c>
      <c r="E69" s="1172" t="s">
        <v>1473</v>
      </c>
      <c r="F69" s="379">
        <f ca="1">F41</f>
        <v>3.82</v>
      </c>
      <c r="O69" s="1897" t="s">
        <v>1048</v>
      </c>
      <c r="P69" s="1937" t="s">
        <v>1583</v>
      </c>
      <c r="Q69" s="1889">
        <f ca="1">C39</f>
        <v>291</v>
      </c>
      <c r="R69" s="1889" t="s">
        <v>1528</v>
      </c>
    </row>
    <row r="70" spans="1:18" s="1845" customFormat="1" ht="13.5" thickBot="1">
      <c r="A70" s="1176"/>
      <c r="B70" s="1177"/>
      <c r="C70" s="355"/>
      <c r="D70" s="1188"/>
      <c r="E70" s="1172" t="s">
        <v>1476</v>
      </c>
      <c r="F70" s="1278"/>
      <c r="O70" s="1897" t="s">
        <v>1049</v>
      </c>
      <c r="P70" s="1937" t="s">
        <v>1584</v>
      </c>
      <c r="Q70" s="1889">
        <f ca="1">C13</f>
        <v>956</v>
      </c>
      <c r="R70" s="1889" t="s">
        <v>1528</v>
      </c>
    </row>
    <row r="71" spans="1:18" s="1845" customFormat="1" ht="13.5" thickBot="1">
      <c r="A71" s="1193" t="s">
        <v>1033</v>
      </c>
      <c r="B71" s="1194" t="s">
        <v>1486</v>
      </c>
      <c r="C71" s="382">
        <f ca="1">ROUND(C68*10000/F71,0)</f>
        <v>-193</v>
      </c>
      <c r="D71" s="1195" t="s">
        <v>1487</v>
      </c>
      <c r="E71" s="1196" t="s">
        <v>1488</v>
      </c>
      <c r="F71" s="385">
        <f ca="1">F43</f>
        <v>7153.6</v>
      </c>
      <c r="O71" s="1897" t="s">
        <v>1050</v>
      </c>
      <c r="P71" s="1937" t="s">
        <v>1585</v>
      </c>
      <c r="Q71" s="1900">
        <f ca="1">C76</f>
        <v>8.5000000000000006E-2</v>
      </c>
      <c r="R71" s="1889"/>
    </row>
    <row r="72" spans="1:18" s="1845" customFormat="1" ht="13.5" thickBot="1">
      <c r="B72" s="796"/>
      <c r="C72" s="796"/>
      <c r="O72" s="1897" t="s">
        <v>1044</v>
      </c>
      <c r="P72" s="1888" t="s">
        <v>1563</v>
      </c>
      <c r="Q72" s="1900">
        <f>L52</f>
        <v>0.05</v>
      </c>
      <c r="R72" s="1889"/>
    </row>
    <row r="73" spans="1:18" ht="16.5" thickBot="1">
      <c r="A73" s="1845"/>
      <c r="B73" s="796"/>
      <c r="C73" s="796"/>
      <c r="D73" s="1845"/>
      <c r="E73" s="1845"/>
      <c r="F73" s="1845"/>
      <c r="O73" s="1897" t="s">
        <v>1045</v>
      </c>
      <c r="P73" s="1888" t="s">
        <v>1566</v>
      </c>
      <c r="Q73" s="1889">
        <f ca="1">L58</f>
        <v>0.88959999999999995</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1</v>
      </c>
      <c r="R74" s="1889" t="s">
        <v>1568</v>
      </c>
    </row>
    <row r="75" spans="1:18" ht="13.5" thickBot="1">
      <c r="A75" s="1845"/>
      <c r="B75" s="386" t="s">
        <v>1505</v>
      </c>
      <c r="C75" s="387">
        <f ca="1">ROUND(C13*C76,0)</f>
        <v>81</v>
      </c>
      <c r="D75" s="1845"/>
      <c r="E75" s="1845"/>
      <c r="F75" s="1845"/>
      <c r="K75" s="1871"/>
      <c r="L75" s="1845"/>
      <c r="O75" s="1887" t="s">
        <v>1046</v>
      </c>
      <c r="P75" s="1888" t="s">
        <v>1548</v>
      </c>
      <c r="Q75" s="1889">
        <f ca="1">Q65+Q66</f>
        <v>6996</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0.72199999999999998</v>
      </c>
    </row>
    <row r="80" spans="1:18">
      <c r="B80" s="386" t="s">
        <v>1510</v>
      </c>
      <c r="C80" s="318">
        <f ca="1">ROUND(C75/C39,3)</f>
        <v>0.27800000000000002</v>
      </c>
    </row>
    <row r="81" spans="2:3">
      <c r="B81" s="314" t="s">
        <v>1511</v>
      </c>
      <c r="C81" s="282"/>
    </row>
    <row r="82" spans="2:3">
      <c r="B82" s="317" t="s">
        <v>1512</v>
      </c>
      <c r="C82" s="319">
        <f ca="1">1-C83</f>
        <v>4.500000000000004E-2</v>
      </c>
    </row>
    <row r="83" spans="2:3">
      <c r="B83" s="317" t="s">
        <v>1513</v>
      </c>
      <c r="C83" s="318">
        <f ca="1">ROUND(C13/C40,3)</f>
        <v>0.95499999999999996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37" sqref="C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3060</v>
      </c>
      <c r="D1" s="1823" t="s">
        <v>70</v>
      </c>
      <c r="E1" s="1824" t="s">
        <v>1387</v>
      </c>
      <c r="F1" s="1286">
        <f ca="1">J53</f>
        <v>34.26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121</v>
      </c>
      <c r="C2" s="1848" t="s">
        <v>1515</v>
      </c>
      <c r="D2" s="1848"/>
      <c r="E2" s="1849"/>
      <c r="F2" s="1850"/>
      <c r="G2" s="1851"/>
      <c r="H2" s="1843"/>
      <c r="I2" s="1843"/>
      <c r="J2" s="1843"/>
      <c r="K2" s="1844"/>
      <c r="L2" s="1843"/>
      <c r="M2" s="1843"/>
    </row>
    <row r="3" spans="1:37" ht="18" customHeight="1" thickBot="1">
      <c r="A3" s="1852" t="s">
        <v>1516</v>
      </c>
      <c r="B3" s="1853">
        <f ca="1">IF(ISERROR(B2*10000/F43),0,ROUND(B2*10000/F43,0))</f>
        <v>8637</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7</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ROUND(F6*F8*F7*(1-F9)/10000,0)</f>
        <v>7</v>
      </c>
      <c r="D6" s="164" t="s">
        <v>3031</v>
      </c>
      <c r="E6" s="347" t="s">
        <v>1405</v>
      </c>
      <c r="F6" s="348">
        <f ca="1">INDIRECT("'数据-取费表'!u"&amp;$G$1)</f>
        <v>1.5</v>
      </c>
      <c r="G6" s="1854"/>
      <c r="H6" s="1294" t="s">
        <v>1035</v>
      </c>
      <c r="I6" s="3204" t="s">
        <v>1403</v>
      </c>
      <c r="J6" s="346">
        <f ca="1">ROUND(M6*M8*M7*(1-M9)/10000,0)</f>
        <v>0</v>
      </c>
      <c r="K6" s="164" t="s">
        <v>3030</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140.1</v>
      </c>
      <c r="G7" s="1854"/>
      <c r="H7" s="349"/>
      <c r="I7" s="3205"/>
      <c r="J7" s="351"/>
      <c r="K7" s="352"/>
      <c r="L7" s="347" t="s">
        <v>1406</v>
      </c>
      <c r="M7" s="348">
        <f ca="1">F7</f>
        <v>140.1</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t="s">
        <v>3069</v>
      </c>
      <c r="G10" s="1854"/>
      <c r="H10" s="1294" t="s">
        <v>1039</v>
      </c>
      <c r="I10" s="1826" t="s">
        <v>1409</v>
      </c>
      <c r="J10" s="346">
        <f ca="1">ROUND(IF(M10="押一",J6/12*M11,IF(M10="押二",J6/12*2*M11,IF(M10="押三",J6/12*3*M11,J11*M11))),0)</f>
        <v>0</v>
      </c>
      <c r="K10" s="1827" t="s">
        <v>3039</v>
      </c>
      <c r="L10" s="358" t="s">
        <v>1410</v>
      </c>
      <c r="M10" s="1369" t="s">
        <v>3069</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19</v>
      </c>
      <c r="D13" s="1334" t="s">
        <v>1414</v>
      </c>
      <c r="E13" s="1334" t="s">
        <v>1415</v>
      </c>
      <c r="F13" s="1335">
        <f ca="1">INDIRECT("'数据-取费表'!y"&amp;$G$1)</f>
        <v>0.4</v>
      </c>
      <c r="G13" s="1854"/>
      <c r="H13" s="1332">
        <v>2</v>
      </c>
      <c r="I13" s="1333" t="s">
        <v>1413</v>
      </c>
      <c r="J13" s="1293">
        <f ca="1">ROUND(J14*J15,0)</f>
        <v>19</v>
      </c>
      <c r="K13" s="1340" t="s">
        <v>1414</v>
      </c>
      <c r="L13" s="1855"/>
      <c r="M13" s="1856"/>
    </row>
    <row r="14" spans="1:37" ht="18" customHeight="1">
      <c r="A14" s="1204" t="s">
        <v>1034</v>
      </c>
      <c r="B14" s="347" t="s">
        <v>1416</v>
      </c>
      <c r="C14" s="363">
        <f ca="1">INDIRECT("'数据-取费表'!m"&amp;$G$1)+INDIRECT("'数据-取费表'!t"&amp;$G$1)</f>
        <v>31</v>
      </c>
      <c r="D14" s="1803" t="s">
        <v>1417</v>
      </c>
      <c r="E14" s="1797"/>
      <c r="F14" s="364"/>
      <c r="G14" s="1854"/>
      <c r="H14" s="1204" t="s">
        <v>1035</v>
      </c>
      <c r="I14" s="347" t="s">
        <v>1418</v>
      </c>
      <c r="J14" s="24">
        <f ca="1">C29</f>
        <v>47</v>
      </c>
      <c r="K14" s="15"/>
      <c r="L14" s="982"/>
      <c r="M14" s="983"/>
    </row>
    <row r="15" spans="1:37" s="1861" customFormat="1" ht="18" customHeight="1" thickBot="1">
      <c r="A15" s="1204" t="s">
        <v>1036</v>
      </c>
      <c r="B15" s="347" t="s">
        <v>1419</v>
      </c>
      <c r="C15" s="24">
        <f ca="1">ROUND(C14*F15,0)</f>
        <v>1</v>
      </c>
      <c r="D15" s="365" t="s">
        <v>1420</v>
      </c>
      <c r="E15" s="365" t="s">
        <v>1421</v>
      </c>
      <c r="F15" s="366">
        <f>'数据-取费表'!B33</f>
        <v>0.03</v>
      </c>
      <c r="G15" s="1857"/>
      <c r="H15" s="1342" t="s">
        <v>1039</v>
      </c>
      <c r="I15" s="1343" t="s">
        <v>1415</v>
      </c>
      <c r="J15" s="1352">
        <f ca="1">INDIRECT("'数据-取费表'!ad"&amp;$G$1)</f>
        <v>0.4</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v>
      </c>
      <c r="K16" s="1340" t="s">
        <v>1424</v>
      </c>
      <c r="L16" s="1341"/>
      <c r="M16" s="1297"/>
    </row>
    <row r="17" spans="1:37" s="1861" customFormat="1" ht="18" customHeight="1">
      <c r="A17" s="1204" t="s">
        <v>1390</v>
      </c>
      <c r="B17" s="347" t="s">
        <v>1425</v>
      </c>
      <c r="C17" s="24">
        <f ca="1">ROUND(F17*(F43+INDIRECT("'数据-取费表'!S"&amp;$G$1))/10000,0)</f>
        <v>3</v>
      </c>
      <c r="D17" s="347" t="s">
        <v>1426</v>
      </c>
      <c r="E17" s="347" t="s">
        <v>1427</v>
      </c>
      <c r="F17" s="26">
        <f>'数据-取费表'!B35</f>
        <v>200</v>
      </c>
      <c r="G17" s="1857"/>
      <c r="H17" s="1204" t="s">
        <v>1035</v>
      </c>
      <c r="I17" s="347" t="s">
        <v>1428</v>
      </c>
      <c r="J17" s="24">
        <f ca="1">ROUND(IF(项目基本情况!B11="自然人",J5*M17,J18+J19+J20),1)</f>
        <v>0.1</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35</v>
      </c>
      <c r="D19" s="140" t="s">
        <v>1435</v>
      </c>
      <c r="E19" s="1821"/>
      <c r="F19" s="26"/>
      <c r="G19" s="1854"/>
      <c r="H19" s="1204" t="s">
        <v>1036</v>
      </c>
      <c r="I19" s="347" t="s">
        <v>1436</v>
      </c>
      <c r="J19" s="24">
        <f ca="1">IF(K19="按租金收入计税",ROUND(J5*M19,2),ROUND(C29*M19*0.7,2))</f>
        <v>0</v>
      </c>
      <c r="K19" s="1831" t="s">
        <v>3070</v>
      </c>
      <c r="L19" s="347" t="s">
        <v>1421</v>
      </c>
      <c r="M19" s="367">
        <f>IF(K19="按租金收入计税",'数据-取费表'!B51,'数据-取费表'!B50)</f>
        <v>0.12</v>
      </c>
    </row>
    <row r="20" spans="1:37" s="1861" customFormat="1" ht="18" customHeight="1">
      <c r="A20" s="1204" t="s">
        <v>1039</v>
      </c>
      <c r="B20" s="347" t="s">
        <v>1438</v>
      </c>
      <c r="C20" s="24">
        <f ca="1">ROUND(C19*F20,0)</f>
        <v>1</v>
      </c>
      <c r="D20" s="369" t="s">
        <v>1439</v>
      </c>
      <c r="E20" s="347" t="s">
        <v>1421</v>
      </c>
      <c r="F20" s="367">
        <f>'数据-取费表'!B37</f>
        <v>0.03</v>
      </c>
      <c r="G20" s="1857"/>
      <c r="H20" s="1204" t="s">
        <v>1389</v>
      </c>
      <c r="I20" s="164" t="s">
        <v>1440</v>
      </c>
      <c r="J20" s="25">
        <f ca="1">ROUND(M20*M21/10000,2)</f>
        <v>0.05</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163.57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0.7</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0</v>
      </c>
      <c r="K24" s="1345" t="s">
        <v>1458</v>
      </c>
      <c r="L24" s="1343" t="s">
        <v>1454</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v>
      </c>
      <c r="K25" s="1348" t="s">
        <v>1463</v>
      </c>
      <c r="L25" s="1349"/>
      <c r="M25" s="1350"/>
    </row>
    <row r="26" spans="1:37">
      <c r="A26" s="1204" t="s">
        <v>1034</v>
      </c>
      <c r="B26" s="347" t="s">
        <v>1464</v>
      </c>
      <c r="C26" s="24">
        <f ca="1">ROUND((C19+C20)*F26,0)</f>
        <v>5</v>
      </c>
      <c r="D26" s="369" t="s">
        <v>1465</v>
      </c>
      <c r="E26" s="358" t="s">
        <v>1466</v>
      </c>
      <c r="F26" s="357">
        <f ca="1">INDIRECT("'数据-取费表'!q"&amp;$G$1)</f>
        <v>0.15</v>
      </c>
      <c r="G26" s="1854"/>
      <c r="H26" s="344" t="s">
        <v>1032</v>
      </c>
      <c r="I26" s="345" t="s">
        <v>1467</v>
      </c>
      <c r="J26" s="346">
        <f ca="1">IF(J5&lt;&gt;0,ROUND(J25*(1-((1+M28)/(1+M26))^M27)/(M26-M28),0),0)</f>
        <v>0</v>
      </c>
      <c r="K26" s="370" t="s">
        <v>1468</v>
      </c>
      <c r="L26" s="347" t="s">
        <v>1469</v>
      </c>
      <c r="M26" s="357">
        <f ca="1">INDIRECT("'数据-取费表'!I"&amp;$G$1)</f>
        <v>4.4999999999999998E-2</v>
      </c>
    </row>
    <row r="27" spans="1:37" ht="18" customHeight="1">
      <c r="A27" s="1204" t="s">
        <v>1036</v>
      </c>
      <c r="B27" s="347" t="s">
        <v>1470</v>
      </c>
      <c r="C27" s="24">
        <f ca="1">ROUND(F21*F26,4)</f>
        <v>3.0000000000000001E-3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47</v>
      </c>
      <c r="D29" s="1345"/>
      <c r="E29" s="1343"/>
      <c r="F29" s="1346"/>
      <c r="G29" s="1857"/>
      <c r="H29" s="380" t="s">
        <v>1033</v>
      </c>
      <c r="I29" s="381" t="s">
        <v>1478</v>
      </c>
      <c r="J29" s="382">
        <f ca="1">ROUND(J26/(1+F40)^F41,0)</f>
        <v>0</v>
      </c>
      <c r="K29" s="383" t="s">
        <v>1479</v>
      </c>
      <c r="L29" s="384"/>
      <c r="M29" s="385">
        <f ca="1">INDIRECT("'数据-取费表'!k"&amp;$G$1)</f>
        <v>140.1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1.3</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0.37</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0.84</v>
      </c>
      <c r="D33" s="1831" t="s">
        <v>3070</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0.05</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163.57</v>
      </c>
      <c r="G35" s="1854"/>
      <c r="H35" s="745"/>
      <c r="I35" s="1863"/>
      <c r="J35" s="1864"/>
      <c r="K35" s="1865"/>
      <c r="L35" s="1862"/>
      <c r="M35" s="1862"/>
    </row>
    <row r="36" spans="1:18" ht="18" customHeight="1">
      <c r="A36" s="1355" t="s">
        <v>1039</v>
      </c>
      <c r="B36" s="347" t="s">
        <v>1448</v>
      </c>
      <c r="C36" s="24">
        <f ca="1">ROUND(C29*F36,1)</f>
        <v>0.7</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0</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0.1</v>
      </c>
      <c r="D38" s="1345" t="s">
        <v>1458</v>
      </c>
      <c r="E38" s="1343" t="s">
        <v>1454</v>
      </c>
      <c r="F38" s="1339">
        <f ca="1">INDIRECT("'数据-取费表'!Am"&amp;$G$1)</f>
        <v>0.01</v>
      </c>
      <c r="G38" s="1854"/>
      <c r="H38" s="1862"/>
      <c r="I38" s="1863"/>
      <c r="J38" s="1864"/>
      <c r="K38" s="1868"/>
      <c r="L38" s="1862"/>
      <c r="M38" s="1862"/>
    </row>
    <row r="39" spans="1:18" ht="24.6" customHeight="1" thickTop="1">
      <c r="A39" s="1332" t="s">
        <v>1031</v>
      </c>
      <c r="B39" s="1347" t="s">
        <v>1482</v>
      </c>
      <c r="C39" s="355">
        <f ca="1">C5-C30</f>
        <v>5</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121</v>
      </c>
      <c r="D40" s="370" t="s">
        <v>1468</v>
      </c>
      <c r="E40" s="347" t="s">
        <v>1469</v>
      </c>
      <c r="F40" s="357">
        <f ca="1">INDIRECT("'数据-取费表'!I"&amp;$G$1)</f>
        <v>4.4999999999999998E-2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34.26</v>
      </c>
      <c r="G41" s="1854"/>
      <c r="H41" s="732"/>
      <c r="I41" s="1863"/>
      <c r="J41" s="1864"/>
      <c r="K41" s="751"/>
      <c r="L41" s="732"/>
      <c r="M41" s="732"/>
    </row>
    <row r="42" spans="1:18" ht="18" customHeight="1">
      <c r="A42" s="353"/>
      <c r="B42" s="354"/>
      <c r="C42" s="355"/>
      <c r="D42" s="373"/>
      <c r="E42" s="347" t="s">
        <v>1476</v>
      </c>
      <c r="F42" s="357">
        <f ca="1">INDIRECT("'数据-取费表'!v"&amp;$G$1)</f>
        <v>2.5000000000000001E-2</v>
      </c>
      <c r="G42" s="1854"/>
      <c r="H42" s="732"/>
      <c r="I42" s="1863"/>
      <c r="J42" s="1864"/>
      <c r="K42" s="751"/>
      <c r="L42" s="732"/>
      <c r="M42" s="732"/>
    </row>
    <row r="43" spans="1:18" ht="18" customHeight="1" thickBot="1">
      <c r="A43" s="380" t="s">
        <v>1033</v>
      </c>
      <c r="B43" s="381" t="s">
        <v>1486</v>
      </c>
      <c r="C43" s="382">
        <f ca="1">ROUND(C40*10000/F43,0)</f>
        <v>8637</v>
      </c>
      <c r="D43" s="383" t="s">
        <v>1487</v>
      </c>
      <c r="E43" s="384" t="s">
        <v>1488</v>
      </c>
      <c r="F43" s="385">
        <f ca="1">INDIRECT("'数据-取费表'!k"&amp;$G$1)</f>
        <v>140.1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-138</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3090</v>
      </c>
      <c r="K47" s="1885" t="s">
        <v>1526</v>
      </c>
      <c r="L47" s="1886">
        <f ca="1">INDIRECT("'数据-取费表'!d"&amp;$G$1)</f>
        <v>50</v>
      </c>
      <c r="M47" s="1841" t="str">
        <f>IF(ISNUMBER(FIND("住宅",C1)),"住宅","非住宅")</f>
        <v>非住宅</v>
      </c>
      <c r="O47" s="1887" t="s">
        <v>1040</v>
      </c>
      <c r="P47" s="1888" t="s">
        <v>1527</v>
      </c>
      <c r="Q47" s="1889">
        <f ca="1">C40+J29</f>
        <v>121</v>
      </c>
      <c r="R47" s="1889" t="s">
        <v>1528</v>
      </c>
    </row>
    <row r="48" spans="1:18" s="1845" customFormat="1" ht="28.5" thickBot="1">
      <c r="A48" s="1363" t="s">
        <v>1135</v>
      </c>
      <c r="B48" s="345" t="s">
        <v>1401</v>
      </c>
      <c r="C48" s="1820">
        <f ca="1">C49+C53+C55</f>
        <v>0</v>
      </c>
      <c r="D48" s="1365"/>
      <c r="E48" s="1366"/>
      <c r="F48" s="1184"/>
      <c r="G48" s="792"/>
      <c r="H48" s="793"/>
      <c r="I48" s="1890" t="s">
        <v>1529</v>
      </c>
      <c r="J48" s="1891" t="s">
        <v>3091</v>
      </c>
      <c r="K48" s="1892" t="s">
        <v>1530</v>
      </c>
      <c r="L48" s="1893">
        <f ca="1">INDIRECT("'数据-取费表'!f"&amp;$G$1)</f>
        <v>34.26</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3032</v>
      </c>
      <c r="E49" s="1833" t="s">
        <v>1490</v>
      </c>
      <c r="F49" s="1284"/>
      <c r="G49" s="1894"/>
      <c r="H49" s="793"/>
      <c r="I49" s="1890" t="s">
        <v>1533</v>
      </c>
      <c r="J49" s="1895"/>
      <c r="K49" s="1892" t="s">
        <v>1534</v>
      </c>
      <c r="L49" s="1896"/>
      <c r="O49" s="1897" t="s">
        <v>1042</v>
      </c>
      <c r="P49" s="1888" t="s">
        <v>1535</v>
      </c>
      <c r="Q49" s="1889">
        <f ca="1">C29</f>
        <v>47</v>
      </c>
      <c r="R49" s="1889" t="s">
        <v>1528</v>
      </c>
    </row>
    <row r="50" spans="1:18" s="1845" customFormat="1" ht="13.5" thickBot="1">
      <c r="A50" s="1198"/>
      <c r="B50" s="1201"/>
      <c r="C50" s="1371"/>
      <c r="D50" s="1175"/>
      <c r="E50" s="1280" t="s">
        <v>1406</v>
      </c>
      <c r="F50" s="1281">
        <f ca="1">F7</f>
        <v>140.1</v>
      </c>
      <c r="H50" s="793"/>
      <c r="I50" s="1890" t="s">
        <v>1536</v>
      </c>
      <c r="J50" s="1898">
        <f>SUMPRODUCT((I63:I65=J47)*(J62:L62=J48)*(J63:L65))</f>
        <v>50</v>
      </c>
      <c r="K50" s="1892" t="s">
        <v>1537</v>
      </c>
      <c r="L50" s="1896">
        <v>2481</v>
      </c>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59</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v>0.05</v>
      </c>
      <c r="O52" s="1897" t="s">
        <v>1045</v>
      </c>
      <c r="P52" s="1888" t="s">
        <v>1544</v>
      </c>
      <c r="Q52" s="1889">
        <f ca="1">J53</f>
        <v>34.26</v>
      </c>
      <c r="R52" s="1889" t="s">
        <v>1545</v>
      </c>
    </row>
    <row r="53" spans="1:18" s="1845" customFormat="1" ht="24.75" thickBot="1">
      <c r="A53" s="1408" t="s">
        <v>1137</v>
      </c>
      <c r="B53" s="1834" t="s">
        <v>1409</v>
      </c>
      <c r="C53" s="361">
        <f ca="1">ROUND(IF(F53="押一",C49/12*F11,IF(F53="押二",C49/12*2*F11,IF(F53="押三",C49/12*3*F11,C54*F11))),0)</f>
        <v>0</v>
      </c>
      <c r="D53" s="1827" t="s">
        <v>3039</v>
      </c>
      <c r="E53" s="358" t="s">
        <v>1410</v>
      </c>
      <c r="F53" s="1369"/>
      <c r="I53" s="1908" t="s">
        <v>1546</v>
      </c>
      <c r="J53" s="1909">
        <f ca="1">IF(M47="住宅",J51,IF(D1="——",MIN(J51,L48),IF(D1="在建（套用方法）",MIN(J51,L48-'数据-取费表'!B24),IF(D1="土地（套用方法）",MIN(J51,L48-'数据-取费表'!B20)))))</f>
        <v>34.26</v>
      </c>
      <c r="K53" s="3207" t="s">
        <v>1547</v>
      </c>
      <c r="L53" s="3208"/>
      <c r="O53" s="1887" t="s">
        <v>1046</v>
      </c>
      <c r="P53" s="1888" t="s">
        <v>1548</v>
      </c>
      <c r="Q53" s="1889">
        <f ca="1">Q47+Q48</f>
        <v>121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19</v>
      </c>
      <c r="D56" s="1917"/>
      <c r="E56" s="1918"/>
      <c r="F56" s="1910"/>
      <c r="I56" s="1919" t="s">
        <v>1553</v>
      </c>
      <c r="J56" s="1920" t="s">
        <v>3058</v>
      </c>
      <c r="K56" s="1890" t="s">
        <v>1554</v>
      </c>
      <c r="L56" s="1893" t="str">
        <f ca="1">IF(L48&lt;J51,"——",L48-J53)</f>
        <v>——</v>
      </c>
      <c r="O56" s="1887" t="s">
        <v>1040</v>
      </c>
      <c r="P56" s="1888" t="s">
        <v>1527</v>
      </c>
      <c r="Q56" s="1889">
        <f ca="1">C40+J29</f>
        <v>121</v>
      </c>
      <c r="R56" s="1889" t="s">
        <v>1528</v>
      </c>
    </row>
    <row r="57" spans="1:18" s="1845" customFormat="1" ht="24.75" thickBot="1">
      <c r="A57" s="1921"/>
      <c r="B57" s="1172" t="s">
        <v>1477</v>
      </c>
      <c r="C57" s="282">
        <f ca="1">C29</f>
        <v>47</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1</v>
      </c>
      <c r="D58" s="1182" t="s">
        <v>1424</v>
      </c>
      <c r="E58" s="1183"/>
      <c r="F58" s="1184"/>
      <c r="I58" s="1925" t="s">
        <v>1559</v>
      </c>
      <c r="J58" s="1927" t="e">
        <f ca="1">IF(J55&lt;0.4,0.4,J55)</f>
        <v>#VALUE!</v>
      </c>
      <c r="K58" s="1903" t="s">
        <v>1560</v>
      </c>
      <c r="L58" s="1893">
        <f ca="1">ROUND(POWER(1+L52,L47-L48)*(POWER(1+L52,L48)-1)/(POWER(1+L52,L47)-1),4)</f>
        <v>0.88959999999999995</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0.1</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v>
      </c>
      <c r="M59" s="1841">
        <f ca="1">ROUND(POWER(1+L52,L47-(J51+'数据-取费表'!B24))*(POWER(1+L52,(J51+'数据-取费表'!B24))-1)/(POWER(1+L52,L47)-1),4)</f>
        <v>1</v>
      </c>
      <c r="N59" s="1841">
        <f ca="1">ROUND(POWER(1+L52,L47-(J51+'数据-取费表'!B20))*(POWER(1+L52,(J51+'数据-取费表'!B20))-1)/(POWER(1+L52,L47)-1),4)</f>
        <v>1.0088999999999999</v>
      </c>
      <c r="O59" s="1897" t="s">
        <v>1043</v>
      </c>
      <c r="P59" s="1888" t="s">
        <v>1563</v>
      </c>
      <c r="Q59" s="1900">
        <f>L52</f>
        <v>0.05</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f ca="1">L58</f>
        <v>0.88959999999999995</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0</v>
      </c>
      <c r="D61" s="1831" t="s">
        <v>3070</v>
      </c>
      <c r="E61" s="1172" t="s">
        <v>1493</v>
      </c>
      <c r="F61" s="367">
        <f t="shared" si="0"/>
        <v>0.12</v>
      </c>
      <c r="I61" s="1931"/>
      <c r="J61" s="1931"/>
      <c r="K61" s="1931"/>
      <c r="L61" s="1931"/>
      <c r="O61" s="1897" t="s">
        <v>1045</v>
      </c>
      <c r="P61" s="1888" t="str">
        <f>K59</f>
        <v>建筑物剩余耐用年限下的土地年期修正系数Kn</v>
      </c>
      <c r="Q61" s="1889">
        <f ca="1">L59</f>
        <v>1</v>
      </c>
      <c r="R61" s="1889" t="s">
        <v>1568</v>
      </c>
    </row>
    <row r="62" spans="1:18" s="1845" customFormat="1" ht="13.5" thickBot="1">
      <c r="A62" s="1204" t="s">
        <v>1494</v>
      </c>
      <c r="B62" s="1171" t="s">
        <v>1495</v>
      </c>
      <c r="C62" s="25">
        <f ca="1">IF(项目基本情况!B11="自然人","——",ROUND(F62*F63/10000,2))</f>
        <v>0.05</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121</v>
      </c>
      <c r="R62" s="1889" t="s">
        <v>1047</v>
      </c>
    </row>
    <row r="63" spans="1:18" s="1845" customFormat="1" ht="13.5" thickBot="1">
      <c r="A63" s="372"/>
      <c r="B63" s="1178"/>
      <c r="C63" s="29"/>
      <c r="D63" s="1188"/>
      <c r="E63" s="1172" t="s">
        <v>1498</v>
      </c>
      <c r="F63" s="348">
        <f t="shared" ca="1" si="0"/>
        <v>163.57</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0.7</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v>
      </c>
      <c r="D65" s="1186" t="s">
        <v>1453</v>
      </c>
      <c r="E65" s="1172" t="s">
        <v>1454</v>
      </c>
      <c r="F65" s="376">
        <f t="shared" ca="1" si="0"/>
        <v>1.5E-3</v>
      </c>
      <c r="I65" s="1932" t="s">
        <v>1578</v>
      </c>
      <c r="J65" s="1933">
        <v>40</v>
      </c>
      <c r="K65" s="1933">
        <v>30</v>
      </c>
      <c r="L65" s="1933">
        <v>50</v>
      </c>
      <c r="M65" s="1935">
        <v>0.02</v>
      </c>
      <c r="O65" s="1887" t="s">
        <v>1040</v>
      </c>
      <c r="P65" s="1888" t="s">
        <v>1579</v>
      </c>
      <c r="Q65" s="1889">
        <f ca="1">C40+J29</f>
        <v>121</v>
      </c>
      <c r="R65" s="1889" t="s">
        <v>1528</v>
      </c>
    </row>
    <row r="66" spans="1:18" s="1845" customFormat="1" ht="16.5" thickBot="1">
      <c r="A66" s="1204" t="s">
        <v>1503</v>
      </c>
      <c r="B66" s="1172" t="s">
        <v>1438</v>
      </c>
      <c r="C66" s="24">
        <f ca="1">ROUND(C48*F66,1)</f>
        <v>0</v>
      </c>
      <c r="D66" s="1186" t="s">
        <v>1504</v>
      </c>
      <c r="E66" s="1172" t="s">
        <v>1421</v>
      </c>
      <c r="F66" s="357">
        <f t="shared" ca="1" si="0"/>
        <v>0.01</v>
      </c>
      <c r="O66" s="1887" t="s">
        <v>1041</v>
      </c>
      <c r="P66" s="1888" t="s">
        <v>1557</v>
      </c>
      <c r="Q66" s="1889">
        <f ca="1">L60</f>
        <v>0</v>
      </c>
      <c r="R66" s="1889" t="s">
        <v>1580</v>
      </c>
    </row>
    <row r="67" spans="1:18" s="1845" customFormat="1" ht="16.5" thickBot="1">
      <c r="A67" s="1179" t="s">
        <v>1031</v>
      </c>
      <c r="B67" s="1189" t="s">
        <v>1462</v>
      </c>
      <c r="C67" s="361">
        <f ca="1">C48-C58</f>
        <v>-1</v>
      </c>
      <c r="D67" s="1185" t="s">
        <v>1463</v>
      </c>
      <c r="E67" s="1190"/>
      <c r="F67" s="1191"/>
      <c r="O67" s="1897" t="s">
        <v>1042</v>
      </c>
      <c r="P67" s="1888" t="s">
        <v>1561</v>
      </c>
      <c r="Q67" s="1936">
        <f ca="1">L51</f>
        <v>59</v>
      </c>
      <c r="R67" s="1889" t="s">
        <v>1581</v>
      </c>
    </row>
    <row r="68" spans="1:18" s="1845" customFormat="1" ht="16.5" thickBot="1">
      <c r="A68" s="1169" t="s">
        <v>1032</v>
      </c>
      <c r="B68" s="1170" t="s">
        <v>1484</v>
      </c>
      <c r="C68" s="346">
        <f ca="1">ROUND(C67*(1-((1+F70)/(1+F68))^F69)/(F68-F70),0)</f>
        <v>-17</v>
      </c>
      <c r="D68" s="1187" t="s">
        <v>1468</v>
      </c>
      <c r="E68" s="1172" t="s">
        <v>1469</v>
      </c>
      <c r="F68" s="357">
        <f ca="1">F40</f>
        <v>4.4999999999999998E-2</v>
      </c>
      <c r="O68" s="1897" t="s">
        <v>1043</v>
      </c>
      <c r="P68" s="1937" t="s">
        <v>1582</v>
      </c>
      <c r="Q68" s="1889">
        <f ca="1">ROUND(Q69-Q70*Q71,0)</f>
        <v>3</v>
      </c>
      <c r="R68" s="1889" t="s">
        <v>1051</v>
      </c>
    </row>
    <row r="69" spans="1:18" s="1845" customFormat="1" ht="13.5" thickBot="1">
      <c r="A69" s="1173"/>
      <c r="B69" s="1174"/>
      <c r="C69" s="351"/>
      <c r="D69" s="1192" t="s">
        <v>1472</v>
      </c>
      <c r="E69" s="1172" t="s">
        <v>1473</v>
      </c>
      <c r="F69" s="379">
        <f ca="1">F41</f>
        <v>34.26</v>
      </c>
      <c r="O69" s="1897" t="s">
        <v>1048</v>
      </c>
      <c r="P69" s="1937" t="s">
        <v>1583</v>
      </c>
      <c r="Q69" s="1889">
        <f ca="1">C39</f>
        <v>5</v>
      </c>
      <c r="R69" s="1889" t="s">
        <v>1528</v>
      </c>
    </row>
    <row r="70" spans="1:18" s="1845" customFormat="1" ht="13.5" thickBot="1">
      <c r="A70" s="1176"/>
      <c r="B70" s="1177"/>
      <c r="C70" s="355"/>
      <c r="D70" s="1188"/>
      <c r="E70" s="1172" t="s">
        <v>1476</v>
      </c>
      <c r="F70" s="1278"/>
      <c r="O70" s="1897" t="s">
        <v>1049</v>
      </c>
      <c r="P70" s="1937" t="s">
        <v>1584</v>
      </c>
      <c r="Q70" s="1889">
        <f ca="1">C13</f>
        <v>19</v>
      </c>
      <c r="R70" s="1889" t="s">
        <v>1528</v>
      </c>
    </row>
    <row r="71" spans="1:18" s="1845" customFormat="1" ht="13.5" thickBot="1">
      <c r="A71" s="1193" t="s">
        <v>1033</v>
      </c>
      <c r="B71" s="1194" t="s">
        <v>1486</v>
      </c>
      <c r="C71" s="382">
        <f ca="1">ROUND(C68*10000/F71,0)</f>
        <v>-1213</v>
      </c>
      <c r="D71" s="1195" t="s">
        <v>1487</v>
      </c>
      <c r="E71" s="1196" t="s">
        <v>1488</v>
      </c>
      <c r="F71" s="385">
        <f ca="1">F43</f>
        <v>140.1</v>
      </c>
      <c r="O71" s="1897" t="s">
        <v>1050</v>
      </c>
      <c r="P71" s="1937" t="s">
        <v>1585</v>
      </c>
      <c r="Q71" s="1900">
        <f ca="1">C76</f>
        <v>8.5000000000000006E-2</v>
      </c>
      <c r="R71" s="1889"/>
    </row>
    <row r="72" spans="1:18" s="1845" customFormat="1" ht="13.5" thickBot="1">
      <c r="B72" s="796"/>
      <c r="C72" s="796"/>
      <c r="O72" s="1897" t="s">
        <v>1044</v>
      </c>
      <c r="P72" s="1888" t="s">
        <v>1563</v>
      </c>
      <c r="Q72" s="1900">
        <f>L52</f>
        <v>0.05</v>
      </c>
      <c r="R72" s="1889"/>
    </row>
    <row r="73" spans="1:18" ht="16.5" thickBot="1">
      <c r="A73" s="1845"/>
      <c r="B73" s="796"/>
      <c r="C73" s="796"/>
      <c r="D73" s="1845"/>
      <c r="E73" s="1845"/>
      <c r="F73" s="1845"/>
      <c r="O73" s="1897" t="s">
        <v>1045</v>
      </c>
      <c r="P73" s="1888" t="s">
        <v>1566</v>
      </c>
      <c r="Q73" s="1889">
        <f ca="1">L58</f>
        <v>0.88959999999999995</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1</v>
      </c>
      <c r="R74" s="1889" t="s">
        <v>1568</v>
      </c>
    </row>
    <row r="75" spans="1:18" ht="13.5" thickBot="1">
      <c r="A75" s="1845"/>
      <c r="B75" s="386" t="s">
        <v>1505</v>
      </c>
      <c r="C75" s="387">
        <f ca="1">ROUND(C13*C76,0)</f>
        <v>2</v>
      </c>
      <c r="D75" s="1845"/>
      <c r="E75" s="1845"/>
      <c r="F75" s="1845"/>
      <c r="K75" s="1871"/>
      <c r="L75" s="1845"/>
      <c r="O75" s="1887" t="s">
        <v>1046</v>
      </c>
      <c r="P75" s="1888" t="s">
        <v>1548</v>
      </c>
      <c r="Q75" s="1889">
        <f ca="1">Q65+Q66</f>
        <v>121</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v>
      </c>
    </row>
    <row r="80" spans="1:18">
      <c r="B80" s="386" t="s">
        <v>1510</v>
      </c>
      <c r="C80" s="318">
        <f ca="1">ROUND(C75/C39,3)</f>
        <v>0.4</v>
      </c>
    </row>
    <row r="81" spans="2:3">
      <c r="B81" s="314" t="s">
        <v>1511</v>
      </c>
      <c r="C81" s="282"/>
    </row>
    <row r="82" spans="2:3">
      <c r="B82" s="317" t="s">
        <v>1512</v>
      </c>
      <c r="C82" s="319">
        <f ca="1">1-C83</f>
        <v>0.84299999999999997</v>
      </c>
    </row>
    <row r="83" spans="2:3">
      <c r="B83" s="317" t="s">
        <v>1513</v>
      </c>
      <c r="C83" s="318">
        <f ca="1">ROUND(C13/C40,3)</f>
        <v>0.157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K19" sqref="K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3060</v>
      </c>
      <c r="D1" s="1823" t="s">
        <v>70</v>
      </c>
      <c r="E1" s="1824" t="s">
        <v>1387</v>
      </c>
      <c r="F1" s="1286">
        <f ca="1">J53</f>
        <v>34.26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f ca="1">ROUND(D2/10000,0)</f>
        <v>110</v>
      </c>
      <c r="C2" s="1848" t="s">
        <v>1590</v>
      </c>
      <c r="D2" s="1941">
        <f ca="1">C40+J29+L46</f>
        <v>1102031</v>
      </c>
      <c r="E2" s="1849" t="s">
        <v>1591</v>
      </c>
      <c r="F2" s="1850"/>
      <c r="G2" s="1851"/>
      <c r="H2" s="1843"/>
      <c r="I2" s="1843"/>
      <c r="J2" s="1843"/>
      <c r="K2" s="1844"/>
      <c r="L2" s="1843"/>
      <c r="M2" s="1843"/>
    </row>
    <row r="3" spans="1:37" ht="18" customHeight="1" thickBot="1">
      <c r="A3" s="1852" t="s">
        <v>1592</v>
      </c>
      <c r="B3" s="1853">
        <f ca="1">IF(ISERROR(D2/F43),0,ROUND(D2/F43,0))</f>
        <v>7866</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65280</v>
      </c>
      <c r="D5" s="1825" t="s">
        <v>1600</v>
      </c>
      <c r="E5" s="1296"/>
      <c r="F5" s="1297"/>
      <c r="G5" s="1854"/>
      <c r="H5" s="344">
        <v>1</v>
      </c>
      <c r="I5" s="345" t="s">
        <v>1599</v>
      </c>
      <c r="J5" s="1295">
        <f ca="1">J6+J10+J12</f>
        <v>0</v>
      </c>
      <c r="K5" s="1825" t="s">
        <v>1600</v>
      </c>
      <c r="L5" s="1296"/>
      <c r="M5" s="1297"/>
    </row>
    <row r="6" spans="1:37" ht="18" customHeight="1">
      <c r="A6" s="1294" t="s">
        <v>1035</v>
      </c>
      <c r="B6" s="3204" t="s">
        <v>1403</v>
      </c>
      <c r="C6" s="1299">
        <f ca="1">ROUND(F6*F8*F7*(1-F9),0)</f>
        <v>65199</v>
      </c>
      <c r="D6" s="164" t="s">
        <v>3028</v>
      </c>
      <c r="E6" s="347" t="s">
        <v>1405</v>
      </c>
      <c r="F6" s="348">
        <f ca="1">INDIRECT("'数据-取费表'!u"&amp;$G$1)</f>
        <v>1.5</v>
      </c>
      <c r="G6" s="1854"/>
      <c r="H6" s="1294" t="s">
        <v>1035</v>
      </c>
      <c r="I6" s="3204" t="s">
        <v>1403</v>
      </c>
      <c r="J6" s="346">
        <f ca="1">ROUND(M6*M8*M7*(1-M9),0)</f>
        <v>0</v>
      </c>
      <c r="K6" s="1837" t="s">
        <v>3029</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140.1</v>
      </c>
      <c r="G7" s="1854"/>
      <c r="H7" s="349"/>
      <c r="I7" s="3205"/>
      <c r="J7" s="351"/>
      <c r="K7" s="352"/>
      <c r="L7" s="347" t="s">
        <v>1406</v>
      </c>
      <c r="M7" s="348">
        <f ca="1">F7</f>
        <v>140.1</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0.15</v>
      </c>
      <c r="G9" s="1854"/>
      <c r="H9" s="349"/>
      <c r="I9" s="3206"/>
      <c r="J9" s="351"/>
      <c r="K9" s="352"/>
      <c r="L9" s="358" t="s">
        <v>1408</v>
      </c>
      <c r="M9" s="359">
        <f ca="1">INDIRECT("'数据-取费表'!ab"&amp;$G$1)</f>
        <v>0</v>
      </c>
    </row>
    <row r="10" spans="1:37" ht="18" customHeight="1">
      <c r="A10" s="1294" t="s">
        <v>1039</v>
      </c>
      <c r="B10" s="1826" t="s">
        <v>1409</v>
      </c>
      <c r="C10" s="361">
        <f ca="1">ROUND(IF(F10="押一",C6/12*F11,IF(F10="押二",C6/12*2*F11,IF(F10="押三",C6/12*3*F11,C11*F11))),0)</f>
        <v>81</v>
      </c>
      <c r="D10" s="1827" t="s">
        <v>3039</v>
      </c>
      <c r="E10" s="358" t="s">
        <v>1410</v>
      </c>
      <c r="F10" s="1369" t="s">
        <v>3069</v>
      </c>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187204</v>
      </c>
      <c r="D13" s="1334" t="s">
        <v>1414</v>
      </c>
      <c r="E13" s="1334" t="s">
        <v>1415</v>
      </c>
      <c r="F13" s="1335">
        <f ca="1">INDIRECT("'数据-取费表'!y"&amp;$G$1)</f>
        <v>0.4</v>
      </c>
      <c r="G13" s="1854"/>
      <c r="H13" s="1332">
        <v>2</v>
      </c>
      <c r="I13" s="1333" t="s">
        <v>1413</v>
      </c>
      <c r="J13" s="1293">
        <f ca="1">ROUND(J14*J15,0)</f>
        <v>187204</v>
      </c>
      <c r="K13" s="1340" t="s">
        <v>1414</v>
      </c>
      <c r="L13" s="1855"/>
      <c r="M13" s="1856"/>
    </row>
    <row r="14" spans="1:37" ht="18" customHeight="1">
      <c r="A14" s="1204" t="s">
        <v>1034</v>
      </c>
      <c r="B14" s="347" t="s">
        <v>1416</v>
      </c>
      <c r="C14" s="363">
        <f ca="1">ROUND(INDIRECT("'数据-取费表'!l"&amp;$G$1)*F43+'数据-取费表'!L14*INDIRECT("'数据-取费表'!S"&amp;$G$1),0)</f>
        <v>308220</v>
      </c>
      <c r="D14" s="1803" t="s">
        <v>1417</v>
      </c>
      <c r="E14" s="1797"/>
      <c r="F14" s="364"/>
      <c r="G14" s="1854"/>
      <c r="H14" s="1204" t="s">
        <v>1035</v>
      </c>
      <c r="I14" s="347" t="s">
        <v>1418</v>
      </c>
      <c r="J14" s="24">
        <f ca="1">C29</f>
        <v>468011</v>
      </c>
      <c r="K14" s="15"/>
      <c r="L14" s="982"/>
      <c r="M14" s="983"/>
    </row>
    <row r="15" spans="1:37" s="1861" customFormat="1" ht="18" customHeight="1" thickBot="1">
      <c r="A15" s="1204" t="s">
        <v>1036</v>
      </c>
      <c r="B15" s="347" t="s">
        <v>1419</v>
      </c>
      <c r="C15" s="24">
        <f ca="1">ROUND(C14*F15,0)</f>
        <v>9247</v>
      </c>
      <c r="D15" s="365" t="s">
        <v>1420</v>
      </c>
      <c r="E15" s="365" t="s">
        <v>1421</v>
      </c>
      <c r="F15" s="366">
        <f>'数据-取费表'!B33</f>
        <v>0.03</v>
      </c>
      <c r="G15" s="1857"/>
      <c r="H15" s="1342" t="s">
        <v>1039</v>
      </c>
      <c r="I15" s="1343" t="s">
        <v>1415</v>
      </c>
      <c r="J15" s="1352">
        <f ca="1">INDIRECT("'数据-取费表'!ad"&amp;$G$1)</f>
        <v>0.4</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11723</v>
      </c>
      <c r="K16" s="1340" t="s">
        <v>1424</v>
      </c>
      <c r="L16" s="1341"/>
      <c r="M16" s="1297"/>
    </row>
    <row r="17" spans="1:37" s="1861" customFormat="1" ht="18" customHeight="1">
      <c r="A17" s="1204" t="s">
        <v>1390</v>
      </c>
      <c r="B17" s="347" t="s">
        <v>1425</v>
      </c>
      <c r="C17" s="24">
        <f ca="1">ROUND(F17*(F43+INDIRECT("'数据-取费表'!S"&amp;$G$1)),0)</f>
        <v>28020</v>
      </c>
      <c r="D17" s="347" t="s">
        <v>1426</v>
      </c>
      <c r="E17" s="347" t="s">
        <v>1427</v>
      </c>
      <c r="F17" s="26">
        <f>'数据-取费表'!B35</f>
        <v>200</v>
      </c>
      <c r="G17" s="1857"/>
      <c r="H17" s="1204" t="s">
        <v>1035</v>
      </c>
      <c r="I17" s="347" t="s">
        <v>1428</v>
      </c>
      <c r="J17" s="24">
        <f ca="1">ROUND(IF(项目基本情况!B11="自然人",J5*M17,J18+J19+J20),0)</f>
        <v>4422</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4623</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350110</v>
      </c>
      <c r="D19" s="140" t="s">
        <v>1435</v>
      </c>
      <c r="E19" s="1821"/>
      <c r="F19" s="26"/>
      <c r="G19" s="1854"/>
      <c r="H19" s="1204" t="s">
        <v>1036</v>
      </c>
      <c r="I19" s="347" t="s">
        <v>1436</v>
      </c>
      <c r="J19" s="24">
        <f ca="1">IF(K19="按租金收入计税",ROUND(J5*M19,0),ROUND(C29*M19*0.7,0))</f>
        <v>3931</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10503</v>
      </c>
      <c r="D20" s="369" t="s">
        <v>1439</v>
      </c>
      <c r="E20" s="347" t="s">
        <v>1421</v>
      </c>
      <c r="F20" s="367">
        <f>'数据-取费表'!B37</f>
        <v>0.03</v>
      </c>
      <c r="G20" s="1857"/>
      <c r="H20" s="1204" t="s">
        <v>1389</v>
      </c>
      <c r="I20" s="164" t="s">
        <v>1440</v>
      </c>
      <c r="J20" s="25">
        <f ca="1">ROUND(M20*M21,0)</f>
        <v>491</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163.57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7020</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17129</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281</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-11723</v>
      </c>
      <c r="K25" s="1348" t="s">
        <v>1463</v>
      </c>
      <c r="L25" s="1349"/>
      <c r="M25" s="1350"/>
    </row>
    <row r="26" spans="1:37" ht="18" customHeight="1">
      <c r="A26" s="1204" t="s">
        <v>1034</v>
      </c>
      <c r="B26" s="347" t="s">
        <v>1464</v>
      </c>
      <c r="C26" s="24">
        <f ca="1">ROUND((C19+C20)*F26,0)</f>
        <v>54092</v>
      </c>
      <c r="D26" s="369" t="s">
        <v>1465</v>
      </c>
      <c r="E26" s="358" t="s">
        <v>1466</v>
      </c>
      <c r="F26" s="357">
        <f ca="1">INDIRECT("'数据-取费表'!q"&amp;$G$1)</f>
        <v>0.15</v>
      </c>
      <c r="G26" s="1854"/>
      <c r="H26" s="344" t="s">
        <v>1032</v>
      </c>
      <c r="I26" s="345" t="s">
        <v>1467</v>
      </c>
      <c r="J26" s="346">
        <f ca="1">IF(J5&lt;&gt;0,ROUND(J25*(1-((1+M28)/(1+M26))^M27)/(M26-M28),0),0)</f>
        <v>0</v>
      </c>
      <c r="K26" s="370" t="s">
        <v>1468</v>
      </c>
      <c r="L26" s="347" t="s">
        <v>1469</v>
      </c>
      <c r="M26" s="357">
        <f ca="1">INDIRECT("'数据-取费表'!I"&amp;$G$1)</f>
        <v>4.4999999999999998E-2</v>
      </c>
    </row>
    <row r="27" spans="1:37" ht="18" customHeight="1">
      <c r="A27" s="1204" t="s">
        <v>1036</v>
      </c>
      <c r="B27" s="347" t="s">
        <v>1470</v>
      </c>
      <c r="C27" s="24">
        <f ca="1">ROUND(F21*F26,4)</f>
        <v>3.0000000000000001E-3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468011</v>
      </c>
      <c r="D29" s="1345"/>
      <c r="E29" s="1343"/>
      <c r="F29" s="1346"/>
      <c r="G29" s="1857"/>
      <c r="H29" s="380" t="s">
        <v>1033</v>
      </c>
      <c r="I29" s="381" t="s">
        <v>1478</v>
      </c>
      <c r="J29" s="382">
        <f ca="1">ROUND(J26/(1+F40)^F41,0)</f>
        <v>0</v>
      </c>
      <c r="K29" s="383" t="s">
        <v>1479</v>
      </c>
      <c r="L29" s="384"/>
      <c r="M29" s="385">
        <f ca="1">INDIRECT("'数据-取费表'!k"&amp;$G$1)</f>
        <v>140.1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19761</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11807</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3482</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7834</v>
      </c>
      <c r="D33" s="1831" t="s">
        <v>3070</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f>
        <v>491</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163.57</v>
      </c>
      <c r="G35" s="1854"/>
      <c r="H35" s="745"/>
      <c r="I35" s="1863"/>
      <c r="J35" s="1864"/>
      <c r="K35" s="1865"/>
      <c r="L35" s="1862"/>
      <c r="M35" s="1862"/>
    </row>
    <row r="36" spans="1:18" ht="18" customHeight="1">
      <c r="A36" s="1355" t="s">
        <v>1039</v>
      </c>
      <c r="B36" s="347" t="s">
        <v>1448</v>
      </c>
      <c r="C36" s="24">
        <f ca="1">ROUND(C29*F36,0)</f>
        <v>7020</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ROUND(C13*F37,0)</f>
        <v>281</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652.79999999999995</v>
      </c>
      <c r="D38" s="1345" t="s">
        <v>1458</v>
      </c>
      <c r="E38" s="1343" t="s">
        <v>1454</v>
      </c>
      <c r="F38" s="1339">
        <f ca="1">INDIRECT("'数据-取费表'!Am"&amp;$G$1)</f>
        <v>0.01</v>
      </c>
      <c r="G38" s="1854"/>
      <c r="H38" s="1862"/>
      <c r="I38" s="1863"/>
      <c r="J38" s="1864"/>
      <c r="K38" s="1868"/>
      <c r="L38" s="1862"/>
      <c r="M38" s="1862"/>
    </row>
    <row r="39" spans="1:18" ht="24.6" customHeight="1" thickTop="1">
      <c r="A39" s="1332" t="s">
        <v>1031</v>
      </c>
      <c r="B39" s="1347" t="s">
        <v>1482</v>
      </c>
      <c r="C39" s="355">
        <f ca="1">C5-C30</f>
        <v>45519</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1102031</v>
      </c>
      <c r="D40" s="370" t="s">
        <v>1468</v>
      </c>
      <c r="E40" s="347" t="s">
        <v>1469</v>
      </c>
      <c r="F40" s="357">
        <f ca="1">INDIRECT("'数据-取费表'!I"&amp;$G$1)</f>
        <v>4.4999999999999998E-2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34.26</v>
      </c>
      <c r="G41" s="1854"/>
      <c r="H41" s="732"/>
      <c r="I41" s="1863"/>
      <c r="J41" s="1864"/>
      <c r="K41" s="751"/>
      <c r="L41" s="732"/>
      <c r="M41" s="732"/>
    </row>
    <row r="42" spans="1:18" ht="18" customHeight="1">
      <c r="A42" s="353"/>
      <c r="B42" s="354"/>
      <c r="C42" s="355"/>
      <c r="D42" s="373"/>
      <c r="E42" s="347" t="s">
        <v>1476</v>
      </c>
      <c r="F42" s="357">
        <f ca="1">INDIRECT("'数据-取费表'!v"&amp;$G$1)</f>
        <v>2.5000000000000001E-2</v>
      </c>
      <c r="G42" s="1854"/>
      <c r="H42" s="732"/>
      <c r="I42" s="1863"/>
      <c r="J42" s="1864"/>
      <c r="K42" s="751"/>
      <c r="L42" s="732"/>
      <c r="M42" s="732"/>
    </row>
    <row r="43" spans="1:18" ht="18" customHeight="1" thickBot="1">
      <c r="A43" s="380" t="s">
        <v>1033</v>
      </c>
      <c r="B43" s="381" t="s">
        <v>1486</v>
      </c>
      <c r="C43" s="382">
        <f ca="1">ROUND(C40/F43,0)</f>
        <v>7866</v>
      </c>
      <c r="D43" s="383" t="s">
        <v>1487</v>
      </c>
      <c r="E43" s="384" t="s">
        <v>1488</v>
      </c>
      <c r="F43" s="385">
        <f ca="1">INDIRECT("'数据-取费表'!k"&amp;$G$1)</f>
        <v>140.1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-2242459</v>
      </c>
      <c r="D45" s="1943" t="s">
        <v>1603</v>
      </c>
      <c r="E45" s="1869"/>
      <c r="F45" s="1869"/>
      <c r="O45" s="1872" t="s">
        <v>1518</v>
      </c>
      <c r="P45" s="1842"/>
      <c r="Q45" s="1842"/>
      <c r="R45" s="1842"/>
    </row>
    <row r="46" spans="1:18" s="1845" customFormat="1" ht="13.5" thickBot="1">
      <c r="A46" s="1873" t="s">
        <v>1519</v>
      </c>
      <c r="C46" s="1874">
        <f ca="1">ROUND(C45/10000,0)</f>
        <v>-224</v>
      </c>
      <c r="D46" s="1875" t="str">
        <f>C2</f>
        <v>万元</v>
      </c>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t="s">
        <v>3090</v>
      </c>
      <c r="K47" s="1885" t="s">
        <v>1526</v>
      </c>
      <c r="L47" s="1886">
        <f ca="1">INDIRECT("'数据-取费表'!d"&amp;$G$1)</f>
        <v>50</v>
      </c>
      <c r="M47" s="1841" t="str">
        <f>IF(ISNUMBER(FIND("住宅",C1)),"住宅","非住宅")</f>
        <v>非住宅</v>
      </c>
      <c r="O47" s="1887" t="s">
        <v>1040</v>
      </c>
      <c r="P47" s="1888" t="s">
        <v>1527</v>
      </c>
      <c r="Q47" s="1889">
        <f ca="1">C40+J29</f>
        <v>1102031</v>
      </c>
      <c r="R47" s="1889" t="s">
        <v>1528</v>
      </c>
    </row>
    <row r="48" spans="1:18" s="1845" customFormat="1" ht="28.5" thickBot="1">
      <c r="A48" s="1363" t="s">
        <v>1135</v>
      </c>
      <c r="B48" s="345" t="s">
        <v>1401</v>
      </c>
      <c r="C48" s="1820">
        <f ca="1">C49+C53+C55</f>
        <v>0</v>
      </c>
      <c r="D48" s="1365"/>
      <c r="E48" s="1366"/>
      <c r="F48" s="1184"/>
      <c r="G48" s="792"/>
      <c r="H48" s="793"/>
      <c r="I48" s="1890" t="s">
        <v>1529</v>
      </c>
      <c r="J48" s="1891" t="s">
        <v>3091</v>
      </c>
      <c r="K48" s="1892" t="s">
        <v>1530</v>
      </c>
      <c r="L48" s="1893">
        <f ca="1">INDIRECT("'数据-取费表'!f"&amp;$G$1)</f>
        <v>34.26</v>
      </c>
      <c r="O48" s="1887" t="s">
        <v>1041</v>
      </c>
      <c r="P48" s="1888" t="s">
        <v>1531</v>
      </c>
      <c r="Q48" s="1889" t="str">
        <f ca="1">J60</f>
        <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468011</v>
      </c>
      <c r="R49" s="1889" t="s">
        <v>1528</v>
      </c>
    </row>
    <row r="50" spans="1:18" s="1845" customFormat="1" ht="13.5" thickBot="1">
      <c r="A50" s="1198"/>
      <c r="B50" s="1201"/>
      <c r="C50" s="1202"/>
      <c r="D50" s="1175"/>
      <c r="E50" s="1280" t="s">
        <v>1406</v>
      </c>
      <c r="F50" s="1281">
        <f ca="1">F7</f>
        <v>140.1</v>
      </c>
      <c r="H50" s="793"/>
      <c r="I50" s="1890" t="s">
        <v>1536</v>
      </c>
      <c r="J50" s="1898">
        <f>SUMPRODUCT((I63:I65=J47)*(J62:L62=J48)*(J63:L65))</f>
        <v>50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512295</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c r="O52" s="1897" t="s">
        <v>1045</v>
      </c>
      <c r="P52" s="1888" t="s">
        <v>1544</v>
      </c>
      <c r="Q52" s="1889">
        <f ca="1">J53</f>
        <v>34.26</v>
      </c>
      <c r="R52" s="1889" t="s">
        <v>1545</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1546</v>
      </c>
      <c r="J53" s="1909">
        <f ca="1">IF(M47="住宅",J51,IF(D1="——",MIN(J51,L48),IF(D1="在建（套用方法）",MIN(J51,L48-'数据-取费表'!B24),IF(D1="土地（套用方法）",MIN(J51,L48-'数据-取费表'!B20)))))</f>
        <v>34.26</v>
      </c>
      <c r="K53" s="3207" t="s">
        <v>1547</v>
      </c>
      <c r="L53" s="3208"/>
      <c r="O53" s="1887" t="s">
        <v>1046</v>
      </c>
      <c r="P53" s="1888" t="s">
        <v>1548</v>
      </c>
      <c r="Q53" s="1889">
        <f ca="1">Q47+Q48</f>
        <v>1102031</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187204</v>
      </c>
      <c r="D56" s="1917"/>
      <c r="E56" s="1918"/>
      <c r="F56" s="1910"/>
      <c r="I56" s="1919" t="s">
        <v>1553</v>
      </c>
      <c r="J56" s="1920" t="s">
        <v>3058</v>
      </c>
      <c r="K56" s="1890" t="s">
        <v>1554</v>
      </c>
      <c r="L56" s="1893" t="str">
        <f ca="1">IF(L48&lt;J51,"——",L48-J51)</f>
        <v>——</v>
      </c>
      <c r="O56" s="1887" t="s">
        <v>1040</v>
      </c>
      <c r="P56" s="1888" t="s">
        <v>1527</v>
      </c>
      <c r="Q56" s="1889">
        <f ca="1">C40+J29</f>
        <v>1102031</v>
      </c>
      <c r="R56" s="1889" t="s">
        <v>1528</v>
      </c>
    </row>
    <row r="57" spans="1:18" s="1845" customFormat="1" ht="24.75" thickBot="1">
      <c r="A57" s="1921"/>
      <c r="B57" s="1172" t="s">
        <v>1477</v>
      </c>
      <c r="C57" s="282">
        <f ca="1">C29</f>
        <v>468011</v>
      </c>
      <c r="D57" s="1922"/>
      <c r="E57" s="1923"/>
      <c r="F57" s="1924"/>
      <c r="I57" s="1925" t="s">
        <v>1555</v>
      </c>
      <c r="J57" s="1926" t="str">
        <f ca="1">IF(OR(M47="住宅",J51&lt;L48,J56="是"),"——",J51-L48)</f>
        <v>——</v>
      </c>
      <c r="K57" s="1890" t="s">
        <v>1604</v>
      </c>
      <c r="L57" s="1893" t="str">
        <f ca="1">IF(L48&lt;J51,"——",IF(L55="比较法",L49,IF(L55="基准地价",L50,L51)))</f>
        <v>——</v>
      </c>
      <c r="O57" s="1887" t="s">
        <v>1041</v>
      </c>
      <c r="P57" s="1888" t="s">
        <v>1605</v>
      </c>
      <c r="Q57" s="1889">
        <f ca="1">L60</f>
        <v>0</v>
      </c>
      <c r="R57" s="1889" t="s">
        <v>1606</v>
      </c>
    </row>
    <row r="58" spans="1:18" s="1845" customFormat="1" ht="24.75" thickBot="1">
      <c r="A58" s="360" t="s">
        <v>1030</v>
      </c>
      <c r="B58" s="1180" t="s">
        <v>1423</v>
      </c>
      <c r="C58" s="361">
        <f ca="1">ROUND(C59+C64+C65+C66,0)</f>
        <v>47105</v>
      </c>
      <c r="D58" s="1182" t="s">
        <v>1424</v>
      </c>
      <c r="E58" s="1183"/>
      <c r="F58" s="1184"/>
      <c r="I58" s="1925" t="s">
        <v>1559</v>
      </c>
      <c r="J58" s="1927" t="e">
        <f ca="1">IF(J55&lt;0.4,0.4,J55)</f>
        <v>#VALUE!</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39804</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39313</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IF(项目基本情况!B11="自然人","——",ROUND(F62*F63,0))</f>
        <v>491</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1102031</v>
      </c>
      <c r="R62" s="1889" t="s">
        <v>1047</v>
      </c>
    </row>
    <row r="63" spans="1:18" s="1845" customFormat="1" ht="13.5" thickBot="1">
      <c r="A63" s="372"/>
      <c r="B63" s="1178"/>
      <c r="C63" s="29"/>
      <c r="D63" s="1188"/>
      <c r="E63" s="1172" t="s">
        <v>1498</v>
      </c>
      <c r="F63" s="348">
        <f t="shared" ca="1" si="0"/>
        <v>163.57</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7020</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281</v>
      </c>
      <c r="D65" s="1186" t="s">
        <v>1453</v>
      </c>
      <c r="E65" s="1172" t="s">
        <v>1454</v>
      </c>
      <c r="F65" s="376">
        <f t="shared" ca="1" si="0"/>
        <v>1.5E-3</v>
      </c>
      <c r="I65" s="1932" t="s">
        <v>1578</v>
      </c>
      <c r="J65" s="1933">
        <v>40</v>
      </c>
      <c r="K65" s="1933">
        <v>30</v>
      </c>
      <c r="L65" s="1933">
        <v>50</v>
      </c>
      <c r="M65" s="1935">
        <v>0.02</v>
      </c>
      <c r="O65" s="1887" t="s">
        <v>1040</v>
      </c>
      <c r="P65" s="1888" t="s">
        <v>1579</v>
      </c>
      <c r="Q65" s="1889">
        <f ca="1">C40+J29</f>
        <v>1102031</v>
      </c>
      <c r="R65" s="1889" t="s">
        <v>1528</v>
      </c>
    </row>
    <row r="66" spans="1:18" s="1845" customFormat="1" ht="16.5" thickBot="1">
      <c r="A66" s="1204" t="s">
        <v>1503</v>
      </c>
      <c r="B66" s="1172" t="s">
        <v>1438</v>
      </c>
      <c r="C66" s="24">
        <f ca="1">ROUND(C48*F66,0)</f>
        <v>0</v>
      </c>
      <c r="D66" s="1186" t="s">
        <v>1504</v>
      </c>
      <c r="E66" s="1172" t="s">
        <v>1421</v>
      </c>
      <c r="F66" s="357">
        <f t="shared" ca="1" si="0"/>
        <v>0.01</v>
      </c>
      <c r="O66" s="1887" t="s">
        <v>1041</v>
      </c>
      <c r="P66" s="1888" t="s">
        <v>1557</v>
      </c>
      <c r="Q66" s="1889">
        <f ca="1">L60</f>
        <v>0</v>
      </c>
      <c r="R66" s="1889" t="s">
        <v>1580</v>
      </c>
    </row>
    <row r="67" spans="1:18" s="1845" customFormat="1" ht="16.5" thickBot="1">
      <c r="A67" s="1179" t="s">
        <v>1031</v>
      </c>
      <c r="B67" s="1189" t="s">
        <v>1462</v>
      </c>
      <c r="C67" s="361">
        <f ca="1">C48-C58</f>
        <v>-47105</v>
      </c>
      <c r="D67" s="1185" t="s">
        <v>1463</v>
      </c>
      <c r="E67" s="1190"/>
      <c r="F67" s="1191"/>
      <c r="O67" s="1897" t="s">
        <v>1042</v>
      </c>
      <c r="P67" s="1888" t="s">
        <v>1561</v>
      </c>
      <c r="Q67" s="1936">
        <f ca="1">L51</f>
        <v>512295</v>
      </c>
      <c r="R67" s="1889" t="s">
        <v>1581</v>
      </c>
    </row>
    <row r="68" spans="1:18" s="1845" customFormat="1" ht="16.5" thickBot="1">
      <c r="A68" s="1169" t="s">
        <v>1032</v>
      </c>
      <c r="B68" s="1170" t="s">
        <v>1484</v>
      </c>
      <c r="C68" s="346">
        <f ca="1">ROUND(C67*(1-((1+F70)/(1+F68))^F69)/(F68-F70),0)</f>
        <v>-1140428</v>
      </c>
      <c r="D68" s="1187" t="s">
        <v>1468</v>
      </c>
      <c r="E68" s="1172" t="s">
        <v>1469</v>
      </c>
      <c r="F68" s="357">
        <f ca="1">F40</f>
        <v>4.4999999999999998E-2</v>
      </c>
      <c r="O68" s="1897" t="s">
        <v>1043</v>
      </c>
      <c r="P68" s="1937" t="s">
        <v>1582</v>
      </c>
      <c r="Q68" s="1889">
        <f ca="1">ROUND(Q69-Q70*Q71,0)</f>
        <v>29607</v>
      </c>
      <c r="R68" s="1889" t="s">
        <v>1051</v>
      </c>
    </row>
    <row r="69" spans="1:18" s="1845" customFormat="1" ht="13.5" thickBot="1">
      <c r="A69" s="1173"/>
      <c r="B69" s="1174"/>
      <c r="C69" s="351"/>
      <c r="D69" s="1192" t="s">
        <v>1472</v>
      </c>
      <c r="E69" s="1172" t="s">
        <v>1473</v>
      </c>
      <c r="F69" s="379">
        <f ca="1">F41</f>
        <v>34.26</v>
      </c>
      <c r="O69" s="1897" t="s">
        <v>1048</v>
      </c>
      <c r="P69" s="1937" t="s">
        <v>1583</v>
      </c>
      <c r="Q69" s="1889">
        <f ca="1">C39</f>
        <v>45519</v>
      </c>
      <c r="R69" s="1889" t="s">
        <v>1528</v>
      </c>
    </row>
    <row r="70" spans="1:18" s="1845" customFormat="1" ht="13.5" thickBot="1">
      <c r="A70" s="1176"/>
      <c r="B70" s="1177"/>
      <c r="C70" s="355"/>
      <c r="D70" s="1188"/>
      <c r="E70" s="1172" t="s">
        <v>1476</v>
      </c>
      <c r="F70" s="1278">
        <f ca="1">F42</f>
        <v>2.5000000000000001E-2</v>
      </c>
      <c r="O70" s="1897" t="s">
        <v>1049</v>
      </c>
      <c r="P70" s="1937" t="s">
        <v>1584</v>
      </c>
      <c r="Q70" s="1889">
        <f ca="1">C13</f>
        <v>187204</v>
      </c>
      <c r="R70" s="1889" t="s">
        <v>1528</v>
      </c>
    </row>
    <row r="71" spans="1:18" s="1845" customFormat="1" ht="13.5" thickBot="1">
      <c r="A71" s="1193" t="s">
        <v>1033</v>
      </c>
      <c r="B71" s="1194" t="s">
        <v>1486</v>
      </c>
      <c r="C71" s="382">
        <f ca="1">ROUND(C68/F71,0)</f>
        <v>-8140</v>
      </c>
      <c r="D71" s="1195" t="s">
        <v>1487</v>
      </c>
      <c r="E71" s="1196" t="s">
        <v>1488</v>
      </c>
      <c r="F71" s="385">
        <f ca="1">F43</f>
        <v>140.1</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15912</v>
      </c>
      <c r="D75" s="1845"/>
      <c r="E75" s="1845"/>
      <c r="F75" s="1845"/>
      <c r="K75" s="1871"/>
      <c r="L75" s="1845"/>
      <c r="O75" s="1887" t="s">
        <v>1046</v>
      </c>
      <c r="P75" s="1888" t="s">
        <v>1548</v>
      </c>
      <c r="Q75" s="1889">
        <f ca="1">Q65+Q66</f>
        <v>1102031</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0.65</v>
      </c>
    </row>
    <row r="80" spans="1:18">
      <c r="B80" s="386" t="s">
        <v>1510</v>
      </c>
      <c r="C80" s="318">
        <f ca="1">ROUND(C75/C39,3)</f>
        <v>0.35</v>
      </c>
    </row>
    <row r="81" spans="2:3">
      <c r="B81" s="314" t="s">
        <v>1511</v>
      </c>
      <c r="C81" s="282"/>
    </row>
    <row r="82" spans="2:3">
      <c r="B82" s="317" t="s">
        <v>1512</v>
      </c>
      <c r="C82" s="319">
        <f ca="1">1-C83</f>
        <v>0.83</v>
      </c>
    </row>
    <row r="83" spans="2:3">
      <c r="B83" s="317" t="s">
        <v>1513</v>
      </c>
      <c r="C83" s="318">
        <f ca="1">ROUND(C13/C40,3)</f>
        <v>0.17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0" sqref="E1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7106</v>
      </c>
      <c r="C2" s="2571" t="s">
        <v>2518</v>
      </c>
      <c r="D2" s="2572" t="s">
        <v>2519</v>
      </c>
      <c r="E2" s="2573">
        <f>SUM(E6:E13)</f>
        <v>7293.7000000000007</v>
      </c>
    </row>
    <row r="3" spans="1:6" ht="15.75">
      <c r="A3" s="2569" t="s">
        <v>1395</v>
      </c>
      <c r="B3" s="2570">
        <f ca="1">ROUND(B2*10000/E2,0)</f>
        <v>9743</v>
      </c>
      <c r="C3" s="2571" t="s">
        <v>2526</v>
      </c>
      <c r="D3" s="2574"/>
      <c r="E3" s="2575"/>
    </row>
    <row r="4" spans="1:6" ht="15.75">
      <c r="A4" s="2576"/>
      <c r="B4" s="2574"/>
      <c r="C4" s="2574"/>
      <c r="D4" s="2574"/>
      <c r="E4" s="2575"/>
    </row>
    <row r="5" spans="1:6" ht="15">
      <c r="A5" s="2577" t="s">
        <v>2520</v>
      </c>
      <c r="B5" s="3209" t="s">
        <v>2521</v>
      </c>
      <c r="C5" s="3209"/>
      <c r="D5" s="2578"/>
      <c r="E5" s="2579" t="s">
        <v>2522</v>
      </c>
      <c r="F5" s="2580" t="s">
        <v>2523</v>
      </c>
    </row>
    <row r="6" spans="1:6">
      <c r="A6" s="2581" t="str">
        <f>'数据-取费表'!AN6</f>
        <v>收益法（出租）</v>
      </c>
      <c r="B6" s="2580">
        <f ca="1">IF(F6="是",'数据-取费表'!AO6,0)</f>
        <v>6996</v>
      </c>
      <c r="C6" s="2571" t="s">
        <v>2518</v>
      </c>
      <c r="D6" s="2574"/>
      <c r="E6" s="2582">
        <f>IF(OR(A6=0,F6="否"),0,'数据-取费表'!K6+'数据-取费表'!S6)</f>
        <v>7153.6</v>
      </c>
      <c r="F6" s="2583" t="s">
        <v>3058</v>
      </c>
    </row>
    <row r="7" spans="1:6">
      <c r="A7" s="2581" t="str">
        <f>'数据-取费表'!AN7</f>
        <v>收益法 (元)</v>
      </c>
      <c r="B7" s="2580">
        <f ca="1">IF(F7="是",'数据-取费表'!AO7,0)</f>
        <v>110</v>
      </c>
      <c r="C7" s="2571" t="s">
        <v>2518</v>
      </c>
      <c r="D7" s="2574"/>
      <c r="E7" s="2582">
        <f>IF(OR(A7=0,F7="否"),0,'数据-取费表'!K7+'数据-取费表'!S7)</f>
        <v>140.1</v>
      </c>
      <c r="F7" s="2583" t="s">
        <v>3058</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15" t="s">
        <v>1077</v>
      </c>
      <c r="B2" s="3216" t="s">
        <v>1078</v>
      </c>
      <c r="C2" s="3216"/>
      <c r="D2" s="1304" t="s">
        <v>1079</v>
      </c>
      <c r="E2" s="1304" t="s">
        <v>1080</v>
      </c>
      <c r="F2" s="1304" t="s">
        <v>1081</v>
      </c>
      <c r="G2" s="1304" t="s">
        <v>1082</v>
      </c>
      <c r="H2" s="1304" t="s">
        <v>1083</v>
      </c>
      <c r="I2" s="1305" t="s">
        <v>1084</v>
      </c>
    </row>
    <row r="3" spans="1:9">
      <c r="A3" s="3215"/>
      <c r="B3" s="3216" t="s">
        <v>1085</v>
      </c>
      <c r="C3" s="3216"/>
      <c r="D3" s="1306"/>
      <c r="E3" s="1304"/>
      <c r="F3" s="1307"/>
      <c r="G3" s="1307"/>
      <c r="H3" s="1308"/>
      <c r="I3" s="1309">
        <f>ROUND(D3*E3*F3*G3*H3/10000,0)</f>
        <v>0</v>
      </c>
    </row>
    <row r="4" spans="1:9">
      <c r="A4" s="3215"/>
      <c r="B4" s="3216" t="s">
        <v>1086</v>
      </c>
      <c r="C4" s="3216"/>
      <c r="D4" s="1306"/>
      <c r="E4" s="1304"/>
      <c r="F4" s="1307"/>
      <c r="G4" s="1307"/>
      <c r="H4" s="1308"/>
      <c r="I4" s="1309">
        <f t="shared" ref="I4:I9" si="0">ROUND(D4*E4*F4*G4*H4/10000,0)</f>
        <v>0</v>
      </c>
    </row>
    <row r="5" spans="1:9">
      <c r="A5" s="3215"/>
      <c r="B5" s="3216" t="s">
        <v>1087</v>
      </c>
      <c r="C5" s="3216"/>
      <c r="D5" s="1306"/>
      <c r="E5" s="1304"/>
      <c r="F5" s="1307"/>
      <c r="G5" s="1307"/>
      <c r="H5" s="1308"/>
      <c r="I5" s="1309">
        <f t="shared" si="0"/>
        <v>0</v>
      </c>
    </row>
    <row r="6" spans="1:9">
      <c r="A6" s="3215"/>
      <c r="B6" s="3216" t="s">
        <v>1088</v>
      </c>
      <c r="C6" s="3216"/>
      <c r="D6" s="1306"/>
      <c r="E6" s="1304"/>
      <c r="F6" s="1307"/>
      <c r="G6" s="1307"/>
      <c r="H6" s="1308"/>
      <c r="I6" s="1309">
        <f t="shared" si="0"/>
        <v>0</v>
      </c>
    </row>
    <row r="7" spans="1:9">
      <c r="A7" s="3215"/>
      <c r="B7" s="3216" t="s">
        <v>1089</v>
      </c>
      <c r="C7" s="3216"/>
      <c r="D7" s="1306"/>
      <c r="E7" s="1304"/>
      <c r="F7" s="1307"/>
      <c r="G7" s="1307"/>
      <c r="H7" s="1308"/>
      <c r="I7" s="1309">
        <f t="shared" si="0"/>
        <v>0</v>
      </c>
    </row>
    <row r="8" spans="1:9">
      <c r="A8" s="3215"/>
      <c r="B8" s="3216" t="s">
        <v>1090</v>
      </c>
      <c r="C8" s="3216"/>
      <c r="D8" s="1306"/>
      <c r="E8" s="1304"/>
      <c r="F8" s="1307"/>
      <c r="G8" s="1307"/>
      <c r="H8" s="1308"/>
      <c r="I8" s="1309">
        <f t="shared" si="0"/>
        <v>0</v>
      </c>
    </row>
    <row r="9" spans="1:9">
      <c r="A9" s="3215"/>
      <c r="B9" s="3216" t="s">
        <v>1091</v>
      </c>
      <c r="C9" s="3216"/>
      <c r="D9" s="1306"/>
      <c r="E9" s="1304"/>
      <c r="F9" s="1307"/>
      <c r="G9" s="1307"/>
      <c r="H9" s="1308"/>
      <c r="I9" s="1309">
        <f t="shared" si="0"/>
        <v>0</v>
      </c>
    </row>
    <row r="10" spans="1:9">
      <c r="A10" s="3215"/>
      <c r="B10" s="3217" t="s">
        <v>1092</v>
      </c>
      <c r="C10" s="3217"/>
      <c r="D10" s="1310"/>
      <c r="E10" s="1310" t="e">
        <f>ROUND(D1*10000/D10/H9,0)</f>
        <v>#DIV/0!</v>
      </c>
      <c r="F10" s="1311"/>
      <c r="G10" s="1311"/>
      <c r="H10" s="1312"/>
      <c r="I10" s="1313">
        <f>SUM(I3:I9)</f>
        <v>0</v>
      </c>
    </row>
    <row r="11" spans="1:9" ht="14.25">
      <c r="A11" s="3215" t="s">
        <v>1093</v>
      </c>
      <c r="B11" s="3216" t="s">
        <v>1094</v>
      </c>
      <c r="C11" s="3216"/>
      <c r="D11" s="1306" t="s">
        <v>1095</v>
      </c>
      <c r="E11" s="1306" t="s">
        <v>1096</v>
      </c>
      <c r="F11" s="1307" t="s">
        <v>1097</v>
      </c>
      <c r="G11" s="1307" t="s">
        <v>1083</v>
      </c>
      <c r="H11" s="1314" t="s">
        <v>1098</v>
      </c>
      <c r="I11" s="1305" t="s">
        <v>1084</v>
      </c>
    </row>
    <row r="12" spans="1:9">
      <c r="A12" s="3215"/>
      <c r="B12" s="3216" t="s">
        <v>1099</v>
      </c>
      <c r="C12" s="3216"/>
      <c r="D12" s="1306"/>
      <c r="E12" s="1306"/>
      <c r="F12" s="1307"/>
      <c r="G12" s="1308"/>
      <c r="H12" s="1315"/>
      <c r="I12" s="1305">
        <f>ROUND(D12*E12*F12*G12/10000,0)</f>
        <v>0</v>
      </c>
    </row>
    <row r="13" spans="1:9">
      <c r="A13" s="3215"/>
      <c r="B13" s="3216" t="s">
        <v>1100</v>
      </c>
      <c r="C13" s="3216"/>
      <c r="D13" s="1306"/>
      <c r="E13" s="1306"/>
      <c r="F13" s="1307"/>
      <c r="G13" s="1308"/>
      <c r="H13" s="1315"/>
      <c r="I13" s="1305">
        <f>ROUND(D13*E13*F13*G13/10000,0)</f>
        <v>0</v>
      </c>
    </row>
    <row r="14" spans="1:9">
      <c r="A14" s="3215"/>
      <c r="B14" s="3216" t="s">
        <v>1101</v>
      </c>
      <c r="C14" s="3216"/>
      <c r="D14" s="1306"/>
      <c r="E14" s="1306"/>
      <c r="F14" s="1307"/>
      <c r="G14" s="1308"/>
      <c r="H14" s="1315"/>
      <c r="I14" s="1305">
        <f>ROUND(D14*E14*F14*G14/10000,0)</f>
        <v>0</v>
      </c>
    </row>
    <row r="15" spans="1:9">
      <c r="A15" s="3215"/>
      <c r="B15" s="3217" t="s">
        <v>1092</v>
      </c>
      <c r="C15" s="3217"/>
      <c r="D15" s="1310"/>
      <c r="E15" s="1310">
        <f>SUM(E12:E14)</f>
        <v>0</v>
      </c>
      <c r="F15" s="1311"/>
      <c r="G15" s="1308"/>
      <c r="H15" s="1315"/>
      <c r="I15" s="1316">
        <f>SUM(I12:I14)</f>
        <v>0</v>
      </c>
    </row>
    <row r="16" spans="1:9" ht="24">
      <c r="A16" s="3215" t="s">
        <v>1102</v>
      </c>
      <c r="B16" s="3216" t="s">
        <v>1103</v>
      </c>
      <c r="C16" s="3216"/>
      <c r="D16" s="1306" t="s">
        <v>1079</v>
      </c>
      <c r="E16" s="1317" t="s">
        <v>1104</v>
      </c>
      <c r="F16" s="1307" t="s">
        <v>1105</v>
      </c>
      <c r="G16" s="1308" t="s">
        <v>1083</v>
      </c>
      <c r="H16" s="1314" t="s">
        <v>1098</v>
      </c>
      <c r="I16" s="1305" t="s">
        <v>1084</v>
      </c>
    </row>
    <row r="17" spans="1:9" ht="14.25">
      <c r="A17" s="3215"/>
      <c r="B17" s="3216" t="s">
        <v>1106</v>
      </c>
      <c r="C17" s="3216"/>
      <c r="D17" s="1306"/>
      <c r="E17" s="1306"/>
      <c r="F17" s="1307"/>
      <c r="G17" s="1308"/>
      <c r="H17" s="1318"/>
      <c r="I17" s="1319">
        <f>ROUND(D17*E17*F17*G17/10000,0)</f>
        <v>0</v>
      </c>
    </row>
    <row r="18" spans="1:9" ht="14.25">
      <c r="A18" s="3215"/>
      <c r="B18" s="3216" t="s">
        <v>1107</v>
      </c>
      <c r="C18" s="3216"/>
      <c r="D18" s="1306"/>
      <c r="E18" s="1306"/>
      <c r="F18" s="1307"/>
      <c r="G18" s="1308"/>
      <c r="H18" s="1318"/>
      <c r="I18" s="1319">
        <f>ROUND(D18*E18*F18*G18/10000,0)</f>
        <v>0</v>
      </c>
    </row>
    <row r="19" spans="1:9" ht="14.25">
      <c r="A19" s="3215"/>
      <c r="B19" s="3216" t="s">
        <v>1108</v>
      </c>
      <c r="C19" s="3216"/>
      <c r="D19" s="1306"/>
      <c r="E19" s="1306"/>
      <c r="F19" s="1307"/>
      <c r="G19" s="1308"/>
      <c r="H19" s="1318"/>
      <c r="I19" s="1319">
        <f>ROUND(D19*E19*F19*G19/10000,0)</f>
        <v>0</v>
      </c>
    </row>
    <row r="20" spans="1:9">
      <c r="A20" s="3215"/>
      <c r="B20" s="3217" t="s">
        <v>1092</v>
      </c>
      <c r="C20" s="3217"/>
      <c r="D20" s="1310">
        <f>SUM(D17:D19)</f>
        <v>0</v>
      </c>
      <c r="E20" s="1310"/>
      <c r="F20" s="1311"/>
      <c r="G20" s="1308"/>
      <c r="H20" s="1315"/>
      <c r="I20" s="1316">
        <f>SUM(I17:I19)</f>
        <v>0</v>
      </c>
    </row>
    <row r="21" spans="1:9">
      <c r="A21" s="3215" t="s">
        <v>1109</v>
      </c>
      <c r="B21" s="3219"/>
      <c r="C21" s="3219"/>
      <c r="D21" s="3219"/>
      <c r="E21" s="3219"/>
      <c r="F21" s="3219"/>
      <c r="G21" s="3219"/>
      <c r="H21" s="1768">
        <v>0.1</v>
      </c>
      <c r="I21" s="1313">
        <f>ROUND(I10*H21,0)</f>
        <v>0</v>
      </c>
    </row>
    <row r="22" spans="1:9" ht="14.25">
      <c r="A22" s="3220" t="s">
        <v>1110</v>
      </c>
      <c r="B22" s="3221"/>
      <c r="C22" s="3222"/>
      <c r="D22" s="1320" t="s">
        <v>1111</v>
      </c>
      <c r="E22" s="1320" t="s">
        <v>1112</v>
      </c>
      <c r="F22" s="1321" t="s">
        <v>1113</v>
      </c>
      <c r="G22" s="1321" t="s">
        <v>1114</v>
      </c>
      <c r="H22" s="1314" t="s">
        <v>1115</v>
      </c>
      <c r="I22" s="1305" t="s">
        <v>1116</v>
      </c>
    </row>
    <row r="23" spans="1:9" ht="14.25" thickBot="1">
      <c r="A23" s="3223"/>
      <c r="B23" s="3224"/>
      <c r="C23" s="3225"/>
      <c r="D23" s="1322"/>
      <c r="E23" s="1322"/>
      <c r="F23" s="1322"/>
      <c r="G23" s="1323"/>
      <c r="H23" s="1324"/>
      <c r="I23" s="1325">
        <f>ROUND(E23*D23*F23*(1-G23)/10000,0)</f>
        <v>0</v>
      </c>
    </row>
    <row r="26" spans="1:9">
      <c r="A26" s="1326" t="s">
        <v>1117</v>
      </c>
      <c r="B26" s="1326"/>
      <c r="C26" s="1326"/>
      <c r="D26" s="1326"/>
      <c r="E26" s="3226">
        <f>C27-C30-C31-C32</f>
        <v>0</v>
      </c>
      <c r="F26" s="3226"/>
      <c r="G26" s="3226"/>
      <c r="H26" s="1740" t="s">
        <v>1340</v>
      </c>
    </row>
    <row r="27" spans="1:9">
      <c r="A27" s="1327">
        <v>1</v>
      </c>
      <c r="B27" s="1328" t="s">
        <v>1118</v>
      </c>
      <c r="C27" s="1328">
        <f>C28+C29</f>
        <v>0</v>
      </c>
      <c r="D27" s="1328"/>
      <c r="E27" s="3227"/>
      <c r="F27" s="3227"/>
      <c r="G27" s="3227"/>
    </row>
    <row r="28" spans="1:9">
      <c r="A28" s="1329" t="s">
        <v>1119</v>
      </c>
      <c r="B28" s="1328" t="s">
        <v>1120</v>
      </c>
      <c r="C28" s="1328"/>
      <c r="D28" s="1328"/>
      <c r="E28" s="3227"/>
      <c r="F28" s="3227"/>
      <c r="G28" s="322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8"/>
      <c r="F32" s="3218"/>
      <c r="G32" s="3218"/>
    </row>
    <row r="33" spans="1:7" hidden="1">
      <c r="A33" s="3228" t="s">
        <v>1129</v>
      </c>
      <c r="B33" s="3229"/>
      <c r="C33" s="3229"/>
      <c r="D33" s="3230"/>
      <c r="E33" s="3226"/>
      <c r="F33" s="3226"/>
      <c r="G33" s="3226"/>
    </row>
    <row r="34" spans="1:7" hidden="1">
      <c r="A34" s="1331">
        <v>1</v>
      </c>
      <c r="B34" s="1328" t="s">
        <v>1130</v>
      </c>
      <c r="C34" s="1328"/>
      <c r="D34" s="1328"/>
      <c r="E34" s="3227"/>
      <c r="F34" s="3227"/>
      <c r="G34" s="3227"/>
    </row>
    <row r="35" spans="1:7" hidden="1">
      <c r="A35" s="1331">
        <v>2</v>
      </c>
      <c r="B35" s="1328" t="s">
        <v>1131</v>
      </c>
      <c r="C35" s="1328"/>
      <c r="D35" s="1328"/>
      <c r="E35" s="3227"/>
      <c r="F35" s="3227"/>
      <c r="G35" s="3227"/>
    </row>
    <row r="36" spans="1:7" hidden="1">
      <c r="A36" s="1331">
        <v>3</v>
      </c>
      <c r="B36" s="1328" t="s">
        <v>1132</v>
      </c>
      <c r="C36" s="1328"/>
      <c r="D36" s="1328"/>
      <c r="E36" s="3227"/>
      <c r="F36" s="3227"/>
      <c r="G36" s="3227"/>
    </row>
    <row r="37" spans="1:7" hidden="1">
      <c r="A37" s="1331">
        <v>4</v>
      </c>
      <c r="B37" s="1328" t="s">
        <v>1133</v>
      </c>
      <c r="C37" s="1328"/>
      <c r="D37" s="1328"/>
      <c r="E37" s="3227"/>
      <c r="F37" s="3227"/>
      <c r="G37" s="3227"/>
    </row>
    <row r="38" spans="1:7" hidden="1">
      <c r="A38" s="3228" t="s">
        <v>1134</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2533</v>
      </c>
      <c r="D3" s="399">
        <f>IF(D1="",'数据-汇总表'!E3,SUMIF('数据-汇总表'!$C19:$C33,D1,'数据-汇总表'!$E19:$E33))</f>
        <v>7293.6999999999989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49" t="s">
        <v>2535</v>
      </c>
      <c r="D4" s="3250"/>
      <c r="E4" s="3251" t="s">
        <v>2536</v>
      </c>
      <c r="F4" s="3252"/>
      <c r="G4" s="3249" t="s">
        <v>2537</v>
      </c>
      <c r="H4" s="3250"/>
      <c r="I4" s="3249" t="s">
        <v>2538</v>
      </c>
      <c r="J4" s="3250"/>
      <c r="K4" s="2601" t="s">
        <v>2539</v>
      </c>
      <c r="L4" s="1133"/>
      <c r="M4" s="1134"/>
      <c r="N4" s="1134"/>
      <c r="O4" s="1134"/>
      <c r="P4" s="3253" t="s">
        <v>2540</v>
      </c>
      <c r="Q4" s="3254"/>
      <c r="R4" s="3236" t="s">
        <v>2536</v>
      </c>
      <c r="S4" s="3237"/>
      <c r="T4" s="3236" t="s">
        <v>2537</v>
      </c>
      <c r="U4" s="3237"/>
      <c r="V4" s="3261" t="s">
        <v>2538</v>
      </c>
      <c r="W4" s="3261"/>
      <c r="X4" s="1816"/>
      <c r="Y4" s="3236" t="s">
        <v>2540</v>
      </c>
      <c r="Z4" s="3237"/>
      <c r="AA4" s="3231" t="s">
        <v>2536</v>
      </c>
      <c r="AB4" s="3231" t="s">
        <v>2537</v>
      </c>
      <c r="AC4" s="3231" t="s">
        <v>2538</v>
      </c>
    </row>
    <row r="5" spans="1:29" ht="15">
      <c r="A5" s="404"/>
      <c r="B5" s="405"/>
      <c r="C5" s="3242" t="s">
        <v>2541</v>
      </c>
      <c r="D5" s="3243"/>
      <c r="E5" s="3240" t="s">
        <v>2542</v>
      </c>
      <c r="F5" s="3241"/>
      <c r="G5" s="3242" t="s">
        <v>2543</v>
      </c>
      <c r="H5" s="3243"/>
      <c r="I5" s="3242" t="s">
        <v>2544</v>
      </c>
      <c r="J5" s="3243"/>
      <c r="K5" s="2602"/>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2545</v>
      </c>
      <c r="D6" s="3245"/>
      <c r="E6" s="3246" t="s">
        <v>2545</v>
      </c>
      <c r="F6" s="3247"/>
      <c r="G6" s="3244" t="s">
        <v>2545</v>
      </c>
      <c r="H6" s="3245"/>
      <c r="I6" s="3244" t="s">
        <v>2545</v>
      </c>
      <c r="J6" s="3245"/>
      <c r="K6" s="2602" t="s">
        <v>2546</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2547</v>
      </c>
      <c r="B7" s="409"/>
      <c r="C7" s="410">
        <f>'数据-取费表'!B2</f>
        <v>43224</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34" t="s">
        <v>2548</v>
      </c>
      <c r="Q7" s="3262"/>
      <c r="R7" s="770" t="s">
        <v>23</v>
      </c>
      <c r="S7" s="771">
        <f t="shared" ref="S7:S15" si="0">F7</f>
        <v>0</v>
      </c>
      <c r="T7" s="770" t="s">
        <v>23</v>
      </c>
      <c r="U7" s="771">
        <f t="shared" ref="U7:U15" si="1">H7</f>
        <v>0</v>
      </c>
      <c r="V7" s="770" t="s">
        <v>23</v>
      </c>
      <c r="W7" s="771">
        <f t="shared" ref="W7:W15" si="2">J7</f>
        <v>0</v>
      </c>
      <c r="X7" s="772"/>
      <c r="Y7" s="3234" t="s">
        <v>2548</v>
      </c>
      <c r="Z7" s="3235"/>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34" t="s">
        <v>2551</v>
      </c>
      <c r="Q8" s="3235"/>
      <c r="R8" s="770" t="s">
        <v>23</v>
      </c>
      <c r="S8" s="771">
        <f t="shared" si="0"/>
        <v>0</v>
      </c>
      <c r="T8" s="770" t="s">
        <v>23</v>
      </c>
      <c r="U8" s="771">
        <f t="shared" si="1"/>
        <v>0</v>
      </c>
      <c r="V8" s="770" t="s">
        <v>23</v>
      </c>
      <c r="W8" s="771">
        <f t="shared" si="2"/>
        <v>0</v>
      </c>
      <c r="X8" s="772"/>
      <c r="Y8" s="3234" t="s">
        <v>2551</v>
      </c>
      <c r="Z8" s="323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4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8"/>
      <c r="Q11" s="1798" t="str">
        <f t="shared" si="6"/>
        <v>容积率</v>
      </c>
      <c r="R11" s="770" t="s">
        <v>21</v>
      </c>
      <c r="S11" s="771" t="e">
        <f t="shared" si="0"/>
        <v>#N/A</v>
      </c>
      <c r="T11" s="770" t="s">
        <v>21</v>
      </c>
      <c r="U11" s="771" t="e">
        <f t="shared" si="1"/>
        <v>#N/A</v>
      </c>
      <c r="V11" s="770" t="s">
        <v>21</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48"/>
      <c r="Q12" s="1798">
        <f t="shared" si="6"/>
        <v>111</v>
      </c>
      <c r="R12" s="770" t="s">
        <v>21</v>
      </c>
      <c r="S12" s="771">
        <f t="shared" si="0"/>
        <v>100</v>
      </c>
      <c r="T12" s="770" t="s">
        <v>21</v>
      </c>
      <c r="U12" s="771">
        <f t="shared" si="1"/>
        <v>100</v>
      </c>
      <c r="V12" s="770" t="s">
        <v>21</v>
      </c>
      <c r="W12" s="771">
        <f t="shared" si="2"/>
        <v>100</v>
      </c>
      <c r="X12" s="772"/>
      <c r="Y12" s="306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48"/>
      <c r="Q13" s="1798">
        <f t="shared" si="6"/>
        <v>111</v>
      </c>
      <c r="R13" s="770" t="s">
        <v>21</v>
      </c>
      <c r="S13" s="771">
        <f t="shared" si="0"/>
        <v>100</v>
      </c>
      <c r="T13" s="770" t="s">
        <v>21</v>
      </c>
      <c r="U13" s="771">
        <f t="shared" si="1"/>
        <v>100</v>
      </c>
      <c r="V13" s="770" t="s">
        <v>21</v>
      </c>
      <c r="W13" s="771">
        <f t="shared" si="2"/>
        <v>100</v>
      </c>
      <c r="X13" s="772"/>
      <c r="Y13" s="3061"/>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48"/>
      <c r="Q14" s="1798">
        <f t="shared" si="6"/>
        <v>111</v>
      </c>
      <c r="R14" s="770" t="s">
        <v>21</v>
      </c>
      <c r="S14" s="771">
        <f t="shared" si="0"/>
        <v>100</v>
      </c>
      <c r="T14" s="770" t="s">
        <v>21</v>
      </c>
      <c r="U14" s="771">
        <f t="shared" si="1"/>
        <v>100</v>
      </c>
      <c r="V14" s="770" t="s">
        <v>21</v>
      </c>
      <c r="W14" s="771">
        <f t="shared" si="2"/>
        <v>100</v>
      </c>
      <c r="X14" s="772"/>
      <c r="Y14" s="3061"/>
      <c r="Z14" s="55">
        <f t="shared" si="7"/>
        <v>111</v>
      </c>
      <c r="AA14" s="773">
        <f t="shared" si="3"/>
        <v>1</v>
      </c>
      <c r="AB14" s="773">
        <f t="shared" si="4"/>
        <v>1</v>
      </c>
      <c r="AC14" s="773">
        <f t="shared" si="5"/>
        <v>1</v>
      </c>
    </row>
    <row r="15" spans="1:29" ht="99.75">
      <c r="A15" s="440" t="s">
        <v>2558</v>
      </c>
      <c r="B15" s="69" t="s">
        <v>2083</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5" t="s">
        <v>2559</v>
      </c>
      <c r="Q15" s="1813" t="str">
        <f t="shared" si="6"/>
        <v>居住社区成熟度</v>
      </c>
      <c r="R15" s="774" t="s">
        <v>21</v>
      </c>
      <c r="S15" s="775">
        <f t="shared" si="0"/>
        <v>100</v>
      </c>
      <c r="T15" s="774" t="s">
        <v>21</v>
      </c>
      <c r="U15" s="775">
        <f t="shared" si="1"/>
        <v>100</v>
      </c>
      <c r="V15" s="774" t="s">
        <v>21</v>
      </c>
      <c r="W15" s="775">
        <f t="shared" si="2"/>
        <v>100</v>
      </c>
      <c r="X15" s="1816"/>
      <c r="Y15" s="3268"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6"/>
      <c r="Q17" s="1813" t="str">
        <f>B17</f>
        <v>交通便捷度</v>
      </c>
      <c r="R17" s="774" t="s">
        <v>21</v>
      </c>
      <c r="S17" s="775">
        <f>F17</f>
        <v>100</v>
      </c>
      <c r="T17" s="774" t="s">
        <v>21</v>
      </c>
      <c r="U17" s="775">
        <f>H17</f>
        <v>100</v>
      </c>
      <c r="V17" s="774" t="s">
        <v>21</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2093</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6"/>
      <c r="Q19" s="1813" t="str">
        <f>B19</f>
        <v>公共配套设施</v>
      </c>
      <c r="R19" s="774" t="s">
        <v>21</v>
      </c>
      <c r="S19" s="775">
        <f>F19</f>
        <v>100</v>
      </c>
      <c r="T19" s="774" t="s">
        <v>21</v>
      </c>
      <c r="U19" s="775">
        <f>H19</f>
        <v>100</v>
      </c>
      <c r="V19" s="774" t="s">
        <v>21</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2096</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2100</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6"/>
      <c r="Q23" s="1813" t="str">
        <f>B23</f>
        <v>自然及人文环境</v>
      </c>
      <c r="R23" s="774" t="s">
        <v>21</v>
      </c>
      <c r="S23" s="775">
        <f>F23</f>
        <v>100</v>
      </c>
      <c r="T23" s="774" t="s">
        <v>21</v>
      </c>
      <c r="U23" s="775">
        <f>H23</f>
        <v>100</v>
      </c>
      <c r="V23" s="774" t="s">
        <v>21</v>
      </c>
      <c r="W23" s="775">
        <f>J23</f>
        <v>100</v>
      </c>
      <c r="X23" s="1816"/>
      <c r="Y23" s="326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6"/>
      <c r="Q26" s="1813" t="str">
        <f t="shared" si="11"/>
        <v>朝向</v>
      </c>
      <c r="R26" s="774" t="s">
        <v>21</v>
      </c>
      <c r="S26" s="775">
        <f t="shared" si="12"/>
        <v>100</v>
      </c>
      <c r="T26" s="774" t="s">
        <v>21</v>
      </c>
      <c r="U26" s="775">
        <f t="shared" si="13"/>
        <v>100</v>
      </c>
      <c r="V26" s="774" t="s">
        <v>21</v>
      </c>
      <c r="W26" s="775">
        <f t="shared" si="14"/>
        <v>100</v>
      </c>
      <c r="X26" s="1816"/>
      <c r="Y26" s="32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6"/>
      <c r="Q27" s="1798">
        <f t="shared" si="11"/>
        <v>111</v>
      </c>
      <c r="R27" s="770" t="s">
        <v>21</v>
      </c>
      <c r="S27" s="771">
        <f t="shared" si="12"/>
        <v>100</v>
      </c>
      <c r="T27" s="770" t="s">
        <v>21</v>
      </c>
      <c r="U27" s="771">
        <f t="shared" si="13"/>
        <v>100</v>
      </c>
      <c r="V27" s="770" t="s">
        <v>21</v>
      </c>
      <c r="W27" s="771">
        <f t="shared" si="14"/>
        <v>100</v>
      </c>
      <c r="X27" s="772"/>
      <c r="Y27" s="32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6"/>
      <c r="Q28" s="1813">
        <f t="shared" si="11"/>
        <v>111</v>
      </c>
      <c r="R28" s="774" t="s">
        <v>21</v>
      </c>
      <c r="S28" s="775">
        <f t="shared" si="12"/>
        <v>100</v>
      </c>
      <c r="T28" s="774" t="s">
        <v>21</v>
      </c>
      <c r="U28" s="775">
        <f t="shared" si="13"/>
        <v>100</v>
      </c>
      <c r="V28" s="774" t="s">
        <v>21</v>
      </c>
      <c r="W28" s="775">
        <f t="shared" si="14"/>
        <v>100</v>
      </c>
      <c r="X28" s="1816"/>
      <c r="Y28" s="32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6"/>
      <c r="Q29" s="1813">
        <f t="shared" si="11"/>
        <v>111</v>
      </c>
      <c r="R29" s="774" t="s">
        <v>21</v>
      </c>
      <c r="S29" s="775">
        <f t="shared" si="12"/>
        <v>100</v>
      </c>
      <c r="T29" s="774" t="s">
        <v>21</v>
      </c>
      <c r="U29" s="775">
        <f t="shared" si="13"/>
        <v>100</v>
      </c>
      <c r="V29" s="774" t="s">
        <v>21</v>
      </c>
      <c r="W29" s="775">
        <f t="shared" si="14"/>
        <v>100</v>
      </c>
      <c r="X29" s="1816"/>
      <c r="Y29" s="32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6"/>
      <c r="Q30" s="1813">
        <f t="shared" si="11"/>
        <v>111</v>
      </c>
      <c r="R30" s="774" t="s">
        <v>21</v>
      </c>
      <c r="S30" s="775">
        <f t="shared" si="12"/>
        <v>100</v>
      </c>
      <c r="T30" s="774" t="s">
        <v>21</v>
      </c>
      <c r="U30" s="775">
        <f t="shared" si="13"/>
        <v>100</v>
      </c>
      <c r="V30" s="774" t="s">
        <v>21</v>
      </c>
      <c r="W30" s="775">
        <f t="shared" si="14"/>
        <v>100</v>
      </c>
      <c r="X30" s="1816"/>
      <c r="Y30" s="32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6"/>
      <c r="Q31" s="1813">
        <f t="shared" si="11"/>
        <v>111</v>
      </c>
      <c r="R31" s="774" t="s">
        <v>21</v>
      </c>
      <c r="S31" s="775">
        <f t="shared" si="12"/>
        <v>100</v>
      </c>
      <c r="T31" s="774" t="s">
        <v>21</v>
      </c>
      <c r="U31" s="775">
        <f t="shared" si="13"/>
        <v>100</v>
      </c>
      <c r="V31" s="774" t="s">
        <v>21</v>
      </c>
      <c r="W31" s="775">
        <f t="shared" si="14"/>
        <v>100</v>
      </c>
      <c r="X31" s="1816"/>
      <c r="Y31" s="3269"/>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0" t="s">
        <v>2564</v>
      </c>
      <c r="Q32" s="1813" t="str">
        <f t="shared" si="11"/>
        <v>建筑类型</v>
      </c>
      <c r="R32" s="774" t="s">
        <v>21</v>
      </c>
      <c r="S32" s="775">
        <f t="shared" si="12"/>
        <v>100</v>
      </c>
      <c r="T32" s="774" t="s">
        <v>21</v>
      </c>
      <c r="U32" s="775">
        <f t="shared" si="13"/>
        <v>100</v>
      </c>
      <c r="V32" s="774" t="s">
        <v>21</v>
      </c>
      <c r="W32" s="775">
        <f t="shared" si="14"/>
        <v>100</v>
      </c>
      <c r="X32" s="1816"/>
      <c r="Y32" s="327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1"/>
      <c r="Q33" s="776" t="str">
        <f t="shared" si="11"/>
        <v>项目建筑规模</v>
      </c>
      <c r="R33" s="777" t="s">
        <v>21</v>
      </c>
      <c r="S33" s="778" t="e">
        <f t="shared" si="12"/>
        <v>#N/A</v>
      </c>
      <c r="T33" s="777" t="s">
        <v>21</v>
      </c>
      <c r="U33" s="778" t="e">
        <f t="shared" si="13"/>
        <v>#N/A</v>
      </c>
      <c r="V33" s="777" t="s">
        <v>21</v>
      </c>
      <c r="W33" s="778" t="e">
        <f t="shared" si="14"/>
        <v>#N/A</v>
      </c>
      <c r="X33" s="779"/>
      <c r="Y33" s="3273"/>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1"/>
      <c r="Q34" s="1813" t="str">
        <f t="shared" si="11"/>
        <v>建筑结构</v>
      </c>
      <c r="R34" s="774" t="s">
        <v>21</v>
      </c>
      <c r="S34" s="775">
        <f t="shared" si="12"/>
        <v>100</v>
      </c>
      <c r="T34" s="774" t="s">
        <v>21</v>
      </c>
      <c r="U34" s="775">
        <f t="shared" si="13"/>
        <v>100</v>
      </c>
      <c r="V34" s="774" t="s">
        <v>21</v>
      </c>
      <c r="W34" s="775">
        <f t="shared" si="14"/>
        <v>100</v>
      </c>
      <c r="X34" s="1816"/>
      <c r="Y34" s="3273"/>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1"/>
      <c r="Q35" s="1813" t="str">
        <f t="shared" si="11"/>
        <v>建筑品质</v>
      </c>
      <c r="R35" s="774" t="s">
        <v>21</v>
      </c>
      <c r="S35" s="775">
        <f t="shared" si="12"/>
        <v>100</v>
      </c>
      <c r="T35" s="774" t="s">
        <v>21</v>
      </c>
      <c r="U35" s="775">
        <f t="shared" si="13"/>
        <v>100</v>
      </c>
      <c r="V35" s="774" t="s">
        <v>21</v>
      </c>
      <c r="W35" s="775">
        <f t="shared" si="14"/>
        <v>100</v>
      </c>
      <c r="X35" s="1816"/>
      <c r="Y35" s="3273"/>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1"/>
      <c r="Q36" s="1813" t="str">
        <f t="shared" si="11"/>
        <v>公共部分装修</v>
      </c>
      <c r="R36" s="774" t="s">
        <v>21</v>
      </c>
      <c r="S36" s="775">
        <f t="shared" si="12"/>
        <v>100</v>
      </c>
      <c r="T36" s="774" t="s">
        <v>21</v>
      </c>
      <c r="U36" s="775">
        <f t="shared" si="13"/>
        <v>100</v>
      </c>
      <c r="V36" s="774" t="s">
        <v>21</v>
      </c>
      <c r="W36" s="775">
        <f t="shared" si="14"/>
        <v>100</v>
      </c>
      <c r="X36" s="1816"/>
      <c r="Y36" s="327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1"/>
      <c r="Q37" s="1798" t="str">
        <f t="shared" si="11"/>
        <v>成新度</v>
      </c>
      <c r="R37" s="770" t="s">
        <v>21</v>
      </c>
      <c r="S37" s="771" t="e">
        <f t="shared" si="12"/>
        <v>#N/A</v>
      </c>
      <c r="T37" s="770" t="s">
        <v>21</v>
      </c>
      <c r="U37" s="771" t="e">
        <f t="shared" si="13"/>
        <v>#N/A</v>
      </c>
      <c r="V37" s="770" t="s">
        <v>21</v>
      </c>
      <c r="W37" s="771" t="e">
        <f t="shared" si="14"/>
        <v>#N/A</v>
      </c>
      <c r="X37" s="772"/>
      <c r="Y37" s="3273"/>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1" t="s">
        <v>2564</v>
      </c>
      <c r="Q38" s="1813" t="str">
        <f t="shared" si="11"/>
        <v>物业管理</v>
      </c>
      <c r="R38" s="774" t="s">
        <v>21</v>
      </c>
      <c r="S38" s="775">
        <f t="shared" si="12"/>
        <v>100</v>
      </c>
      <c r="T38" s="774" t="s">
        <v>21</v>
      </c>
      <c r="U38" s="775">
        <f t="shared" si="13"/>
        <v>100</v>
      </c>
      <c r="V38" s="774" t="s">
        <v>21</v>
      </c>
      <c r="W38" s="775">
        <f t="shared" si="14"/>
        <v>100</v>
      </c>
      <c r="X38" s="1816"/>
      <c r="Y38" s="3273"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1"/>
      <c r="Q39" s="1813" t="str">
        <f t="shared" si="11"/>
        <v>市政基础设施</v>
      </c>
      <c r="R39" s="774" t="s">
        <v>21</v>
      </c>
      <c r="S39" s="775">
        <f t="shared" si="12"/>
        <v>100</v>
      </c>
      <c r="T39" s="774" t="s">
        <v>21</v>
      </c>
      <c r="U39" s="775">
        <f t="shared" si="13"/>
        <v>100</v>
      </c>
      <c r="V39" s="774" t="s">
        <v>21</v>
      </c>
      <c r="W39" s="775">
        <f t="shared" si="14"/>
        <v>100</v>
      </c>
      <c r="X39" s="1816"/>
      <c r="Y39" s="3273"/>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1"/>
      <c r="Q40" s="1813" t="str">
        <f t="shared" si="11"/>
        <v>房型</v>
      </c>
      <c r="R40" s="774" t="s">
        <v>21</v>
      </c>
      <c r="S40" s="775">
        <f t="shared" si="12"/>
        <v>100</v>
      </c>
      <c r="T40" s="774" t="s">
        <v>21</v>
      </c>
      <c r="U40" s="775">
        <f t="shared" si="13"/>
        <v>100</v>
      </c>
      <c r="V40" s="774" t="s">
        <v>21</v>
      </c>
      <c r="W40" s="775">
        <f t="shared" si="14"/>
        <v>100</v>
      </c>
      <c r="X40" s="1816"/>
      <c r="Y40" s="327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1"/>
      <c r="Q41" s="776" t="str">
        <f t="shared" si="11"/>
        <v>单套/主力户型建筑面积</v>
      </c>
      <c r="R41" s="777" t="s">
        <v>21</v>
      </c>
      <c r="S41" s="778">
        <f t="shared" si="12"/>
        <v>100</v>
      </c>
      <c r="T41" s="777" t="s">
        <v>21</v>
      </c>
      <c r="U41" s="778">
        <f t="shared" si="13"/>
        <v>100</v>
      </c>
      <c r="V41" s="777" t="s">
        <v>21</v>
      </c>
      <c r="W41" s="778">
        <f t="shared" si="14"/>
        <v>100</v>
      </c>
      <c r="X41" s="779"/>
      <c r="Y41" s="3273"/>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1"/>
      <c r="Q42" s="1813" t="str">
        <f t="shared" si="11"/>
        <v>内部装修</v>
      </c>
      <c r="R42" s="774" t="s">
        <v>21</v>
      </c>
      <c r="S42" s="775">
        <f t="shared" si="12"/>
        <v>100</v>
      </c>
      <c r="T42" s="774" t="s">
        <v>21</v>
      </c>
      <c r="U42" s="775">
        <f t="shared" si="13"/>
        <v>100</v>
      </c>
      <c r="V42" s="774" t="s">
        <v>21</v>
      </c>
      <c r="W42" s="775">
        <f t="shared" si="14"/>
        <v>100</v>
      </c>
      <c r="X42" s="1816"/>
      <c r="Y42" s="3273"/>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1"/>
      <c r="Q43" s="1813" t="str">
        <f t="shared" si="11"/>
        <v>内部装修维护情况</v>
      </c>
      <c r="R43" s="774" t="s">
        <v>21</v>
      </c>
      <c r="S43" s="775">
        <f t="shared" si="12"/>
        <v>100</v>
      </c>
      <c r="T43" s="774" t="s">
        <v>21</v>
      </c>
      <c r="U43" s="775">
        <f t="shared" si="13"/>
        <v>100</v>
      </c>
      <c r="V43" s="774" t="s">
        <v>21</v>
      </c>
      <c r="W43" s="775">
        <f t="shared" si="14"/>
        <v>100</v>
      </c>
      <c r="X43" s="1816"/>
      <c r="Y43" s="32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1"/>
      <c r="Q44" s="1798">
        <f t="shared" si="11"/>
        <v>111</v>
      </c>
      <c r="R44" s="770" t="s">
        <v>21</v>
      </c>
      <c r="S44" s="771">
        <f t="shared" si="12"/>
        <v>100</v>
      </c>
      <c r="T44" s="770" t="s">
        <v>21</v>
      </c>
      <c r="U44" s="771">
        <f t="shared" si="13"/>
        <v>100</v>
      </c>
      <c r="V44" s="770" t="s">
        <v>21</v>
      </c>
      <c r="W44" s="771">
        <f t="shared" si="14"/>
        <v>100</v>
      </c>
      <c r="X44" s="772"/>
      <c r="Y44" s="32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1"/>
      <c r="Q45" s="1813">
        <f t="shared" si="11"/>
        <v>111</v>
      </c>
      <c r="R45" s="774" t="s">
        <v>21</v>
      </c>
      <c r="S45" s="775">
        <f t="shared" si="12"/>
        <v>100</v>
      </c>
      <c r="T45" s="774" t="s">
        <v>21</v>
      </c>
      <c r="U45" s="775">
        <f t="shared" si="13"/>
        <v>100</v>
      </c>
      <c r="V45" s="774" t="s">
        <v>21</v>
      </c>
      <c r="W45" s="775">
        <f t="shared" si="14"/>
        <v>100</v>
      </c>
      <c r="X45" s="1816"/>
      <c r="Y45" s="3273"/>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2"/>
      <c r="Q46" s="1813">
        <f t="shared" si="11"/>
        <v>111</v>
      </c>
      <c r="R46" s="774" t="s">
        <v>20</v>
      </c>
      <c r="S46" s="775">
        <f t="shared" si="12"/>
        <v>100</v>
      </c>
      <c r="T46" s="774" t="s">
        <v>20</v>
      </c>
      <c r="U46" s="775">
        <f t="shared" si="13"/>
        <v>100</v>
      </c>
      <c r="V46" s="774" t="s">
        <v>20</v>
      </c>
      <c r="W46" s="775">
        <f t="shared" si="14"/>
        <v>100</v>
      </c>
      <c r="X46" s="1816"/>
      <c r="Y46" s="3274"/>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2096</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7293.6999999999989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49" t="s">
        <v>2645</v>
      </c>
      <c r="D4" s="3250"/>
      <c r="E4" s="3251" t="s">
        <v>2646</v>
      </c>
      <c r="F4" s="3252"/>
      <c r="G4" s="3249" t="s">
        <v>2647</v>
      </c>
      <c r="H4" s="3250"/>
      <c r="I4" s="3249" t="s">
        <v>2648</v>
      </c>
      <c r="J4" s="3250"/>
      <c r="K4" s="610" t="s">
        <v>2649</v>
      </c>
      <c r="L4" s="1133"/>
      <c r="M4" s="1134"/>
      <c r="N4" s="1134"/>
      <c r="O4" s="1134"/>
      <c r="P4" s="3253" t="s">
        <v>2650</v>
      </c>
      <c r="Q4" s="3254"/>
      <c r="R4" s="3236" t="s">
        <v>2646</v>
      </c>
      <c r="S4" s="3237"/>
      <c r="T4" s="3236" t="s">
        <v>2647</v>
      </c>
      <c r="U4" s="3237"/>
      <c r="V4" s="3261" t="s">
        <v>2648</v>
      </c>
      <c r="W4" s="3261"/>
      <c r="X4" s="1816"/>
      <c r="Y4" s="3236" t="s">
        <v>2650</v>
      </c>
      <c r="Z4" s="3237"/>
      <c r="AA4" s="3231" t="s">
        <v>2646</v>
      </c>
      <c r="AB4" s="3261" t="s">
        <v>2647</v>
      </c>
      <c r="AC4" s="3231" t="s">
        <v>2648</v>
      </c>
    </row>
    <row r="5" spans="1:29" ht="15">
      <c r="A5" s="404"/>
      <c r="B5" s="405"/>
      <c r="C5" s="3242" t="s">
        <v>2541</v>
      </c>
      <c r="D5" s="3243"/>
      <c r="E5" s="3240" t="s">
        <v>2542</v>
      </c>
      <c r="F5" s="3241"/>
      <c r="G5" s="3242" t="s">
        <v>2543</v>
      </c>
      <c r="H5" s="3243"/>
      <c r="I5" s="3242" t="s">
        <v>2544</v>
      </c>
      <c r="J5" s="3243"/>
      <c r="K5" s="610"/>
      <c r="L5" s="1133"/>
      <c r="M5" s="1134"/>
      <c r="N5" s="1134"/>
      <c r="O5" s="1134"/>
      <c r="P5" s="3255"/>
      <c r="Q5" s="3256"/>
      <c r="R5" s="3238"/>
      <c r="S5" s="3239"/>
      <c r="T5" s="3238"/>
      <c r="U5" s="3239"/>
      <c r="V5" s="3261"/>
      <c r="W5" s="3261"/>
      <c r="X5" s="1816"/>
      <c r="Y5" s="3238"/>
      <c r="Z5" s="3239"/>
      <c r="AA5" s="3232"/>
      <c r="AB5" s="3261"/>
      <c r="AC5" s="3232"/>
    </row>
    <row r="6" spans="1:29" ht="15.75" thickBot="1">
      <c r="A6" s="406"/>
      <c r="B6" s="407"/>
      <c r="C6" s="3244" t="s">
        <v>2545</v>
      </c>
      <c r="D6" s="3245"/>
      <c r="E6" s="3246" t="s">
        <v>2545</v>
      </c>
      <c r="F6" s="3247"/>
      <c r="G6" s="3244" t="s">
        <v>2545</v>
      </c>
      <c r="H6" s="3245"/>
      <c r="I6" s="3244" t="s">
        <v>2545</v>
      </c>
      <c r="J6" s="3245"/>
      <c r="K6" s="610" t="s">
        <v>2546</v>
      </c>
      <c r="L6" s="1133"/>
      <c r="M6" s="1134"/>
      <c r="N6" s="1134"/>
      <c r="O6" s="1134"/>
      <c r="P6" s="3257"/>
      <c r="Q6" s="3258"/>
      <c r="R6" s="3238"/>
      <c r="S6" s="3239"/>
      <c r="T6" s="3259"/>
      <c r="U6" s="3260"/>
      <c r="V6" s="3261"/>
      <c r="W6" s="3261"/>
      <c r="X6" s="1816"/>
      <c r="Y6" s="3259"/>
      <c r="Z6" s="3260"/>
      <c r="AA6" s="3233"/>
      <c r="AB6" s="3261"/>
      <c r="AC6" s="3233"/>
    </row>
    <row r="7" spans="1:29" s="117" customFormat="1" ht="15.75" thickBot="1">
      <c r="A7" s="408" t="s">
        <v>2547</v>
      </c>
      <c r="B7" s="409"/>
      <c r="C7" s="410">
        <f>'数据-取费表'!B2</f>
        <v>43224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4" t="s">
        <v>2548</v>
      </c>
      <c r="Q7" s="3262"/>
      <c r="R7" s="770" t="s">
        <v>17</v>
      </c>
      <c r="S7" s="771">
        <f t="shared" ref="S7:S15" si="0">F7</f>
        <v>0</v>
      </c>
      <c r="T7" s="770" t="s">
        <v>17</v>
      </c>
      <c r="U7" s="771">
        <f t="shared" ref="U7:U15" si="1">H7</f>
        <v>0</v>
      </c>
      <c r="V7" s="770" t="s">
        <v>17</v>
      </c>
      <c r="W7" s="771">
        <f t="shared" ref="W7:W15" si="2">J7</f>
        <v>0</v>
      </c>
      <c r="X7" s="772"/>
      <c r="Y7" s="3234" t="s">
        <v>2548</v>
      </c>
      <c r="Z7" s="323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4" t="s">
        <v>2551</v>
      </c>
      <c r="Q8" s="3235"/>
      <c r="R8" s="770" t="s">
        <v>17</v>
      </c>
      <c r="S8" s="771">
        <f t="shared" si="0"/>
        <v>0</v>
      </c>
      <c r="T8" s="770" t="s">
        <v>17</v>
      </c>
      <c r="U8" s="771">
        <f t="shared" si="1"/>
        <v>0</v>
      </c>
      <c r="V8" s="770" t="s">
        <v>17</v>
      </c>
      <c r="W8" s="771">
        <f t="shared" si="2"/>
        <v>0</v>
      </c>
      <c r="X8" s="772"/>
      <c r="Y8" s="3234" t="s">
        <v>2551</v>
      </c>
      <c r="Z8" s="323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8"/>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8"/>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8"/>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8"/>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5" t="s">
        <v>2559</v>
      </c>
      <c r="Q15" s="1813" t="str">
        <f t="shared" si="6"/>
        <v>商业繁华度</v>
      </c>
      <c r="R15" s="774" t="s">
        <v>17</v>
      </c>
      <c r="S15" s="775">
        <f t="shared" si="0"/>
        <v>100</v>
      </c>
      <c r="T15" s="774" t="s">
        <v>17</v>
      </c>
      <c r="U15" s="775">
        <f t="shared" si="1"/>
        <v>100</v>
      </c>
      <c r="V15" s="774" t="s">
        <v>17</v>
      </c>
      <c r="W15" s="775">
        <f t="shared" si="2"/>
        <v>100</v>
      </c>
      <c r="X15" s="1816"/>
      <c r="Y15" s="326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2100</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6"/>
      <c r="Q23" s="1813" t="str">
        <f>B23</f>
        <v>自然及人文环境</v>
      </c>
      <c r="R23" s="774" t="s">
        <v>17</v>
      </c>
      <c r="S23" s="775">
        <f>F23</f>
        <v>100</v>
      </c>
      <c r="T23" s="774" t="s">
        <v>17</v>
      </c>
      <c r="U23" s="775">
        <f>H23</f>
        <v>100</v>
      </c>
      <c r="V23" s="774" t="s">
        <v>17</v>
      </c>
      <c r="W23" s="775">
        <f>J23</f>
        <v>100</v>
      </c>
      <c r="X23" s="1816"/>
      <c r="Y23" s="326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6"/>
      <c r="Q25" s="1813" t="str">
        <f t="shared" ref="Q25:Q46" si="11">B25</f>
        <v>临街状况</v>
      </c>
      <c r="R25" s="774" t="s">
        <v>17</v>
      </c>
      <c r="S25" s="775">
        <f>F25</f>
        <v>100</v>
      </c>
      <c r="T25" s="774" t="s">
        <v>17</v>
      </c>
      <c r="U25" s="775">
        <f>H25</f>
        <v>100</v>
      </c>
      <c r="V25" s="774" t="s">
        <v>17</v>
      </c>
      <c r="W25" s="775">
        <f>J25</f>
        <v>100</v>
      </c>
      <c r="X25" s="1816"/>
      <c r="Y25" s="326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6"/>
      <c r="Q26" s="1813" t="str">
        <f t="shared" si="11"/>
        <v>平面位置/可视性</v>
      </c>
      <c r="R26" s="774" t="s">
        <v>17</v>
      </c>
      <c r="S26" s="775">
        <f>F26</f>
        <v>100</v>
      </c>
      <c r="T26" s="774" t="s">
        <v>17</v>
      </c>
      <c r="U26" s="775">
        <f>H26</f>
        <v>100</v>
      </c>
      <c r="V26" s="774" t="s">
        <v>17</v>
      </c>
      <c r="W26" s="775">
        <f>J26</f>
        <v>100</v>
      </c>
      <c r="X26" s="1816"/>
      <c r="Y26" s="3269"/>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6"/>
      <c r="Q27" s="1798" t="str">
        <f t="shared" si="11"/>
        <v>人流量</v>
      </c>
      <c r="R27" s="770" t="s">
        <v>17</v>
      </c>
      <c r="S27" s="771">
        <f>F27</f>
        <v>100</v>
      </c>
      <c r="T27" s="770" t="s">
        <v>17</v>
      </c>
      <c r="U27" s="771">
        <f>H27</f>
        <v>100</v>
      </c>
      <c r="V27" s="770" t="s">
        <v>17</v>
      </c>
      <c r="W27" s="771">
        <f>J27</f>
        <v>100</v>
      </c>
      <c r="X27" s="772"/>
      <c r="Y27" s="326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1813">
        <f t="shared" si="11"/>
        <v>111</v>
      </c>
      <c r="R29" s="774" t="s">
        <v>17</v>
      </c>
      <c r="S29" s="775">
        <f t="shared" si="12"/>
        <v>100</v>
      </c>
      <c r="T29" s="774" t="s">
        <v>17</v>
      </c>
      <c r="U29" s="775">
        <f t="shared" si="13"/>
        <v>100</v>
      </c>
      <c r="V29" s="774" t="s">
        <v>17</v>
      </c>
      <c r="W29" s="775">
        <f t="shared" si="14"/>
        <v>100</v>
      </c>
      <c r="X29" s="1816"/>
      <c r="Y29" s="32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0" t="s">
        <v>2564</v>
      </c>
      <c r="Q32" s="1813" t="str">
        <f t="shared" si="11"/>
        <v>商业类型</v>
      </c>
      <c r="R32" s="774" t="s">
        <v>17</v>
      </c>
      <c r="S32" s="775">
        <f t="shared" si="12"/>
        <v>100</v>
      </c>
      <c r="T32" s="774" t="s">
        <v>17</v>
      </c>
      <c r="U32" s="775">
        <f t="shared" si="13"/>
        <v>100</v>
      </c>
      <c r="V32" s="774" t="s">
        <v>17</v>
      </c>
      <c r="W32" s="775">
        <f t="shared" si="14"/>
        <v>100</v>
      </c>
      <c r="X32" s="1816"/>
      <c r="Y32" s="327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1"/>
      <c r="Q33" s="776" t="str">
        <f t="shared" si="11"/>
        <v>项目建筑规模</v>
      </c>
      <c r="R33" s="777" t="s">
        <v>17</v>
      </c>
      <c r="S33" s="778" t="e">
        <f t="shared" si="12"/>
        <v>#N/A</v>
      </c>
      <c r="T33" s="777" t="s">
        <v>17</v>
      </c>
      <c r="U33" s="778" t="e">
        <f t="shared" si="13"/>
        <v>#N/A</v>
      </c>
      <c r="V33" s="777" t="s">
        <v>17</v>
      </c>
      <c r="W33" s="778" t="e">
        <f t="shared" si="14"/>
        <v>#N/A</v>
      </c>
      <c r="X33" s="779"/>
      <c r="Y33" s="3273"/>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1"/>
      <c r="Q34" s="1813" t="str">
        <f t="shared" si="11"/>
        <v>建筑结构</v>
      </c>
      <c r="R34" s="774" t="s">
        <v>17</v>
      </c>
      <c r="S34" s="775">
        <f t="shared" si="12"/>
        <v>100</v>
      </c>
      <c r="T34" s="774" t="s">
        <v>17</v>
      </c>
      <c r="U34" s="775">
        <f t="shared" si="13"/>
        <v>100</v>
      </c>
      <c r="V34" s="774" t="s">
        <v>17</v>
      </c>
      <c r="W34" s="775">
        <f t="shared" si="14"/>
        <v>100</v>
      </c>
      <c r="X34" s="1816"/>
      <c r="Y34" s="3273"/>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1"/>
      <c r="Q35" s="1813" t="str">
        <f t="shared" si="11"/>
        <v>公共部分装修</v>
      </c>
      <c r="R35" s="774" t="s">
        <v>17</v>
      </c>
      <c r="S35" s="775">
        <f t="shared" si="12"/>
        <v>100</v>
      </c>
      <c r="T35" s="774" t="s">
        <v>17</v>
      </c>
      <c r="U35" s="775">
        <f t="shared" si="13"/>
        <v>100</v>
      </c>
      <c r="V35" s="774" t="s">
        <v>17</v>
      </c>
      <c r="W35" s="775">
        <f t="shared" si="14"/>
        <v>100</v>
      </c>
      <c r="X35" s="1816"/>
      <c r="Y35" s="327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1"/>
      <c r="Q36" s="1813" t="str">
        <f t="shared" si="11"/>
        <v>成新度</v>
      </c>
      <c r="R36" s="774" t="s">
        <v>17</v>
      </c>
      <c r="S36" s="775" t="e">
        <f t="shared" si="12"/>
        <v>#N/A</v>
      </c>
      <c r="T36" s="774" t="s">
        <v>17</v>
      </c>
      <c r="U36" s="775" t="e">
        <f t="shared" si="13"/>
        <v>#N/A</v>
      </c>
      <c r="V36" s="774" t="s">
        <v>17</v>
      </c>
      <c r="W36" s="775" t="e">
        <f t="shared" si="14"/>
        <v>#N/A</v>
      </c>
      <c r="X36" s="1816"/>
      <c r="Y36" s="3273"/>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1"/>
      <c r="Q37" s="1798" t="str">
        <f t="shared" si="11"/>
        <v>市政基础设施</v>
      </c>
      <c r="R37" s="770" t="s">
        <v>17</v>
      </c>
      <c r="S37" s="771">
        <f t="shared" si="12"/>
        <v>100</v>
      </c>
      <c r="T37" s="770" t="s">
        <v>17</v>
      </c>
      <c r="U37" s="771">
        <f t="shared" si="13"/>
        <v>100</v>
      </c>
      <c r="V37" s="770" t="s">
        <v>17</v>
      </c>
      <c r="W37" s="771">
        <f t="shared" si="14"/>
        <v>100</v>
      </c>
      <c r="X37" s="772"/>
      <c r="Y37" s="3273"/>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1" t="s">
        <v>2564</v>
      </c>
      <c r="Q38" s="1813" t="str">
        <f t="shared" si="11"/>
        <v>业态</v>
      </c>
      <c r="R38" s="774" t="s">
        <v>17</v>
      </c>
      <c r="S38" s="775">
        <f t="shared" si="12"/>
        <v>100</v>
      </c>
      <c r="T38" s="774" t="s">
        <v>17</v>
      </c>
      <c r="U38" s="775">
        <f t="shared" si="13"/>
        <v>100</v>
      </c>
      <c r="V38" s="774" t="s">
        <v>17</v>
      </c>
      <c r="W38" s="775">
        <f t="shared" si="14"/>
        <v>100</v>
      </c>
      <c r="X38" s="1816"/>
      <c r="Y38" s="3273"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1"/>
      <c r="Q39" s="1813" t="str">
        <f t="shared" si="11"/>
        <v>层高</v>
      </c>
      <c r="R39" s="774" t="s">
        <v>17</v>
      </c>
      <c r="S39" s="775">
        <f t="shared" si="12"/>
        <v>100</v>
      </c>
      <c r="T39" s="774" t="s">
        <v>17</v>
      </c>
      <c r="U39" s="775">
        <f t="shared" si="13"/>
        <v>100</v>
      </c>
      <c r="V39" s="774" t="s">
        <v>17</v>
      </c>
      <c r="W39" s="775">
        <f t="shared" si="14"/>
        <v>100</v>
      </c>
      <c r="X39" s="1816"/>
      <c r="Y39" s="327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1"/>
      <c r="Q40" s="1813" t="str">
        <f t="shared" si="11"/>
        <v>单套建筑面积</v>
      </c>
      <c r="R40" s="774" t="s">
        <v>17</v>
      </c>
      <c r="S40" s="775">
        <f t="shared" si="12"/>
        <v>100</v>
      </c>
      <c r="T40" s="774" t="s">
        <v>17</v>
      </c>
      <c r="U40" s="775">
        <f t="shared" si="13"/>
        <v>100</v>
      </c>
      <c r="V40" s="774" t="s">
        <v>17</v>
      </c>
      <c r="W40" s="775">
        <f t="shared" si="14"/>
        <v>100</v>
      </c>
      <c r="X40" s="1816"/>
      <c r="Y40" s="327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1"/>
      <c r="Q41" s="776" t="str">
        <f t="shared" si="11"/>
        <v>进深比</v>
      </c>
      <c r="R41" s="777" t="s">
        <v>17</v>
      </c>
      <c r="S41" s="778">
        <f t="shared" si="12"/>
        <v>100</v>
      </c>
      <c r="T41" s="777" t="s">
        <v>17</v>
      </c>
      <c r="U41" s="778">
        <f t="shared" si="13"/>
        <v>100</v>
      </c>
      <c r="V41" s="777" t="s">
        <v>17</v>
      </c>
      <c r="W41" s="778">
        <f t="shared" si="14"/>
        <v>100</v>
      </c>
      <c r="X41" s="779"/>
      <c r="Y41" s="3273"/>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1"/>
      <c r="Q42" s="1813" t="str">
        <f t="shared" si="11"/>
        <v>内部装修</v>
      </c>
      <c r="R42" s="774" t="s">
        <v>17</v>
      </c>
      <c r="S42" s="775">
        <f t="shared" si="12"/>
        <v>100</v>
      </c>
      <c r="T42" s="774" t="s">
        <v>17</v>
      </c>
      <c r="U42" s="775">
        <f t="shared" si="13"/>
        <v>100</v>
      </c>
      <c r="V42" s="774" t="s">
        <v>17</v>
      </c>
      <c r="W42" s="775">
        <f t="shared" si="14"/>
        <v>100</v>
      </c>
      <c r="X42" s="1816"/>
      <c r="Y42" s="3273"/>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1"/>
      <c r="Q43" s="1813" t="str">
        <f t="shared" si="11"/>
        <v>内部装修维护情况</v>
      </c>
      <c r="R43" s="774" t="s">
        <v>17</v>
      </c>
      <c r="S43" s="775">
        <f t="shared" si="12"/>
        <v>100</v>
      </c>
      <c r="T43" s="774" t="s">
        <v>17</v>
      </c>
      <c r="U43" s="775">
        <f t="shared" si="13"/>
        <v>100</v>
      </c>
      <c r="V43" s="774" t="s">
        <v>17</v>
      </c>
      <c r="W43" s="775">
        <f t="shared" si="14"/>
        <v>100</v>
      </c>
      <c r="X43" s="1816"/>
      <c r="Y43" s="327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1"/>
      <c r="Q44" s="1798">
        <f t="shared" si="11"/>
        <v>111</v>
      </c>
      <c r="R44" s="770" t="s">
        <v>17</v>
      </c>
      <c r="S44" s="771">
        <f t="shared" si="12"/>
        <v>100</v>
      </c>
      <c r="T44" s="770" t="s">
        <v>17</v>
      </c>
      <c r="U44" s="771">
        <f t="shared" si="13"/>
        <v>100</v>
      </c>
      <c r="V44" s="770" t="s">
        <v>17</v>
      </c>
      <c r="W44" s="771">
        <f t="shared" si="14"/>
        <v>100</v>
      </c>
      <c r="X44" s="772"/>
      <c r="Y44" s="32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1"/>
      <c r="Q45" s="1813">
        <f t="shared" si="11"/>
        <v>111</v>
      </c>
      <c r="R45" s="774" t="s">
        <v>17</v>
      </c>
      <c r="S45" s="775">
        <f t="shared" si="12"/>
        <v>100</v>
      </c>
      <c r="T45" s="774" t="s">
        <v>17</v>
      </c>
      <c r="U45" s="775">
        <f t="shared" si="13"/>
        <v>100</v>
      </c>
      <c r="V45" s="774" t="s">
        <v>17</v>
      </c>
      <c r="W45" s="775">
        <f t="shared" si="14"/>
        <v>100</v>
      </c>
      <c r="X45" s="1816"/>
      <c r="Y45" s="3273"/>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2"/>
      <c r="Q46" s="1813">
        <f t="shared" si="11"/>
        <v>111</v>
      </c>
      <c r="R46" s="774" t="s">
        <v>17</v>
      </c>
      <c r="S46" s="775">
        <f t="shared" si="12"/>
        <v>100</v>
      </c>
      <c r="T46" s="774" t="s">
        <v>17</v>
      </c>
      <c r="U46" s="775">
        <f t="shared" si="13"/>
        <v>100</v>
      </c>
      <c r="V46" s="774" t="s">
        <v>17</v>
      </c>
      <c r="W46" s="775">
        <f t="shared" si="14"/>
        <v>100</v>
      </c>
      <c r="X46" s="1816"/>
      <c r="Y46" s="3274"/>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6" t="str">
        <f>A47</f>
        <v>成交单价（元/平方米）</v>
      </c>
      <c r="Q47" s="3266"/>
      <c r="R47" s="3261">
        <f>E47</f>
        <v>0</v>
      </c>
      <c r="S47" s="3261"/>
      <c r="T47" s="3261">
        <f>G47</f>
        <v>0</v>
      </c>
      <c r="U47" s="3261"/>
      <c r="V47" s="3261">
        <f>I47</f>
        <v>0</v>
      </c>
      <c r="W47" s="3261"/>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北京富仁通商贸有限公司：</v>
      </c>
    </row>
    <row r="4" spans="1:1" ht="36">
      <c r="A4" s="1951" t="str">
        <f>"受贵公司委托，我公司对"&amp;项目基本情况!S1&amp;"进行了预评估。"</f>
        <v>受贵公司委托，我公司对北京市丰台区刘庄子119号1幢等18幢楼房地产抵押价值进行了预评估。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估价对象为北京市丰台区刘庄子119号1幢等18幢楼房地产，为所有。根据《国有土地使用证》[]，估价对象（分摊）出让国有建设用地使用权面积为8515.35平方米，建筑面积为7293.7平方米。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刘庄子119号1幢等18幢楼房地产,属开发建设的工业项目，该项目尚在开发建设中。根据《国有土地使用证》[]，估价对象（分摊）出让国有建设用地使用权面积为8515.35平方米，规划建筑面积为7293.7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为估价委托人在向北京银行双秀支行办理贷款手续过程中，确定房地产抵押贷款额度提供参考依据而评估房地产抵押价值。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2018年5月4日（评估专业人员实地查勘之日）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4日，估价对象规划用途为工业用地/工交，土地取得方式为出让，出让国有建设用地使用权剩余土地使用年限为34.26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工交，实际开发程度为宗地红线外“七通”（即通路、通电、通讯、通上水、通下水、、）、红线内场地平整条件下，剩余土地使用年限为34.26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本次评估采用的主估价方法为收益法和成本法。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7293.6999999999989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49" t="s">
        <v>2645</v>
      </c>
      <c r="D4" s="3250"/>
      <c r="E4" s="3251" t="s">
        <v>2646</v>
      </c>
      <c r="F4" s="3252"/>
      <c r="G4" s="3249" t="s">
        <v>2647</v>
      </c>
      <c r="H4" s="3250"/>
      <c r="I4" s="3249" t="s">
        <v>2648</v>
      </c>
      <c r="J4" s="3250"/>
      <c r="K4" s="610" t="s">
        <v>2649</v>
      </c>
      <c r="L4" s="1133"/>
      <c r="M4" s="1134"/>
      <c r="N4" s="1134"/>
      <c r="O4" s="1134"/>
      <c r="P4" s="3283" t="s">
        <v>2650</v>
      </c>
      <c r="Q4" s="3284"/>
      <c r="R4" s="3278" t="s">
        <v>2646</v>
      </c>
      <c r="S4" s="3279"/>
      <c r="T4" s="3278" t="s">
        <v>2647</v>
      </c>
      <c r="U4" s="3279"/>
      <c r="V4" s="3287" t="s">
        <v>2648</v>
      </c>
      <c r="W4" s="3287"/>
      <c r="X4" s="2675"/>
      <c r="Y4" s="3278" t="s">
        <v>2650</v>
      </c>
      <c r="Z4" s="3279"/>
      <c r="AA4" s="3277" t="s">
        <v>2646</v>
      </c>
      <c r="AB4" s="3277" t="s">
        <v>2647</v>
      </c>
      <c r="AC4" s="3280" t="s">
        <v>2648</v>
      </c>
    </row>
    <row r="5" spans="1:29" ht="15">
      <c r="A5" s="404"/>
      <c r="B5" s="405"/>
      <c r="C5" s="3242" t="s">
        <v>2541</v>
      </c>
      <c r="D5" s="3243"/>
      <c r="E5" s="3240" t="s">
        <v>2542</v>
      </c>
      <c r="F5" s="3241"/>
      <c r="G5" s="3242" t="s">
        <v>2543</v>
      </c>
      <c r="H5" s="3243"/>
      <c r="I5" s="3242" t="s">
        <v>2544</v>
      </c>
      <c r="J5" s="3243"/>
      <c r="K5" s="610"/>
      <c r="L5" s="1133"/>
      <c r="M5" s="1134"/>
      <c r="N5" s="1134"/>
      <c r="O5" s="1134"/>
      <c r="P5" s="3285"/>
      <c r="Q5" s="3256"/>
      <c r="R5" s="3238"/>
      <c r="S5" s="3239"/>
      <c r="T5" s="3238"/>
      <c r="U5" s="3239"/>
      <c r="V5" s="3261"/>
      <c r="W5" s="3261"/>
      <c r="X5" s="1816"/>
      <c r="Y5" s="3238"/>
      <c r="Z5" s="3239"/>
      <c r="AA5" s="3232"/>
      <c r="AB5" s="3232"/>
      <c r="AC5" s="3281"/>
    </row>
    <row r="6" spans="1:29" ht="15.75" thickBot="1">
      <c r="A6" s="406"/>
      <c r="B6" s="407"/>
      <c r="C6" s="3244" t="s">
        <v>2545</v>
      </c>
      <c r="D6" s="3245"/>
      <c r="E6" s="3246" t="s">
        <v>2545</v>
      </c>
      <c r="F6" s="3247"/>
      <c r="G6" s="3244" t="s">
        <v>2545</v>
      </c>
      <c r="H6" s="3245"/>
      <c r="I6" s="3244" t="s">
        <v>2545</v>
      </c>
      <c r="J6" s="3245"/>
      <c r="K6" s="610" t="s">
        <v>2546</v>
      </c>
      <c r="L6" s="1133"/>
      <c r="M6" s="1134"/>
      <c r="N6" s="1134"/>
      <c r="O6" s="1134"/>
      <c r="P6" s="3286"/>
      <c r="Q6" s="3258"/>
      <c r="R6" s="3238"/>
      <c r="S6" s="3239"/>
      <c r="T6" s="3259"/>
      <c r="U6" s="3260"/>
      <c r="V6" s="3261"/>
      <c r="W6" s="3261"/>
      <c r="X6" s="1816"/>
      <c r="Y6" s="3259"/>
      <c r="Z6" s="3260"/>
      <c r="AA6" s="3233"/>
      <c r="AB6" s="3233"/>
      <c r="AC6" s="3282"/>
    </row>
    <row r="7" spans="1:29" s="117" customFormat="1" ht="15.75" thickBot="1">
      <c r="A7" s="408" t="s">
        <v>2547</v>
      </c>
      <c r="B7" s="409"/>
      <c r="C7" s="410">
        <f>'数据-取费表'!B2</f>
        <v>43224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8" t="s">
        <v>2548</v>
      </c>
      <c r="Q7" s="3262"/>
      <c r="R7" s="770" t="s">
        <v>17</v>
      </c>
      <c r="S7" s="771">
        <f t="shared" ref="S7:S15" si="0">F7</f>
        <v>0</v>
      </c>
      <c r="T7" s="770" t="s">
        <v>17</v>
      </c>
      <c r="U7" s="771">
        <f t="shared" ref="U7:U15" si="1">H7</f>
        <v>0</v>
      </c>
      <c r="V7" s="770" t="s">
        <v>17</v>
      </c>
      <c r="W7" s="771">
        <f t="shared" ref="W7:W15" si="2">J7</f>
        <v>0</v>
      </c>
      <c r="X7" s="772"/>
      <c r="Y7" s="3234" t="s">
        <v>2548</v>
      </c>
      <c r="Z7" s="3235"/>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8" t="s">
        <v>2551</v>
      </c>
      <c r="Q8" s="3235"/>
      <c r="R8" s="770" t="s">
        <v>17</v>
      </c>
      <c r="S8" s="771">
        <f t="shared" si="0"/>
        <v>0</v>
      </c>
      <c r="T8" s="770" t="s">
        <v>17</v>
      </c>
      <c r="U8" s="771">
        <f t="shared" si="1"/>
        <v>0</v>
      </c>
      <c r="V8" s="770" t="s">
        <v>17</v>
      </c>
      <c r="W8" s="771">
        <f t="shared" si="2"/>
        <v>0</v>
      </c>
      <c r="X8" s="772"/>
      <c r="Y8" s="3234" t="s">
        <v>2551</v>
      </c>
      <c r="Z8" s="3235"/>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8"/>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48"/>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48"/>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48"/>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5" t="s">
        <v>2559</v>
      </c>
      <c r="Q15" s="1813" t="str">
        <f t="shared" si="6"/>
        <v>办公集聚程度</v>
      </c>
      <c r="R15" s="774" t="s">
        <v>17</v>
      </c>
      <c r="S15" s="775">
        <f t="shared" si="0"/>
        <v>100</v>
      </c>
      <c r="T15" s="774" t="s">
        <v>17</v>
      </c>
      <c r="U15" s="775">
        <f t="shared" si="1"/>
        <v>100</v>
      </c>
      <c r="V15" s="774" t="s">
        <v>17</v>
      </c>
      <c r="W15" s="775">
        <f t="shared" si="2"/>
        <v>100</v>
      </c>
      <c r="X15" s="1816"/>
      <c r="Y15" s="3268"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2679">
        <v>1</v>
      </c>
    </row>
    <row r="17" spans="1:29" ht="71.25">
      <c r="A17" s="428"/>
      <c r="B17" s="631" t="s">
        <v>2095</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6"/>
      <c r="Q22" s="1813"/>
      <c r="R22" s="774"/>
      <c r="S22" s="775"/>
      <c r="T22" s="774"/>
      <c r="U22" s="775"/>
      <c r="V22" s="774"/>
      <c r="W22" s="775"/>
      <c r="X22" s="1816"/>
      <c r="Y22" s="3269"/>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6"/>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6"/>
      <c r="Q25" s="1813" t="str">
        <f>B25</f>
        <v>毗邻道路的类型与等级</v>
      </c>
      <c r="R25" s="774" t="s">
        <v>17</v>
      </c>
      <c r="S25" s="775">
        <f>F25</f>
        <v>100</v>
      </c>
      <c r="T25" s="774" t="s">
        <v>17</v>
      </c>
      <c r="U25" s="775">
        <f>H25</f>
        <v>100</v>
      </c>
      <c r="V25" s="774" t="s">
        <v>17</v>
      </c>
      <c r="W25" s="775">
        <f>J25</f>
        <v>100</v>
      </c>
      <c r="X25" s="1816"/>
      <c r="Y25" s="326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6"/>
      <c r="Q26" s="1813"/>
      <c r="R26" s="774"/>
      <c r="S26" s="775"/>
      <c r="T26" s="774"/>
      <c r="U26" s="775"/>
      <c r="V26" s="774"/>
      <c r="W26" s="775"/>
      <c r="X26" s="1816"/>
      <c r="Y26" s="3269"/>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6"/>
      <c r="Q27" s="1813" t="str">
        <f t="shared" ref="Q27:Q47" si="11">B27</f>
        <v>楼层</v>
      </c>
      <c r="R27" s="774" t="s">
        <v>17</v>
      </c>
      <c r="S27" s="775">
        <f>F27</f>
        <v>100</v>
      </c>
      <c r="T27" s="774" t="s">
        <v>17</v>
      </c>
      <c r="U27" s="775">
        <f>H27</f>
        <v>100</v>
      </c>
      <c r="V27" s="774" t="s">
        <v>17</v>
      </c>
      <c r="W27" s="775">
        <f>J27</f>
        <v>100</v>
      </c>
      <c r="X27" s="1816"/>
      <c r="Y27" s="3269"/>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6"/>
      <c r="Q28" s="1798" t="str">
        <f t="shared" si="11"/>
        <v>朝向</v>
      </c>
      <c r="R28" s="770" t="s">
        <v>17</v>
      </c>
      <c r="S28" s="771">
        <f>F28</f>
        <v>100</v>
      </c>
      <c r="T28" s="770" t="s">
        <v>17</v>
      </c>
      <c r="U28" s="771">
        <f>H28</f>
        <v>100</v>
      </c>
      <c r="V28" s="770" t="s">
        <v>17</v>
      </c>
      <c r="W28" s="771">
        <f>J28</f>
        <v>100</v>
      </c>
      <c r="X28" s="772"/>
      <c r="Y28" s="326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6"/>
      <c r="Q29" s="1813">
        <f t="shared" si="11"/>
        <v>111</v>
      </c>
      <c r="R29" s="774" t="s">
        <v>17</v>
      </c>
      <c r="S29" s="775">
        <f t="shared" ref="S29:S47" si="12">F29</f>
        <v>100</v>
      </c>
      <c r="T29" s="774" t="s">
        <v>17</v>
      </c>
      <c r="U29" s="775">
        <f t="shared" ref="U29:U47" si="13">H29</f>
        <v>100</v>
      </c>
      <c r="V29" s="774" t="s">
        <v>17</v>
      </c>
      <c r="W29" s="775">
        <f t="shared" ref="W29:W47" si="14">J29</f>
        <v>100</v>
      </c>
      <c r="X29" s="1816"/>
      <c r="Y29" s="326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6"/>
      <c r="Q32" s="1813">
        <f t="shared" si="11"/>
        <v>111</v>
      </c>
      <c r="R32" s="774" t="s">
        <v>17</v>
      </c>
      <c r="S32" s="775">
        <f t="shared" si="12"/>
        <v>100</v>
      </c>
      <c r="T32" s="774" t="s">
        <v>17</v>
      </c>
      <c r="U32" s="775">
        <f t="shared" si="13"/>
        <v>100</v>
      </c>
      <c r="V32" s="774" t="s">
        <v>17</v>
      </c>
      <c r="W32" s="775">
        <f t="shared" si="14"/>
        <v>100</v>
      </c>
      <c r="X32" s="1816"/>
      <c r="Y32" s="3269"/>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0" t="s">
        <v>2564</v>
      </c>
      <c r="Q33" s="1813" t="str">
        <f t="shared" si="11"/>
        <v>建筑类型</v>
      </c>
      <c r="R33" s="774" t="s">
        <v>17</v>
      </c>
      <c r="S33" s="775">
        <f t="shared" si="12"/>
        <v>100</v>
      </c>
      <c r="T33" s="774" t="s">
        <v>17</v>
      </c>
      <c r="U33" s="775">
        <f t="shared" si="13"/>
        <v>100</v>
      </c>
      <c r="V33" s="774" t="s">
        <v>17</v>
      </c>
      <c r="W33" s="775">
        <f t="shared" si="14"/>
        <v>100</v>
      </c>
      <c r="X33" s="1816"/>
      <c r="Y33" s="3273"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1"/>
      <c r="Q34" s="776" t="str">
        <f t="shared" si="11"/>
        <v>项目建筑规模</v>
      </c>
      <c r="R34" s="777" t="s">
        <v>17</v>
      </c>
      <c r="S34" s="778" t="e">
        <f t="shared" si="12"/>
        <v>#N/A</v>
      </c>
      <c r="T34" s="777" t="s">
        <v>17</v>
      </c>
      <c r="U34" s="778" t="e">
        <f t="shared" si="13"/>
        <v>#N/A</v>
      </c>
      <c r="V34" s="777" t="s">
        <v>17</v>
      </c>
      <c r="W34" s="778" t="e">
        <f t="shared" si="14"/>
        <v>#N/A</v>
      </c>
      <c r="X34" s="779"/>
      <c r="Y34" s="3273"/>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1"/>
      <c r="Q35" s="1813" t="str">
        <f t="shared" si="11"/>
        <v>建筑结构</v>
      </c>
      <c r="R35" s="774" t="s">
        <v>17</v>
      </c>
      <c r="S35" s="775">
        <f t="shared" si="12"/>
        <v>100</v>
      </c>
      <c r="T35" s="774" t="s">
        <v>17</v>
      </c>
      <c r="U35" s="775">
        <f t="shared" si="13"/>
        <v>100</v>
      </c>
      <c r="V35" s="774" t="s">
        <v>17</v>
      </c>
      <c r="W35" s="775">
        <f t="shared" si="14"/>
        <v>100</v>
      </c>
      <c r="X35" s="1816"/>
      <c r="Y35" s="3273"/>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1"/>
      <c r="Q36" s="1813" t="str">
        <f t="shared" si="11"/>
        <v>公共部分装修</v>
      </c>
      <c r="R36" s="774" t="s">
        <v>17</v>
      </c>
      <c r="S36" s="775">
        <f t="shared" si="12"/>
        <v>100</v>
      </c>
      <c r="T36" s="774" t="s">
        <v>17</v>
      </c>
      <c r="U36" s="775">
        <f t="shared" si="13"/>
        <v>100</v>
      </c>
      <c r="V36" s="774" t="s">
        <v>17</v>
      </c>
      <c r="W36" s="775">
        <f t="shared" si="14"/>
        <v>100</v>
      </c>
      <c r="X36" s="1816"/>
      <c r="Y36" s="3273"/>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1"/>
      <c r="Q37" s="1813" t="str">
        <f t="shared" si="11"/>
        <v>成新度</v>
      </c>
      <c r="R37" s="774" t="s">
        <v>17</v>
      </c>
      <c r="S37" s="775" t="e">
        <f t="shared" si="12"/>
        <v>#N/A</v>
      </c>
      <c r="T37" s="774" t="s">
        <v>17</v>
      </c>
      <c r="U37" s="775" t="e">
        <f t="shared" si="13"/>
        <v>#N/A</v>
      </c>
      <c r="V37" s="774" t="s">
        <v>17</v>
      </c>
      <c r="W37" s="775" t="e">
        <f t="shared" si="14"/>
        <v>#N/A</v>
      </c>
      <c r="X37" s="1816"/>
      <c r="Y37" s="3273"/>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1"/>
      <c r="Q38" s="1798" t="str">
        <f t="shared" si="11"/>
        <v>写字楼等级</v>
      </c>
      <c r="R38" s="770" t="s">
        <v>17</v>
      </c>
      <c r="S38" s="771">
        <f t="shared" si="12"/>
        <v>100</v>
      </c>
      <c r="T38" s="770" t="s">
        <v>17</v>
      </c>
      <c r="U38" s="771">
        <f t="shared" si="13"/>
        <v>100</v>
      </c>
      <c r="V38" s="770" t="s">
        <v>17</v>
      </c>
      <c r="W38" s="771">
        <f t="shared" si="14"/>
        <v>100</v>
      </c>
      <c r="X38" s="772"/>
      <c r="Y38" s="3273"/>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1" t="s">
        <v>2564</v>
      </c>
      <c r="Q39" s="1813" t="str">
        <f t="shared" si="11"/>
        <v>物业管理</v>
      </c>
      <c r="R39" s="774" t="s">
        <v>17</v>
      </c>
      <c r="S39" s="775">
        <f t="shared" si="12"/>
        <v>100</v>
      </c>
      <c r="T39" s="774" t="s">
        <v>17</v>
      </c>
      <c r="U39" s="775">
        <f t="shared" si="13"/>
        <v>100</v>
      </c>
      <c r="V39" s="774" t="s">
        <v>17</v>
      </c>
      <c r="W39" s="775">
        <f t="shared" si="14"/>
        <v>100</v>
      </c>
      <c r="X39" s="1816"/>
      <c r="Y39" s="3273"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1"/>
      <c r="Q40" s="1813" t="str">
        <f t="shared" si="11"/>
        <v>市政基础设施</v>
      </c>
      <c r="R40" s="774" t="s">
        <v>17</v>
      </c>
      <c r="S40" s="775">
        <f t="shared" si="12"/>
        <v>100</v>
      </c>
      <c r="T40" s="774" t="s">
        <v>17</v>
      </c>
      <c r="U40" s="775">
        <f t="shared" si="13"/>
        <v>100</v>
      </c>
      <c r="V40" s="774" t="s">
        <v>17</v>
      </c>
      <c r="W40" s="775">
        <f t="shared" si="14"/>
        <v>100</v>
      </c>
      <c r="X40" s="1816"/>
      <c r="Y40" s="3273"/>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1"/>
      <c r="Q41" s="1813" t="str">
        <f t="shared" si="11"/>
        <v>层高</v>
      </c>
      <c r="R41" s="774" t="s">
        <v>17</v>
      </c>
      <c r="S41" s="775">
        <f t="shared" si="12"/>
        <v>100</v>
      </c>
      <c r="T41" s="774" t="s">
        <v>17</v>
      </c>
      <c r="U41" s="775">
        <f t="shared" si="13"/>
        <v>100</v>
      </c>
      <c r="V41" s="774" t="s">
        <v>17</v>
      </c>
      <c r="W41" s="775">
        <f t="shared" si="14"/>
        <v>100</v>
      </c>
      <c r="X41" s="1816"/>
      <c r="Y41" s="3273"/>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1"/>
      <c r="Q42" s="776" t="str">
        <f t="shared" si="11"/>
        <v>单套建筑面积</v>
      </c>
      <c r="R42" s="777" t="s">
        <v>17</v>
      </c>
      <c r="S42" s="778">
        <f t="shared" si="12"/>
        <v>100</v>
      </c>
      <c r="T42" s="777" t="s">
        <v>17</v>
      </c>
      <c r="U42" s="778">
        <f t="shared" si="13"/>
        <v>100</v>
      </c>
      <c r="V42" s="777" t="s">
        <v>17</v>
      </c>
      <c r="W42" s="778">
        <f t="shared" si="14"/>
        <v>100</v>
      </c>
      <c r="X42" s="779"/>
      <c r="Y42" s="3273"/>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1"/>
      <c r="Q43" s="1813" t="str">
        <f t="shared" si="11"/>
        <v>内部装修</v>
      </c>
      <c r="R43" s="774" t="s">
        <v>17</v>
      </c>
      <c r="S43" s="775">
        <f t="shared" si="12"/>
        <v>100</v>
      </c>
      <c r="T43" s="774" t="s">
        <v>17</v>
      </c>
      <c r="U43" s="775">
        <f t="shared" si="13"/>
        <v>100</v>
      </c>
      <c r="V43" s="774" t="s">
        <v>17</v>
      </c>
      <c r="W43" s="775">
        <f t="shared" si="14"/>
        <v>100</v>
      </c>
      <c r="X43" s="1816"/>
      <c r="Y43" s="3273"/>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1"/>
      <c r="Q44" s="1813" t="str">
        <f t="shared" si="11"/>
        <v>内部装修维护情况</v>
      </c>
      <c r="R44" s="774" t="s">
        <v>17</v>
      </c>
      <c r="S44" s="775">
        <f t="shared" si="12"/>
        <v>100</v>
      </c>
      <c r="T44" s="774" t="s">
        <v>17</v>
      </c>
      <c r="U44" s="775">
        <f t="shared" si="13"/>
        <v>100</v>
      </c>
      <c r="V44" s="774" t="s">
        <v>17</v>
      </c>
      <c r="W44" s="775">
        <f t="shared" si="14"/>
        <v>100</v>
      </c>
      <c r="X44" s="1816"/>
      <c r="Y44" s="327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1"/>
      <c r="Q45" s="1798">
        <f t="shared" si="11"/>
        <v>111</v>
      </c>
      <c r="R45" s="770" t="s">
        <v>17</v>
      </c>
      <c r="S45" s="771">
        <f t="shared" si="12"/>
        <v>100</v>
      </c>
      <c r="T45" s="770" t="s">
        <v>17</v>
      </c>
      <c r="U45" s="771">
        <f t="shared" si="13"/>
        <v>100</v>
      </c>
      <c r="V45" s="770" t="s">
        <v>17</v>
      </c>
      <c r="W45" s="771">
        <f t="shared" si="14"/>
        <v>100</v>
      </c>
      <c r="X45" s="772"/>
      <c r="Y45" s="327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2"/>
      <c r="Q47" s="1813">
        <f t="shared" si="11"/>
        <v>111</v>
      </c>
      <c r="R47" s="774" t="s">
        <v>17</v>
      </c>
      <c r="S47" s="775">
        <f t="shared" si="12"/>
        <v>100</v>
      </c>
      <c r="T47" s="774" t="s">
        <v>17</v>
      </c>
      <c r="U47" s="775">
        <f t="shared" si="13"/>
        <v>100</v>
      </c>
      <c r="V47" s="774" t="s">
        <v>17</v>
      </c>
      <c r="W47" s="775">
        <f t="shared" si="14"/>
        <v>100</v>
      </c>
      <c r="X47" s="1816"/>
      <c r="Y47" s="3274"/>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48" t="str">
        <f>A48</f>
        <v>成交单价（元/平方米）</v>
      </c>
      <c r="Q48" s="3266"/>
      <c r="R48" s="3267">
        <f>E48</f>
        <v>0</v>
      </c>
      <c r="S48" s="3267"/>
      <c r="T48" s="3267">
        <f>G48</f>
        <v>0</v>
      </c>
      <c r="U48" s="3267"/>
      <c r="V48" s="3267">
        <f>I48</f>
        <v>0</v>
      </c>
      <c r="W48" s="326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48"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89" t="str">
        <f>A50</f>
        <v>估价对象XX用房的比较价值（楼面单价，元/平方米）</v>
      </c>
      <c r="Q50" s="3290"/>
      <c r="R50" s="3291" t="e">
        <f>IF(F1="售价",ROUND(AVERAGE(R49:V49),0),ROUND(AVERAGE(R49:V49),1))</f>
        <v>#DIV/0!</v>
      </c>
      <c r="S50" s="3291"/>
      <c r="T50" s="3291"/>
      <c r="U50" s="3291"/>
      <c r="V50" s="3291"/>
      <c r="W50" s="329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7293.6999999999989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9" t="s">
        <v>2645</v>
      </c>
      <c r="D4" s="3250"/>
      <c r="E4" s="3251" t="s">
        <v>2646</v>
      </c>
      <c r="F4" s="3252"/>
      <c r="G4" s="3249" t="s">
        <v>2647</v>
      </c>
      <c r="H4" s="3250"/>
      <c r="I4" s="3249" t="s">
        <v>2648</v>
      </c>
      <c r="J4" s="3250"/>
      <c r="K4" s="610" t="s">
        <v>2649</v>
      </c>
      <c r="L4" s="1133"/>
      <c r="M4" s="1134"/>
      <c r="N4" s="1134"/>
      <c r="O4" s="1134"/>
      <c r="P4" s="3253" t="s">
        <v>2650</v>
      </c>
      <c r="Q4" s="3254"/>
      <c r="R4" s="3236" t="s">
        <v>2646</v>
      </c>
      <c r="S4" s="3237"/>
      <c r="T4" s="3236" t="s">
        <v>2647</v>
      </c>
      <c r="U4" s="3237"/>
      <c r="V4" s="3261" t="s">
        <v>2648</v>
      </c>
      <c r="W4" s="3261"/>
      <c r="X4" s="1816"/>
      <c r="Y4" s="3236" t="s">
        <v>2650</v>
      </c>
      <c r="Z4" s="3237"/>
      <c r="AA4" s="3231" t="s">
        <v>2646</v>
      </c>
      <c r="AB4" s="3232" t="s">
        <v>2647</v>
      </c>
      <c r="AC4" s="3231" t="s">
        <v>2648</v>
      </c>
    </row>
    <row r="5" spans="1:29" ht="15">
      <c r="A5" s="404"/>
      <c r="B5" s="405"/>
      <c r="C5" s="3242" t="s">
        <v>2541</v>
      </c>
      <c r="D5" s="3243"/>
      <c r="E5" s="3240" t="s">
        <v>2542</v>
      </c>
      <c r="F5" s="3241"/>
      <c r="G5" s="3242" t="s">
        <v>2543</v>
      </c>
      <c r="H5" s="3243"/>
      <c r="I5" s="3242" t="s">
        <v>2544</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2545</v>
      </c>
      <c r="D6" s="3245"/>
      <c r="E6" s="3246" t="s">
        <v>2545</v>
      </c>
      <c r="F6" s="3247"/>
      <c r="G6" s="3244" t="s">
        <v>2545</v>
      </c>
      <c r="H6" s="3245"/>
      <c r="I6" s="3244" t="s">
        <v>2545</v>
      </c>
      <c r="J6" s="3245"/>
      <c r="K6" s="610" t="s">
        <v>2546</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2547</v>
      </c>
      <c r="B7" s="409"/>
      <c r="C7" s="410">
        <f>'数据-取费表'!B2</f>
        <v>43224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4" t="s">
        <v>2548</v>
      </c>
      <c r="Q7" s="3262"/>
      <c r="R7" s="770" t="s">
        <v>17</v>
      </c>
      <c r="S7" s="771">
        <f t="shared" ref="S7:S15" si="0">F7</f>
        <v>0</v>
      </c>
      <c r="T7" s="770" t="s">
        <v>17</v>
      </c>
      <c r="U7" s="771">
        <f t="shared" ref="U7:U15" si="1">H7</f>
        <v>0</v>
      </c>
      <c r="V7" s="770" t="s">
        <v>17</v>
      </c>
      <c r="W7" s="771">
        <f t="shared" ref="W7:W15" si="2">J7</f>
        <v>0</v>
      </c>
      <c r="X7" s="772"/>
      <c r="Y7" s="3234" t="s">
        <v>2548</v>
      </c>
      <c r="Z7" s="323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4" t="s">
        <v>2551</v>
      </c>
      <c r="Q8" s="3235"/>
      <c r="R8" s="770" t="s">
        <v>17</v>
      </c>
      <c r="S8" s="771">
        <f t="shared" si="0"/>
        <v>0</v>
      </c>
      <c r="T8" s="770" t="s">
        <v>17</v>
      </c>
      <c r="U8" s="771">
        <f t="shared" si="1"/>
        <v>0</v>
      </c>
      <c r="V8" s="770" t="s">
        <v>17</v>
      </c>
      <c r="W8" s="771">
        <f t="shared" si="2"/>
        <v>0</v>
      </c>
      <c r="X8" s="772"/>
      <c r="Y8" s="3234" t="s">
        <v>2551</v>
      </c>
      <c r="Z8" s="323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451" t="s">
        <v>2095</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9"/>
      <c r="Q18" s="1813"/>
      <c r="R18" s="774"/>
      <c r="S18" s="775"/>
      <c r="T18" s="774"/>
      <c r="U18" s="775"/>
      <c r="V18" s="774"/>
      <c r="W18" s="775"/>
      <c r="X18" s="1816"/>
      <c r="Y18" s="3269"/>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9"/>
      <c r="Q20" s="1813"/>
      <c r="R20" s="774"/>
      <c r="S20" s="775"/>
      <c r="T20" s="774"/>
      <c r="U20" s="775"/>
      <c r="V20" s="774"/>
      <c r="W20" s="775"/>
      <c r="X20" s="1816"/>
      <c r="Y20" s="3269"/>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9"/>
      <c r="Q22" s="1813"/>
      <c r="R22" s="774"/>
      <c r="S22" s="775"/>
      <c r="T22" s="774"/>
      <c r="U22" s="775"/>
      <c r="V22" s="774"/>
      <c r="W22" s="775"/>
      <c r="X22" s="1816"/>
      <c r="Y22" s="3269"/>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9"/>
      <c r="Q24" s="1813"/>
      <c r="R24" s="774"/>
      <c r="S24" s="775"/>
      <c r="T24" s="774"/>
      <c r="U24" s="775"/>
      <c r="V24" s="774"/>
      <c r="W24" s="775"/>
      <c r="X24" s="1816"/>
      <c r="Y24" s="32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9"/>
      <c r="Q25" s="1813">
        <f>B25</f>
        <v>111</v>
      </c>
      <c r="R25" s="774" t="s">
        <v>17</v>
      </c>
      <c r="S25" s="775">
        <f>F25</f>
        <v>100</v>
      </c>
      <c r="T25" s="774" t="s">
        <v>17</v>
      </c>
      <c r="U25" s="775">
        <f>H25</f>
        <v>100</v>
      </c>
      <c r="V25" s="774" t="s">
        <v>17</v>
      </c>
      <c r="W25" s="775">
        <f>J25</f>
        <v>100</v>
      </c>
      <c r="X25" s="1816"/>
      <c r="Y25" s="32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9"/>
      <c r="Q26" s="1813">
        <f t="shared" ref="Q26:Q40" si="11">B26</f>
        <v>111</v>
      </c>
      <c r="R26" s="774" t="s">
        <v>17</v>
      </c>
      <c r="S26" s="775">
        <f>F26</f>
        <v>100</v>
      </c>
      <c r="T26" s="774" t="s">
        <v>17</v>
      </c>
      <c r="U26" s="775">
        <f>H26</f>
        <v>100</v>
      </c>
      <c r="V26" s="774" t="s">
        <v>17</v>
      </c>
      <c r="W26" s="775">
        <f>J26</f>
        <v>100</v>
      </c>
      <c r="X26" s="1816"/>
      <c r="Y26" s="32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9"/>
      <c r="Q27" s="1798">
        <f t="shared" si="11"/>
        <v>111</v>
      </c>
      <c r="R27" s="770" t="s">
        <v>17</v>
      </c>
      <c r="S27" s="771">
        <f>F27</f>
        <v>100</v>
      </c>
      <c r="T27" s="770" t="s">
        <v>17</v>
      </c>
      <c r="U27" s="771">
        <f>H27</f>
        <v>100</v>
      </c>
      <c r="V27" s="770" t="s">
        <v>17</v>
      </c>
      <c r="W27" s="771">
        <f>J27</f>
        <v>100</v>
      </c>
      <c r="X27" s="772"/>
      <c r="Y27" s="32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9"/>
      <c r="Q28" s="1813">
        <f t="shared" si="11"/>
        <v>111</v>
      </c>
      <c r="R28" s="774" t="s">
        <v>17</v>
      </c>
      <c r="S28" s="775">
        <f t="shared" ref="S28:S40" si="12">F28</f>
        <v>100</v>
      </c>
      <c r="T28" s="774" t="s">
        <v>17</v>
      </c>
      <c r="U28" s="775">
        <f t="shared" ref="U28:U40" si="13">H28</f>
        <v>100</v>
      </c>
      <c r="V28" s="774" t="s">
        <v>17</v>
      </c>
      <c r="W28" s="775">
        <f t="shared" ref="W28:W40" si="14">J28</f>
        <v>100</v>
      </c>
      <c r="X28" s="1816"/>
      <c r="Y28" s="3269"/>
      <c r="Z28" s="1817">
        <f t="shared" ref="Z28:Z40" si="15">Q28</f>
        <v>111</v>
      </c>
      <c r="AA28" s="1814">
        <f t="shared" si="3"/>
        <v>1</v>
      </c>
      <c r="AB28" s="1814">
        <f t="shared" si="4"/>
        <v>1</v>
      </c>
      <c r="AC28" s="1814">
        <f t="shared" si="5"/>
        <v>1</v>
      </c>
    </row>
    <row r="29" spans="1:29" ht="1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92" t="s">
        <v>2564</v>
      </c>
      <c r="Q29" s="1813" t="str">
        <f t="shared" si="11"/>
        <v>建筑类型</v>
      </c>
      <c r="R29" s="774" t="s">
        <v>17</v>
      </c>
      <c r="S29" s="775">
        <f t="shared" si="12"/>
        <v>100</v>
      </c>
      <c r="T29" s="774" t="s">
        <v>17</v>
      </c>
      <c r="U29" s="775">
        <f t="shared" si="13"/>
        <v>100</v>
      </c>
      <c r="V29" s="774" t="s">
        <v>17</v>
      </c>
      <c r="W29" s="775">
        <f t="shared" si="14"/>
        <v>100</v>
      </c>
      <c r="X29" s="1816"/>
      <c r="Y29" s="327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3"/>
      <c r="Q30" s="776" t="str">
        <f t="shared" si="11"/>
        <v>项目建筑规模</v>
      </c>
      <c r="R30" s="777" t="s">
        <v>17</v>
      </c>
      <c r="S30" s="778" t="e">
        <f t="shared" si="12"/>
        <v>#N/A</v>
      </c>
      <c r="T30" s="777" t="s">
        <v>17</v>
      </c>
      <c r="U30" s="778" t="e">
        <f t="shared" si="13"/>
        <v>#N/A</v>
      </c>
      <c r="V30" s="777" t="s">
        <v>17</v>
      </c>
      <c r="W30" s="778" t="e">
        <f t="shared" si="14"/>
        <v>#N/A</v>
      </c>
      <c r="X30" s="779"/>
      <c r="Y30" s="327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3"/>
      <c r="Q31" s="1813" t="str">
        <f t="shared" si="11"/>
        <v>建筑结构</v>
      </c>
      <c r="R31" s="774" t="s">
        <v>17</v>
      </c>
      <c r="S31" s="775">
        <f t="shared" si="12"/>
        <v>100</v>
      </c>
      <c r="T31" s="774" t="s">
        <v>17</v>
      </c>
      <c r="U31" s="775">
        <f t="shared" si="13"/>
        <v>100</v>
      </c>
      <c r="V31" s="774" t="s">
        <v>17</v>
      </c>
      <c r="W31" s="775">
        <f t="shared" si="14"/>
        <v>100</v>
      </c>
      <c r="X31" s="1816"/>
      <c r="Y31" s="327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3"/>
      <c r="Q32" s="1813" t="str">
        <f t="shared" si="11"/>
        <v>公共部分装修</v>
      </c>
      <c r="R32" s="774" t="s">
        <v>17</v>
      </c>
      <c r="S32" s="775">
        <f t="shared" si="12"/>
        <v>100</v>
      </c>
      <c r="T32" s="774" t="s">
        <v>17</v>
      </c>
      <c r="U32" s="775">
        <f t="shared" si="13"/>
        <v>100</v>
      </c>
      <c r="V32" s="774" t="s">
        <v>17</v>
      </c>
      <c r="W32" s="775">
        <f t="shared" si="14"/>
        <v>100</v>
      </c>
      <c r="X32" s="1816"/>
      <c r="Y32" s="327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3"/>
      <c r="Q33" s="1813" t="str">
        <f t="shared" si="11"/>
        <v>成新度</v>
      </c>
      <c r="R33" s="774" t="s">
        <v>17</v>
      </c>
      <c r="S33" s="775" t="e">
        <f t="shared" si="12"/>
        <v>#N/A</v>
      </c>
      <c r="T33" s="774" t="s">
        <v>17</v>
      </c>
      <c r="U33" s="775" t="e">
        <f t="shared" si="13"/>
        <v>#N/A</v>
      </c>
      <c r="V33" s="774" t="s">
        <v>17</v>
      </c>
      <c r="W33" s="775" t="e">
        <f t="shared" si="14"/>
        <v>#N/A</v>
      </c>
      <c r="X33" s="1816"/>
      <c r="Y33" s="327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3"/>
      <c r="Q34" s="1798" t="str">
        <f t="shared" si="11"/>
        <v>物业管理</v>
      </c>
      <c r="R34" s="770" t="s">
        <v>17</v>
      </c>
      <c r="S34" s="771">
        <f t="shared" si="12"/>
        <v>100</v>
      </c>
      <c r="T34" s="770" t="s">
        <v>17</v>
      </c>
      <c r="U34" s="771">
        <f t="shared" si="13"/>
        <v>100</v>
      </c>
      <c r="V34" s="770" t="s">
        <v>17</v>
      </c>
      <c r="W34" s="771">
        <f t="shared" si="14"/>
        <v>100</v>
      </c>
      <c r="X34" s="772"/>
      <c r="Y34" s="327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3" t="s">
        <v>2564</v>
      </c>
      <c r="Q35" s="1813" t="str">
        <f t="shared" si="11"/>
        <v>市政基础设施</v>
      </c>
      <c r="R35" s="774" t="s">
        <v>17</v>
      </c>
      <c r="S35" s="775">
        <f t="shared" si="12"/>
        <v>100</v>
      </c>
      <c r="T35" s="774" t="s">
        <v>17</v>
      </c>
      <c r="U35" s="775">
        <f t="shared" si="13"/>
        <v>100</v>
      </c>
      <c r="V35" s="774" t="s">
        <v>17</v>
      </c>
      <c r="W35" s="775">
        <f t="shared" si="14"/>
        <v>100</v>
      </c>
      <c r="X35" s="1816"/>
      <c r="Y35" s="327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3"/>
      <c r="Q36" s="1813" t="str">
        <f t="shared" si="11"/>
        <v>内部装修</v>
      </c>
      <c r="R36" s="774" t="s">
        <v>17</v>
      </c>
      <c r="S36" s="775">
        <f t="shared" si="12"/>
        <v>100</v>
      </c>
      <c r="T36" s="774" t="s">
        <v>17</v>
      </c>
      <c r="U36" s="775">
        <f t="shared" si="13"/>
        <v>100</v>
      </c>
      <c r="V36" s="774" t="s">
        <v>17</v>
      </c>
      <c r="W36" s="775">
        <f t="shared" si="14"/>
        <v>100</v>
      </c>
      <c r="X36" s="1816"/>
      <c r="Y36" s="327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3"/>
      <c r="Q37" s="1813" t="str">
        <f t="shared" si="11"/>
        <v>内部装修状况</v>
      </c>
      <c r="R37" s="774" t="s">
        <v>17</v>
      </c>
      <c r="S37" s="775">
        <f t="shared" si="12"/>
        <v>100</v>
      </c>
      <c r="T37" s="774" t="s">
        <v>17</v>
      </c>
      <c r="U37" s="775">
        <f t="shared" si="13"/>
        <v>100</v>
      </c>
      <c r="V37" s="774" t="s">
        <v>17</v>
      </c>
      <c r="W37" s="775">
        <f t="shared" si="14"/>
        <v>100</v>
      </c>
      <c r="X37" s="1816"/>
      <c r="Y37" s="32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3"/>
      <c r="Q38" s="776">
        <f t="shared" si="11"/>
        <v>111</v>
      </c>
      <c r="R38" s="777" t="s">
        <v>17</v>
      </c>
      <c r="S38" s="778">
        <f t="shared" si="12"/>
        <v>100</v>
      </c>
      <c r="T38" s="777" t="s">
        <v>17</v>
      </c>
      <c r="U38" s="778">
        <f t="shared" si="13"/>
        <v>100</v>
      </c>
      <c r="V38" s="777" t="s">
        <v>17</v>
      </c>
      <c r="W38" s="778">
        <f t="shared" si="14"/>
        <v>100</v>
      </c>
      <c r="X38" s="779"/>
      <c r="Y38" s="32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3"/>
      <c r="Q39" s="1813">
        <f t="shared" si="11"/>
        <v>111</v>
      </c>
      <c r="R39" s="774" t="s">
        <v>17</v>
      </c>
      <c r="S39" s="775">
        <f t="shared" si="12"/>
        <v>100</v>
      </c>
      <c r="T39" s="774" t="s">
        <v>17</v>
      </c>
      <c r="U39" s="775">
        <f t="shared" si="13"/>
        <v>100</v>
      </c>
      <c r="V39" s="774" t="s">
        <v>17</v>
      </c>
      <c r="W39" s="775">
        <f t="shared" si="14"/>
        <v>100</v>
      </c>
      <c r="X39" s="1816"/>
      <c r="Y39" s="3273"/>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4"/>
      <c r="Q40" s="1813">
        <f t="shared" si="11"/>
        <v>111</v>
      </c>
      <c r="R40" s="774" t="s">
        <v>17</v>
      </c>
      <c r="S40" s="775">
        <f t="shared" si="12"/>
        <v>100</v>
      </c>
      <c r="T40" s="774" t="s">
        <v>17</v>
      </c>
      <c r="U40" s="775">
        <f t="shared" si="13"/>
        <v>100</v>
      </c>
      <c r="V40" s="774" t="s">
        <v>17</v>
      </c>
      <c r="W40" s="775">
        <f t="shared" si="14"/>
        <v>100</v>
      </c>
      <c r="X40" s="1816"/>
      <c r="Y40" s="3274"/>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49" t="s">
        <v>2645</v>
      </c>
      <c r="D4" s="3250"/>
      <c r="E4" s="3251" t="s">
        <v>2646</v>
      </c>
      <c r="F4" s="3252"/>
      <c r="G4" s="3249" t="s">
        <v>2647</v>
      </c>
      <c r="H4" s="3250"/>
      <c r="I4" s="3249" t="s">
        <v>2648</v>
      </c>
      <c r="J4" s="3250"/>
      <c r="K4" s="610" t="s">
        <v>2649</v>
      </c>
      <c r="L4" s="1133"/>
      <c r="M4" s="1134"/>
      <c r="N4" s="1134"/>
      <c r="O4" s="1134"/>
      <c r="P4" s="3253" t="s">
        <v>2650</v>
      </c>
      <c r="Q4" s="3254"/>
      <c r="R4" s="3236" t="s">
        <v>2646</v>
      </c>
      <c r="S4" s="3237"/>
      <c r="T4" s="3236" t="s">
        <v>2647</v>
      </c>
      <c r="U4" s="3237"/>
      <c r="V4" s="3261" t="s">
        <v>2648</v>
      </c>
      <c r="W4" s="3261"/>
      <c r="X4" s="1816"/>
      <c r="Y4" s="3236" t="s">
        <v>2650</v>
      </c>
      <c r="Z4" s="3237"/>
      <c r="AA4" s="3231" t="s">
        <v>2646</v>
      </c>
      <c r="AB4" s="3232" t="s">
        <v>2647</v>
      </c>
      <c r="AC4" s="3231" t="s">
        <v>2648</v>
      </c>
    </row>
    <row r="5" spans="1:29" ht="15">
      <c r="A5" s="404"/>
      <c r="B5" s="405"/>
      <c r="C5" s="3242" t="s">
        <v>2541</v>
      </c>
      <c r="D5" s="3243"/>
      <c r="E5" s="3240" t="s">
        <v>2542</v>
      </c>
      <c r="F5" s="3241"/>
      <c r="G5" s="3242" t="s">
        <v>2543</v>
      </c>
      <c r="H5" s="3243"/>
      <c r="I5" s="3242" t="s">
        <v>2544</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2545</v>
      </c>
      <c r="D6" s="3245"/>
      <c r="E6" s="3246" t="s">
        <v>2545</v>
      </c>
      <c r="F6" s="3247"/>
      <c r="G6" s="3244" t="s">
        <v>2545</v>
      </c>
      <c r="H6" s="3245"/>
      <c r="I6" s="3244" t="s">
        <v>2545</v>
      </c>
      <c r="J6" s="3245"/>
      <c r="K6" s="610" t="s">
        <v>2546</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2547</v>
      </c>
      <c r="B7" s="409"/>
      <c r="C7" s="410">
        <f>'数据-取费表'!B2</f>
        <v>43224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4" t="s">
        <v>2548</v>
      </c>
      <c r="Q7" s="3262"/>
      <c r="R7" s="770" t="s">
        <v>17</v>
      </c>
      <c r="S7" s="771">
        <f t="shared" ref="S7:S14" si="0">F7</f>
        <v>0</v>
      </c>
      <c r="T7" s="770" t="s">
        <v>17</v>
      </c>
      <c r="U7" s="771">
        <f t="shared" ref="U7:U14" si="1">H7</f>
        <v>0</v>
      </c>
      <c r="V7" s="770" t="s">
        <v>17</v>
      </c>
      <c r="W7" s="771">
        <f t="shared" ref="W7:W14" si="2">J7</f>
        <v>0</v>
      </c>
      <c r="X7" s="772"/>
      <c r="Y7" s="3234" t="s">
        <v>2548</v>
      </c>
      <c r="Z7" s="323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4" t="s">
        <v>2551</v>
      </c>
      <c r="Q8" s="3235"/>
      <c r="R8" s="770" t="s">
        <v>17</v>
      </c>
      <c r="S8" s="771">
        <f t="shared" si="0"/>
        <v>0</v>
      </c>
      <c r="T8" s="770" t="s">
        <v>17</v>
      </c>
      <c r="U8" s="771">
        <f t="shared" si="1"/>
        <v>0</v>
      </c>
      <c r="V8" s="770" t="s">
        <v>17</v>
      </c>
      <c r="W8" s="771">
        <f t="shared" si="2"/>
        <v>0</v>
      </c>
      <c r="X8" s="772"/>
      <c r="Y8" s="3234" t="s">
        <v>2551</v>
      </c>
      <c r="Z8" s="323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6" t="s">
        <v>2554</v>
      </c>
      <c r="Q9" s="1798" t="str">
        <f t="shared" ref="Q9:Q14" si="6">B9</f>
        <v>用途</v>
      </c>
      <c r="R9" s="770" t="s">
        <v>17</v>
      </c>
      <c r="S9" s="771">
        <f t="shared" si="0"/>
        <v>100</v>
      </c>
      <c r="T9" s="770" t="s">
        <v>17</v>
      </c>
      <c r="U9" s="771">
        <f t="shared" si="1"/>
        <v>100</v>
      </c>
      <c r="V9" s="770" t="s">
        <v>17</v>
      </c>
      <c r="W9" s="771">
        <f t="shared" si="2"/>
        <v>100</v>
      </c>
      <c r="X9" s="772"/>
      <c r="Y9" s="306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6"/>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9"/>
      <c r="Q15" s="1813"/>
      <c r="R15" s="774"/>
      <c r="S15" s="775"/>
      <c r="T15" s="774"/>
      <c r="U15" s="775"/>
      <c r="V15" s="774"/>
      <c r="W15" s="775"/>
      <c r="X15" s="1816"/>
      <c r="Y15" s="3269"/>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9"/>
      <c r="Q17" s="1813"/>
      <c r="R17" s="774"/>
      <c r="S17" s="775"/>
      <c r="T17" s="774"/>
      <c r="U17" s="775"/>
      <c r="V17" s="774"/>
      <c r="W17" s="775"/>
      <c r="X17" s="1816"/>
      <c r="Y17" s="3269"/>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9"/>
      <c r="Q19" s="1813"/>
      <c r="R19" s="774"/>
      <c r="S19" s="775"/>
      <c r="T19" s="774"/>
      <c r="U19" s="775"/>
      <c r="V19" s="774"/>
      <c r="W19" s="775"/>
      <c r="X19" s="1816"/>
      <c r="Y19" s="3269"/>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9"/>
      <c r="Q21" s="1813"/>
      <c r="R21" s="774"/>
      <c r="S21" s="775"/>
      <c r="T21" s="774"/>
      <c r="U21" s="775"/>
      <c r="V21" s="774"/>
      <c r="W21" s="775"/>
      <c r="X21" s="1816"/>
      <c r="Y21" s="326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9"/>
      <c r="Q24" s="1813">
        <f t="shared" ref="Q24:Q36"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1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2"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3"/>
      <c r="Q27" s="776" t="str">
        <f t="shared" si="11"/>
        <v>项目停车位配比</v>
      </c>
      <c r="R27" s="777" t="s">
        <v>17</v>
      </c>
      <c r="S27" s="778">
        <f t="shared" si="12"/>
        <v>100</v>
      </c>
      <c r="T27" s="777" t="s">
        <v>17</v>
      </c>
      <c r="U27" s="778">
        <f t="shared" si="13"/>
        <v>100</v>
      </c>
      <c r="V27" s="777" t="s">
        <v>17</v>
      </c>
      <c r="W27" s="778">
        <f t="shared" si="14"/>
        <v>100</v>
      </c>
      <c r="X27" s="779"/>
      <c r="Y27" s="327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3"/>
      <c r="Q28" s="1813" t="str">
        <f t="shared" si="11"/>
        <v>公共部分装修</v>
      </c>
      <c r="R28" s="774" t="s">
        <v>17</v>
      </c>
      <c r="S28" s="775">
        <f t="shared" si="12"/>
        <v>100</v>
      </c>
      <c r="T28" s="774" t="s">
        <v>17</v>
      </c>
      <c r="U28" s="775">
        <f t="shared" si="13"/>
        <v>100</v>
      </c>
      <c r="V28" s="774" t="s">
        <v>17</v>
      </c>
      <c r="W28" s="775">
        <f t="shared" si="14"/>
        <v>100</v>
      </c>
      <c r="X28" s="1816"/>
      <c r="Y28" s="327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3"/>
      <c r="Q29" s="1813" t="str">
        <f t="shared" si="11"/>
        <v>成新率</v>
      </c>
      <c r="R29" s="774" t="s">
        <v>17</v>
      </c>
      <c r="S29" s="775" t="e">
        <f t="shared" si="12"/>
        <v>#N/A</v>
      </c>
      <c r="T29" s="774" t="s">
        <v>17</v>
      </c>
      <c r="U29" s="775" t="e">
        <f t="shared" si="13"/>
        <v>#N/A</v>
      </c>
      <c r="V29" s="774" t="s">
        <v>17</v>
      </c>
      <c r="W29" s="775" t="e">
        <f t="shared" si="14"/>
        <v>#N/A</v>
      </c>
      <c r="X29" s="1816"/>
      <c r="Y29" s="327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3"/>
      <c r="Q30" s="1813" t="str">
        <f t="shared" si="11"/>
        <v>物业等级</v>
      </c>
      <c r="R30" s="774" t="s">
        <v>17</v>
      </c>
      <c r="S30" s="775">
        <f t="shared" si="12"/>
        <v>100</v>
      </c>
      <c r="T30" s="774" t="s">
        <v>17</v>
      </c>
      <c r="U30" s="775">
        <f t="shared" si="13"/>
        <v>100</v>
      </c>
      <c r="V30" s="774" t="s">
        <v>17</v>
      </c>
      <c r="W30" s="775">
        <f t="shared" si="14"/>
        <v>100</v>
      </c>
      <c r="X30" s="1816"/>
      <c r="Y30" s="327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3"/>
      <c r="Q31" s="1798" t="str">
        <f t="shared" si="11"/>
        <v>停车位面积</v>
      </c>
      <c r="R31" s="770" t="s">
        <v>17</v>
      </c>
      <c r="S31" s="771" t="e">
        <f t="shared" si="12"/>
        <v>#N/A</v>
      </c>
      <c r="T31" s="770" t="s">
        <v>17</v>
      </c>
      <c r="U31" s="771" t="e">
        <f t="shared" si="13"/>
        <v>#N/A</v>
      </c>
      <c r="V31" s="770" t="s">
        <v>17</v>
      </c>
      <c r="W31" s="771" t="e">
        <f t="shared" si="14"/>
        <v>#N/A</v>
      </c>
      <c r="X31" s="772"/>
      <c r="Y31" s="327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3" t="s">
        <v>2564</v>
      </c>
      <c r="Q32" s="1813" t="str">
        <f t="shared" si="11"/>
        <v>车位类型</v>
      </c>
      <c r="R32" s="774" t="s">
        <v>17</v>
      </c>
      <c r="S32" s="775">
        <f t="shared" si="12"/>
        <v>100</v>
      </c>
      <c r="T32" s="774" t="s">
        <v>17</v>
      </c>
      <c r="U32" s="775">
        <f t="shared" si="13"/>
        <v>100</v>
      </c>
      <c r="V32" s="774" t="s">
        <v>17</v>
      </c>
      <c r="W32" s="775">
        <f t="shared" si="14"/>
        <v>100</v>
      </c>
      <c r="X32" s="1816"/>
      <c r="Y32" s="327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3"/>
      <c r="Q33" s="1813" t="str">
        <f t="shared" si="11"/>
        <v>是否直接入户</v>
      </c>
      <c r="R33" s="774" t="s">
        <v>17</v>
      </c>
      <c r="S33" s="775">
        <f t="shared" si="12"/>
        <v>100</v>
      </c>
      <c r="T33" s="774" t="s">
        <v>17</v>
      </c>
      <c r="U33" s="775">
        <f t="shared" si="13"/>
        <v>100</v>
      </c>
      <c r="V33" s="774" t="s">
        <v>17</v>
      </c>
      <c r="W33" s="775">
        <f t="shared" si="14"/>
        <v>100</v>
      </c>
      <c r="X33" s="1816"/>
      <c r="Y33" s="32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3"/>
      <c r="Q35" s="776">
        <f t="shared" si="11"/>
        <v>111</v>
      </c>
      <c r="R35" s="777" t="s">
        <v>17</v>
      </c>
      <c r="S35" s="778">
        <f t="shared" si="12"/>
        <v>100</v>
      </c>
      <c r="T35" s="777" t="s">
        <v>17</v>
      </c>
      <c r="U35" s="778">
        <f t="shared" si="13"/>
        <v>100</v>
      </c>
      <c r="V35" s="777" t="s">
        <v>17</v>
      </c>
      <c r="W35" s="778">
        <f t="shared" si="14"/>
        <v>100</v>
      </c>
      <c r="X35" s="779"/>
      <c r="Y35" s="32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3"/>
      <c r="Q36" s="1813">
        <f t="shared" si="11"/>
        <v>111</v>
      </c>
      <c r="R36" s="774" t="s">
        <v>17</v>
      </c>
      <c r="S36" s="775">
        <f t="shared" si="12"/>
        <v>100</v>
      </c>
      <c r="T36" s="774" t="s">
        <v>17</v>
      </c>
      <c r="U36" s="775">
        <f t="shared" si="13"/>
        <v>100</v>
      </c>
      <c r="V36" s="774" t="s">
        <v>17</v>
      </c>
      <c r="W36" s="775">
        <f t="shared" si="14"/>
        <v>100</v>
      </c>
      <c r="X36" s="1816"/>
      <c r="Y36" s="3273"/>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9" t="s">
        <v>2645</v>
      </c>
      <c r="D4" s="3250"/>
      <c r="E4" s="3251" t="s">
        <v>2646</v>
      </c>
      <c r="F4" s="3252"/>
      <c r="G4" s="3249" t="s">
        <v>2647</v>
      </c>
      <c r="H4" s="3250"/>
      <c r="I4" s="3249" t="s">
        <v>2648</v>
      </c>
      <c r="J4" s="3250"/>
      <c r="K4" s="610" t="s">
        <v>2649</v>
      </c>
      <c r="L4" s="1133"/>
      <c r="M4" s="1134"/>
      <c r="N4" s="1134"/>
      <c r="O4" s="1134"/>
      <c r="P4" s="3253" t="s">
        <v>2650</v>
      </c>
      <c r="Q4" s="3254"/>
      <c r="R4" s="3236" t="s">
        <v>2646</v>
      </c>
      <c r="S4" s="3237"/>
      <c r="T4" s="3236" t="s">
        <v>2647</v>
      </c>
      <c r="U4" s="3237"/>
      <c r="V4" s="3261" t="s">
        <v>2648</v>
      </c>
      <c r="W4" s="3261"/>
      <c r="X4" s="1816"/>
      <c r="Y4" s="3236" t="s">
        <v>2650</v>
      </c>
      <c r="Z4" s="3237"/>
      <c r="AA4" s="3231" t="s">
        <v>2646</v>
      </c>
      <c r="AB4" s="3232" t="s">
        <v>2647</v>
      </c>
      <c r="AC4" s="3231" t="s">
        <v>2648</v>
      </c>
    </row>
    <row r="5" spans="1:29" ht="15">
      <c r="A5" s="404"/>
      <c r="B5" s="405"/>
      <c r="C5" s="3242" t="s">
        <v>2541</v>
      </c>
      <c r="D5" s="3243"/>
      <c r="E5" s="3240" t="s">
        <v>2542</v>
      </c>
      <c r="F5" s="3241"/>
      <c r="G5" s="3242" t="s">
        <v>2543</v>
      </c>
      <c r="H5" s="3243"/>
      <c r="I5" s="3242" t="s">
        <v>2544</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44" t="s">
        <v>2545</v>
      </c>
      <c r="D6" s="3245"/>
      <c r="E6" s="3246" t="s">
        <v>2545</v>
      </c>
      <c r="F6" s="3247"/>
      <c r="G6" s="3244" t="s">
        <v>2545</v>
      </c>
      <c r="H6" s="3245"/>
      <c r="I6" s="3244" t="s">
        <v>2545</v>
      </c>
      <c r="J6" s="3245"/>
      <c r="K6" s="610" t="s">
        <v>2546</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2547</v>
      </c>
      <c r="B7" s="409"/>
      <c r="C7" s="410">
        <f>'数据-取费表'!B2</f>
        <v>43224</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34" t="s">
        <v>2548</v>
      </c>
      <c r="Q7" s="3262"/>
      <c r="R7" s="770" t="s">
        <v>17</v>
      </c>
      <c r="S7" s="771">
        <f t="shared" ref="S7:S14" si="0">F7</f>
        <v>0</v>
      </c>
      <c r="T7" s="770" t="s">
        <v>17</v>
      </c>
      <c r="U7" s="771">
        <f t="shared" ref="U7:U14" si="1">H7</f>
        <v>0</v>
      </c>
      <c r="V7" s="770" t="s">
        <v>17</v>
      </c>
      <c r="W7" s="771">
        <f t="shared" ref="W7:W14" si="2">J7</f>
        <v>0</v>
      </c>
      <c r="X7" s="772"/>
      <c r="Y7" s="3234" t="s">
        <v>2548</v>
      </c>
      <c r="Z7" s="323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4" t="s">
        <v>2551</v>
      </c>
      <c r="Q8" s="3235"/>
      <c r="R8" s="770" t="s">
        <v>17</v>
      </c>
      <c r="S8" s="771">
        <f t="shared" si="0"/>
        <v>0</v>
      </c>
      <c r="T8" s="770" t="s">
        <v>17</v>
      </c>
      <c r="U8" s="771">
        <f t="shared" si="1"/>
        <v>0</v>
      </c>
      <c r="V8" s="770" t="s">
        <v>17</v>
      </c>
      <c r="W8" s="771">
        <f t="shared" si="2"/>
        <v>0</v>
      </c>
      <c r="X8" s="772"/>
      <c r="Y8" s="3234" t="s">
        <v>2551</v>
      </c>
      <c r="Z8" s="323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6" t="s">
        <v>2554</v>
      </c>
      <c r="Q9" s="1798" t="str">
        <f t="shared" ref="Q9:Q14" si="6">B9</f>
        <v>用途</v>
      </c>
      <c r="R9" s="770" t="s">
        <v>17</v>
      </c>
      <c r="S9" s="771">
        <f t="shared" si="0"/>
        <v>100</v>
      </c>
      <c r="T9" s="770" t="s">
        <v>17</v>
      </c>
      <c r="U9" s="771">
        <f t="shared" si="1"/>
        <v>100</v>
      </c>
      <c r="V9" s="770" t="s">
        <v>17</v>
      </c>
      <c r="W9" s="771">
        <f t="shared" si="2"/>
        <v>100</v>
      </c>
      <c r="X9" s="772"/>
      <c r="Y9" s="306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6"/>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9"/>
      <c r="Q15" s="1813"/>
      <c r="R15" s="774"/>
      <c r="S15" s="775"/>
      <c r="T15" s="774"/>
      <c r="U15" s="775"/>
      <c r="V15" s="774"/>
      <c r="W15" s="775"/>
      <c r="X15" s="1816"/>
      <c r="Y15" s="3269"/>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9"/>
      <c r="Q17" s="1813"/>
      <c r="R17" s="774"/>
      <c r="S17" s="775"/>
      <c r="T17" s="774"/>
      <c r="U17" s="775"/>
      <c r="V17" s="774"/>
      <c r="W17" s="775"/>
      <c r="X17" s="1816"/>
      <c r="Y17" s="3269"/>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9"/>
      <c r="Q19" s="1813"/>
      <c r="R19" s="774"/>
      <c r="S19" s="775"/>
      <c r="T19" s="774"/>
      <c r="U19" s="775"/>
      <c r="V19" s="774"/>
      <c r="W19" s="775"/>
      <c r="X19" s="1816"/>
      <c r="Y19" s="3269"/>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9"/>
      <c r="Q21" s="1813"/>
      <c r="R21" s="774"/>
      <c r="S21" s="775"/>
      <c r="T21" s="774"/>
      <c r="U21" s="775"/>
      <c r="V21" s="774"/>
      <c r="W21" s="775"/>
      <c r="X21" s="1816"/>
      <c r="Y21" s="326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9"/>
      <c r="Q24" s="1813">
        <f t="shared" ref="Q24:Q34"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1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92"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3"/>
      <c r="Q27" s="776" t="str">
        <f t="shared" si="11"/>
        <v>成新率</v>
      </c>
      <c r="R27" s="777" t="s">
        <v>17</v>
      </c>
      <c r="S27" s="778" t="e">
        <f t="shared" si="12"/>
        <v>#N/A</v>
      </c>
      <c r="T27" s="777" t="s">
        <v>17</v>
      </c>
      <c r="U27" s="778" t="e">
        <f t="shared" si="13"/>
        <v>#N/A</v>
      </c>
      <c r="V27" s="777" t="s">
        <v>17</v>
      </c>
      <c r="W27" s="778" t="e">
        <f t="shared" si="14"/>
        <v>#N/A</v>
      </c>
      <c r="X27" s="779"/>
      <c r="Y27" s="327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3"/>
      <c r="Q28" s="1813" t="str">
        <f t="shared" si="11"/>
        <v>物业等级</v>
      </c>
      <c r="R28" s="774" t="s">
        <v>17</v>
      </c>
      <c r="S28" s="775">
        <f t="shared" si="12"/>
        <v>100</v>
      </c>
      <c r="T28" s="774" t="s">
        <v>17</v>
      </c>
      <c r="U28" s="775">
        <f t="shared" si="13"/>
        <v>100</v>
      </c>
      <c r="V28" s="774" t="s">
        <v>17</v>
      </c>
      <c r="W28" s="775">
        <f t="shared" si="14"/>
        <v>100</v>
      </c>
      <c r="X28" s="1816"/>
      <c r="Y28" s="327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3"/>
      <c r="Q29" s="1813" t="str">
        <f t="shared" si="11"/>
        <v>有无电梯</v>
      </c>
      <c r="R29" s="774" t="s">
        <v>17</v>
      </c>
      <c r="S29" s="775">
        <f t="shared" si="12"/>
        <v>100</v>
      </c>
      <c r="T29" s="774" t="s">
        <v>17</v>
      </c>
      <c r="U29" s="775">
        <f t="shared" si="13"/>
        <v>100</v>
      </c>
      <c r="V29" s="774" t="s">
        <v>17</v>
      </c>
      <c r="W29" s="775">
        <f t="shared" si="14"/>
        <v>100</v>
      </c>
      <c r="X29" s="1816"/>
      <c r="Y29" s="327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3"/>
      <c r="Q30" s="1813" t="str">
        <f t="shared" si="11"/>
        <v>建筑面积</v>
      </c>
      <c r="R30" s="774" t="s">
        <v>17</v>
      </c>
      <c r="S30" s="775" t="e">
        <f t="shared" si="12"/>
        <v>#N/A</v>
      </c>
      <c r="T30" s="774" t="s">
        <v>17</v>
      </c>
      <c r="U30" s="775" t="e">
        <f t="shared" si="13"/>
        <v>#N/A</v>
      </c>
      <c r="V30" s="774" t="s">
        <v>17</v>
      </c>
      <c r="W30" s="775" t="e">
        <f t="shared" si="14"/>
        <v>#N/A</v>
      </c>
      <c r="X30" s="1816"/>
      <c r="Y30" s="327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3"/>
      <c r="Q31" s="1798" t="str">
        <f t="shared" si="11"/>
        <v>是否封闭</v>
      </c>
      <c r="R31" s="770" t="s">
        <v>17</v>
      </c>
      <c r="S31" s="771">
        <f t="shared" si="12"/>
        <v>100</v>
      </c>
      <c r="T31" s="770" t="s">
        <v>17</v>
      </c>
      <c r="U31" s="771">
        <f t="shared" si="13"/>
        <v>100</v>
      </c>
      <c r="V31" s="770" t="s">
        <v>17</v>
      </c>
      <c r="W31" s="771">
        <f t="shared" si="14"/>
        <v>100</v>
      </c>
      <c r="X31" s="772"/>
      <c r="Y31" s="327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3" t="s">
        <v>2564</v>
      </c>
      <c r="Q32" s="1813">
        <f t="shared" si="11"/>
        <v>111</v>
      </c>
      <c r="R32" s="774" t="s">
        <v>17</v>
      </c>
      <c r="S32" s="775">
        <f t="shared" si="12"/>
        <v>100</v>
      </c>
      <c r="T32" s="774" t="s">
        <v>17</v>
      </c>
      <c r="U32" s="775">
        <f t="shared" si="13"/>
        <v>100</v>
      </c>
      <c r="V32" s="774" t="s">
        <v>17</v>
      </c>
      <c r="W32" s="775">
        <f t="shared" si="14"/>
        <v>100</v>
      </c>
      <c r="X32" s="1816"/>
      <c r="Y32" s="3273"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3"/>
      <c r="Q33" s="1813">
        <f t="shared" si="11"/>
        <v>111</v>
      </c>
      <c r="R33" s="774" t="s">
        <v>17</v>
      </c>
      <c r="S33" s="775">
        <f t="shared" si="12"/>
        <v>100</v>
      </c>
      <c r="T33" s="774" t="s">
        <v>17</v>
      </c>
      <c r="U33" s="775">
        <f t="shared" si="13"/>
        <v>100</v>
      </c>
      <c r="V33" s="774" t="s">
        <v>17</v>
      </c>
      <c r="W33" s="775">
        <f t="shared" si="14"/>
        <v>100</v>
      </c>
      <c r="X33" s="1816"/>
      <c r="Y33" s="3273"/>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49" t="s">
        <v>2645</v>
      </c>
      <c r="D4" s="3250"/>
      <c r="E4" s="3251" t="s">
        <v>2646</v>
      </c>
      <c r="F4" s="3252"/>
      <c r="G4" s="3249" t="s">
        <v>2647</v>
      </c>
      <c r="H4" s="3250"/>
      <c r="I4" s="3249" t="s">
        <v>2648</v>
      </c>
      <c r="J4" s="3250"/>
      <c r="K4" s="610" t="s">
        <v>2649</v>
      </c>
      <c r="L4" s="1133"/>
      <c r="M4" s="1134"/>
      <c r="N4" s="1134"/>
      <c r="O4" s="1134"/>
      <c r="P4" s="3253" t="s">
        <v>2650</v>
      </c>
      <c r="Q4" s="3254"/>
      <c r="R4" s="3236" t="s">
        <v>2646</v>
      </c>
      <c r="S4" s="3237"/>
      <c r="T4" s="3236" t="s">
        <v>2647</v>
      </c>
      <c r="U4" s="3237"/>
      <c r="V4" s="3261" t="s">
        <v>2648</v>
      </c>
      <c r="W4" s="3261"/>
      <c r="X4" s="1816"/>
      <c r="Y4" s="3236" t="s">
        <v>2650</v>
      </c>
      <c r="Z4" s="3237"/>
      <c r="AA4" s="3231" t="s">
        <v>2646</v>
      </c>
      <c r="AB4" s="3232" t="s">
        <v>2647</v>
      </c>
      <c r="AC4" s="3231" t="s">
        <v>2648</v>
      </c>
    </row>
    <row r="5" spans="1:30" ht="15">
      <c r="A5" s="404"/>
      <c r="B5" s="405"/>
      <c r="C5" s="3242" t="s">
        <v>2541</v>
      </c>
      <c r="D5" s="3243"/>
      <c r="E5" s="3240" t="s">
        <v>2542</v>
      </c>
      <c r="F5" s="3241"/>
      <c r="G5" s="3242" t="s">
        <v>2543</v>
      </c>
      <c r="H5" s="3243"/>
      <c r="I5" s="3242" t="s">
        <v>2544</v>
      </c>
      <c r="J5" s="3243"/>
      <c r="K5" s="610"/>
      <c r="L5" s="1133"/>
      <c r="M5" s="1134"/>
      <c r="N5" s="1134"/>
      <c r="O5" s="1134"/>
      <c r="P5" s="3255"/>
      <c r="Q5" s="3256"/>
      <c r="R5" s="3238"/>
      <c r="S5" s="3239"/>
      <c r="T5" s="3238"/>
      <c r="U5" s="3239"/>
      <c r="V5" s="3261"/>
      <c r="W5" s="3261"/>
      <c r="X5" s="1816"/>
      <c r="Y5" s="3238"/>
      <c r="Z5" s="3239"/>
      <c r="AA5" s="3232"/>
      <c r="AB5" s="3232"/>
      <c r="AC5" s="3232"/>
    </row>
    <row r="6" spans="1:30" ht="15.75" thickBot="1">
      <c r="A6" s="406"/>
      <c r="B6" s="407"/>
      <c r="C6" s="3244" t="s">
        <v>2545</v>
      </c>
      <c r="D6" s="3245"/>
      <c r="E6" s="3246" t="s">
        <v>2545</v>
      </c>
      <c r="F6" s="3247"/>
      <c r="G6" s="3244" t="s">
        <v>2545</v>
      </c>
      <c r="H6" s="3245"/>
      <c r="I6" s="3244" t="s">
        <v>2545</v>
      </c>
      <c r="J6" s="3245"/>
      <c r="K6" s="610" t="s">
        <v>2546</v>
      </c>
      <c r="L6" s="1133"/>
      <c r="M6" s="1134"/>
      <c r="N6" s="1134"/>
      <c r="O6" s="1134"/>
      <c r="P6" s="3257"/>
      <c r="Q6" s="3258"/>
      <c r="R6" s="3238"/>
      <c r="S6" s="3239"/>
      <c r="T6" s="3259"/>
      <c r="U6" s="3260"/>
      <c r="V6" s="3261"/>
      <c r="W6" s="3261"/>
      <c r="X6" s="1816"/>
      <c r="Y6" s="3259"/>
      <c r="Z6" s="3260"/>
      <c r="AA6" s="3233"/>
      <c r="AB6" s="3233"/>
      <c r="AC6" s="3233"/>
    </row>
    <row r="7" spans="1:30" s="117" customFormat="1" ht="15.75" thickBot="1">
      <c r="A7" s="408" t="s">
        <v>2547</v>
      </c>
      <c r="B7" s="409"/>
      <c r="C7" s="410">
        <f>'数据-取费表'!B2</f>
        <v>43224</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34" t="s">
        <v>2548</v>
      </c>
      <c r="Q7" s="3262"/>
      <c r="R7" s="770" t="s">
        <v>17</v>
      </c>
      <c r="S7" s="771">
        <f t="shared" ref="S7:S15" si="0">F7</f>
        <v>0</v>
      </c>
      <c r="T7" s="770" t="s">
        <v>17</v>
      </c>
      <c r="U7" s="771">
        <f t="shared" ref="U7:U15" si="1">H7</f>
        <v>0</v>
      </c>
      <c r="V7" s="770" t="s">
        <v>17</v>
      </c>
      <c r="W7" s="771">
        <f t="shared" ref="W7:W15" si="2">J7</f>
        <v>0</v>
      </c>
      <c r="X7" s="772"/>
      <c r="Y7" s="3234" t="s">
        <v>2548</v>
      </c>
      <c r="Z7" s="323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4" t="s">
        <v>2551</v>
      </c>
      <c r="Q8" s="3235"/>
      <c r="R8" s="770" t="s">
        <v>17</v>
      </c>
      <c r="S8" s="771">
        <f t="shared" si="0"/>
        <v>0</v>
      </c>
      <c r="T8" s="770" t="s">
        <v>17</v>
      </c>
      <c r="U8" s="771">
        <f t="shared" si="1"/>
        <v>0</v>
      </c>
      <c r="V8" s="770" t="s">
        <v>17</v>
      </c>
      <c r="W8" s="771">
        <f t="shared" si="2"/>
        <v>0</v>
      </c>
      <c r="X8" s="772"/>
      <c r="Y8" s="3234" t="s">
        <v>2551</v>
      </c>
      <c r="Z8" s="3235"/>
      <c r="AA8" s="773" t="e">
        <f t="shared" ref="AA8:AA45" si="3">D8/F8</f>
        <v>#DIV/0!</v>
      </c>
      <c r="AB8" s="773" t="e">
        <f t="shared" ref="AB8:AB45" si="4">D8/H8</f>
        <v>#DIV/0!</v>
      </c>
      <c r="AC8" s="773" t="e">
        <f t="shared" ref="AC8:AC45" si="5">D8/J8</f>
        <v>#DIV/0!</v>
      </c>
    </row>
    <row r="9" spans="1:30" s="117" customFormat="1">
      <c r="A9" s="415" t="s">
        <v>2552</v>
      </c>
      <c r="B9" s="71" t="s">
        <v>2553</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66"/>
      <c r="Q10" s="1798" t="str">
        <f t="shared" si="6"/>
        <v>土地使用年限（年）</v>
      </c>
      <c r="R10" s="770" t="s">
        <v>17</v>
      </c>
      <c r="S10" s="771">
        <f t="shared" si="0"/>
        <v>114</v>
      </c>
      <c r="T10" s="770" t="s">
        <v>17</v>
      </c>
      <c r="U10" s="771">
        <f t="shared" si="1"/>
        <v>114</v>
      </c>
      <c r="V10" s="770" t="s">
        <v>17</v>
      </c>
      <c r="W10" s="771">
        <f t="shared" si="2"/>
        <v>114</v>
      </c>
      <c r="X10" s="772"/>
      <c r="Y10" s="3061"/>
      <c r="Z10" s="55" t="str">
        <f t="shared" si="7"/>
        <v>土地使用年限（年）</v>
      </c>
      <c r="AA10" s="773">
        <f t="shared" si="3"/>
        <v>0.8771929824561403</v>
      </c>
      <c r="AB10" s="773">
        <f t="shared" si="4"/>
        <v>0.8771929824561403</v>
      </c>
      <c r="AC10" s="773">
        <f t="shared" si="5"/>
        <v>0.8771929824561403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6"/>
      <c r="Q12" s="1798" t="str">
        <f t="shared" si="6"/>
        <v>配建</v>
      </c>
      <c r="R12" s="770" t="s">
        <v>17</v>
      </c>
      <c r="S12" s="771">
        <f t="shared" si="0"/>
        <v>100</v>
      </c>
      <c r="T12" s="770" t="s">
        <v>17</v>
      </c>
      <c r="U12" s="771">
        <f t="shared" si="1"/>
        <v>100</v>
      </c>
      <c r="V12" s="770" t="s">
        <v>17</v>
      </c>
      <c r="W12" s="771">
        <f t="shared" si="2"/>
        <v>100</v>
      </c>
      <c r="X12" s="772"/>
      <c r="Y12" s="306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61"/>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61"/>
      <c r="Z14" s="55">
        <f t="shared" si="7"/>
        <v>111</v>
      </c>
      <c r="AA14" s="773">
        <f>D14/F14</f>
        <v>1</v>
      </c>
      <c r="AB14" s="773">
        <f>D14/H14</f>
        <v>1</v>
      </c>
      <c r="AC14" s="773">
        <f>D14/J14</f>
        <v>1</v>
      </c>
    </row>
    <row r="15" spans="1:30" ht="99.75">
      <c r="A15" s="440" t="s">
        <v>2558</v>
      </c>
      <c r="B15" s="69" t="s">
        <v>2083</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8" t="s">
        <v>2559</v>
      </c>
      <c r="Q15" s="1813" t="str">
        <f t="shared" si="6"/>
        <v>居住社区成熟度</v>
      </c>
      <c r="R15" s="774" t="s">
        <v>17</v>
      </c>
      <c r="S15" s="775">
        <f t="shared" si="0"/>
        <v>100</v>
      </c>
      <c r="T15" s="774" t="s">
        <v>17</v>
      </c>
      <c r="U15" s="775">
        <f t="shared" si="1"/>
        <v>100</v>
      </c>
      <c r="V15" s="774" t="s">
        <v>17</v>
      </c>
      <c r="W15" s="775">
        <f t="shared" si="2"/>
        <v>100</v>
      </c>
      <c r="X15" s="1816"/>
      <c r="Y15" s="3268"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9"/>
      <c r="Q17" s="1813" t="str">
        <f>B17</f>
        <v>商业繁华度</v>
      </c>
      <c r="R17" s="774" t="s">
        <v>17</v>
      </c>
      <c r="S17" s="775">
        <f>F17</f>
        <v>100</v>
      </c>
      <c r="T17" s="774" t="s">
        <v>17</v>
      </c>
      <c r="U17" s="775">
        <f>H17</f>
        <v>100</v>
      </c>
      <c r="V17" s="774" t="s">
        <v>17</v>
      </c>
      <c r="W17" s="775">
        <f>J17</f>
        <v>100</v>
      </c>
      <c r="X17" s="1816"/>
      <c r="Y17" s="3269"/>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9"/>
      <c r="Q19" s="1813" t="str">
        <f>B19</f>
        <v>办公集聚程度</v>
      </c>
      <c r="R19" s="774" t="s">
        <v>17</v>
      </c>
      <c r="S19" s="775">
        <f>F19</f>
        <v>100</v>
      </c>
      <c r="T19" s="774" t="s">
        <v>17</v>
      </c>
      <c r="U19" s="775">
        <f>H19</f>
        <v>100</v>
      </c>
      <c r="V19" s="774" t="s">
        <v>17</v>
      </c>
      <c r="W19" s="775">
        <f>J19</f>
        <v>100</v>
      </c>
      <c r="X19" s="1816"/>
      <c r="Y19" s="3269"/>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269"/>
      <c r="Q20" s="1813"/>
      <c r="R20" s="774"/>
      <c r="S20" s="775"/>
      <c r="T20" s="774"/>
      <c r="U20" s="775"/>
      <c r="V20" s="774"/>
      <c r="W20" s="775"/>
      <c r="X20" s="1816"/>
      <c r="Y20" s="3269"/>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9"/>
      <c r="Q21" s="1813" t="str">
        <f>B21</f>
        <v>交通便捷度</v>
      </c>
      <c r="R21" s="774" t="s">
        <v>17</v>
      </c>
      <c r="S21" s="775">
        <f>F21</f>
        <v>100</v>
      </c>
      <c r="T21" s="774" t="s">
        <v>17</v>
      </c>
      <c r="U21" s="775">
        <f>H21</f>
        <v>100</v>
      </c>
      <c r="V21" s="774" t="s">
        <v>17</v>
      </c>
      <c r="W21" s="775">
        <f>J21</f>
        <v>100</v>
      </c>
      <c r="X21" s="1816"/>
      <c r="Y21" s="3269"/>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9"/>
      <c r="Q23" s="1813" t="str">
        <f t="shared" ref="Q23:Q37" si="8">B23</f>
        <v>区域土地利用方向</v>
      </c>
      <c r="R23" s="774" t="s">
        <v>17</v>
      </c>
      <c r="S23" s="775">
        <f>F23</f>
        <v>100</v>
      </c>
      <c r="T23" s="774" t="s">
        <v>17</v>
      </c>
      <c r="U23" s="775">
        <f>H23</f>
        <v>100</v>
      </c>
      <c r="V23" s="774" t="s">
        <v>17</v>
      </c>
      <c r="W23" s="775">
        <f>J23</f>
        <v>100</v>
      </c>
      <c r="X23" s="1816"/>
      <c r="Y23" s="3269"/>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269"/>
      <c r="Q24" s="1813"/>
      <c r="R24" s="774"/>
      <c r="S24" s="775"/>
      <c r="T24" s="774"/>
      <c r="U24" s="775"/>
      <c r="V24" s="774"/>
      <c r="W24" s="775"/>
      <c r="X24" s="1816"/>
      <c r="Y24" s="3269"/>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9"/>
      <c r="Q25" s="1813" t="str">
        <f t="shared" si="8"/>
        <v>自然及人文环境状况</v>
      </c>
      <c r="R25" s="774" t="s">
        <v>17</v>
      </c>
      <c r="S25" s="775">
        <f>F25</f>
        <v>100</v>
      </c>
      <c r="T25" s="774" t="s">
        <v>17</v>
      </c>
      <c r="U25" s="775">
        <f>H25</f>
        <v>100</v>
      </c>
      <c r="V25" s="774" t="s">
        <v>17</v>
      </c>
      <c r="W25" s="775">
        <f>J25</f>
        <v>100</v>
      </c>
      <c r="X25" s="1816"/>
      <c r="Y25" s="3269"/>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269"/>
      <c r="Q26" s="1813"/>
      <c r="R26" s="774"/>
      <c r="S26" s="775"/>
      <c r="T26" s="774"/>
      <c r="U26" s="775"/>
      <c r="V26" s="774"/>
      <c r="W26" s="775"/>
      <c r="X26" s="1816"/>
      <c r="Y26" s="3269"/>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9"/>
      <c r="Q27" s="1798" t="str">
        <f t="shared" si="8"/>
        <v>公共配套设施</v>
      </c>
      <c r="R27" s="770" t="s">
        <v>17</v>
      </c>
      <c r="S27" s="771">
        <f>F27</f>
        <v>100</v>
      </c>
      <c r="T27" s="770" t="s">
        <v>17</v>
      </c>
      <c r="U27" s="771">
        <f>H27</f>
        <v>100</v>
      </c>
      <c r="V27" s="770" t="s">
        <v>17</v>
      </c>
      <c r="W27" s="771">
        <f>J27</f>
        <v>100</v>
      </c>
      <c r="X27" s="772"/>
      <c r="Y27" s="3269"/>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269"/>
      <c r="Q28" s="1798"/>
      <c r="R28" s="770"/>
      <c r="S28" s="771"/>
      <c r="T28" s="770"/>
      <c r="U28" s="771"/>
      <c r="V28" s="770"/>
      <c r="W28" s="771"/>
      <c r="X28" s="772"/>
      <c r="Y28" s="3269"/>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9"/>
      <c r="Q29" s="1798"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69"/>
      <c r="Q30" s="1798"/>
      <c r="R30" s="770"/>
      <c r="S30" s="771"/>
      <c r="T30" s="770"/>
      <c r="U30" s="771"/>
      <c r="V30" s="770"/>
      <c r="W30" s="771"/>
      <c r="X30" s="772"/>
      <c r="Y30" s="3269"/>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9"/>
      <c r="Q32" s="1813" t="str">
        <f t="shared" si="8"/>
        <v>毗邻道路的类型与等级</v>
      </c>
      <c r="R32" s="774" t="s">
        <v>17</v>
      </c>
      <c r="S32" s="775">
        <f t="shared" si="10"/>
        <v>100</v>
      </c>
      <c r="T32" s="774" t="s">
        <v>17</v>
      </c>
      <c r="U32" s="775">
        <f t="shared" si="11"/>
        <v>100</v>
      </c>
      <c r="V32" s="774" t="s">
        <v>17</v>
      </c>
      <c r="W32" s="775">
        <f t="shared" si="12"/>
        <v>100</v>
      </c>
      <c r="X32" s="1816"/>
      <c r="Y32" s="3269"/>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269"/>
      <c r="Q33" s="1813"/>
      <c r="R33" s="774"/>
      <c r="S33" s="775"/>
      <c r="T33" s="774"/>
      <c r="U33" s="775"/>
      <c r="V33" s="774"/>
      <c r="W33" s="775"/>
      <c r="X33" s="1816"/>
      <c r="Y33" s="326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9"/>
      <c r="Q34" s="1813" t="str">
        <f t="shared" si="8"/>
        <v>土地级别</v>
      </c>
      <c r="R34" s="774" t="s">
        <v>17</v>
      </c>
      <c r="S34" s="775">
        <f t="shared" si="10"/>
        <v>100</v>
      </c>
      <c r="T34" s="774" t="s">
        <v>17</v>
      </c>
      <c r="U34" s="775">
        <f t="shared" si="11"/>
        <v>100</v>
      </c>
      <c r="V34" s="774" t="s">
        <v>17</v>
      </c>
      <c r="W34" s="775">
        <f t="shared" si="12"/>
        <v>100</v>
      </c>
      <c r="X34" s="1816"/>
      <c r="Y34" s="32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9"/>
      <c r="Q35" s="1813">
        <f t="shared" si="8"/>
        <v>111</v>
      </c>
      <c r="R35" s="774" t="s">
        <v>17</v>
      </c>
      <c r="S35" s="775">
        <f t="shared" si="10"/>
        <v>100</v>
      </c>
      <c r="T35" s="774" t="s">
        <v>17</v>
      </c>
      <c r="U35" s="775">
        <f t="shared" si="11"/>
        <v>100</v>
      </c>
      <c r="V35" s="774" t="s">
        <v>17</v>
      </c>
      <c r="W35" s="775">
        <f t="shared" si="12"/>
        <v>100</v>
      </c>
      <c r="X35" s="1816"/>
      <c r="Y35" s="32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2" t="s">
        <v>2564</v>
      </c>
      <c r="Q36" s="1813">
        <f t="shared" si="8"/>
        <v>111</v>
      </c>
      <c r="R36" s="774" t="s">
        <v>17</v>
      </c>
      <c r="S36" s="775">
        <f t="shared" si="10"/>
        <v>100</v>
      </c>
      <c r="T36" s="774" t="s">
        <v>17</v>
      </c>
      <c r="U36" s="775">
        <f t="shared" si="11"/>
        <v>100</v>
      </c>
      <c r="V36" s="774" t="s">
        <v>17</v>
      </c>
      <c r="W36" s="775">
        <f t="shared" si="12"/>
        <v>100</v>
      </c>
      <c r="X36" s="1816"/>
      <c r="Y36" s="327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3"/>
      <c r="Q37" s="1813">
        <f t="shared" si="8"/>
        <v>111</v>
      </c>
      <c r="R37" s="777" t="s">
        <v>17</v>
      </c>
      <c r="S37" s="778">
        <f t="shared" si="10"/>
        <v>100</v>
      </c>
      <c r="T37" s="777" t="s">
        <v>17</v>
      </c>
      <c r="U37" s="778">
        <f t="shared" si="11"/>
        <v>100</v>
      </c>
      <c r="V37" s="777" t="s">
        <v>17</v>
      </c>
      <c r="W37" s="778">
        <f t="shared" si="12"/>
        <v>100</v>
      </c>
      <c r="X37" s="779"/>
      <c r="Y37" s="3273"/>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73"/>
      <c r="Q38" s="1813" t="str">
        <f>B38</f>
        <v>宗地面积</v>
      </c>
      <c r="R38" s="774" t="s">
        <v>17</v>
      </c>
      <c r="S38" s="775" t="e">
        <f t="shared" si="10"/>
        <v>#N/A</v>
      </c>
      <c r="T38" s="774" t="s">
        <v>17</v>
      </c>
      <c r="U38" s="775" t="e">
        <f t="shared" si="11"/>
        <v>#N/A</v>
      </c>
      <c r="V38" s="774" t="s">
        <v>17</v>
      </c>
      <c r="W38" s="775" t="e">
        <f t="shared" si="12"/>
        <v>#N/A</v>
      </c>
      <c r="X38" s="1816"/>
      <c r="Y38" s="3273"/>
      <c r="Z38" s="1817" t="str">
        <f t="shared" si="13"/>
        <v>宗地面积</v>
      </c>
      <c r="AA38" s="1814" t="e">
        <f t="shared" si="3"/>
        <v>#N/A</v>
      </c>
      <c r="AB38" s="1814" t="e">
        <f t="shared" si="4"/>
        <v>#N/A</v>
      </c>
      <c r="AC38" s="1814" t="e">
        <f t="shared" si="5"/>
        <v>#N/A</v>
      </c>
    </row>
    <row r="39" spans="1:29" ht="15">
      <c r="A39" s="472"/>
      <c r="B39" s="422" t="s">
        <v>2751</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73"/>
      <c r="Q39" s="1813" t="str">
        <f t="shared" ref="Q39:Q45" si="14">B39</f>
        <v>宗地形状</v>
      </c>
      <c r="R39" s="774" t="s">
        <v>17</v>
      </c>
      <c r="S39" s="775">
        <f t="shared" si="10"/>
        <v>100</v>
      </c>
      <c r="T39" s="774" t="s">
        <v>17</v>
      </c>
      <c r="U39" s="775">
        <f t="shared" si="11"/>
        <v>100</v>
      </c>
      <c r="V39" s="774" t="s">
        <v>17</v>
      </c>
      <c r="W39" s="775">
        <f t="shared" si="12"/>
        <v>100</v>
      </c>
      <c r="X39" s="1816"/>
      <c r="Y39" s="3273"/>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3"/>
      <c r="Q40" s="1813" t="str">
        <f t="shared" si="14"/>
        <v>临街宽度及深度</v>
      </c>
      <c r="R40" s="774" t="s">
        <v>17</v>
      </c>
      <c r="S40" s="775">
        <f t="shared" si="10"/>
        <v>100</v>
      </c>
      <c r="T40" s="774" t="s">
        <v>17</v>
      </c>
      <c r="U40" s="775">
        <f t="shared" si="11"/>
        <v>100</v>
      </c>
      <c r="V40" s="774" t="s">
        <v>17</v>
      </c>
      <c r="W40" s="775">
        <f t="shared" si="12"/>
        <v>100</v>
      </c>
      <c r="X40" s="1816"/>
      <c r="Y40" s="3273"/>
      <c r="Z40" s="1817" t="str">
        <f t="shared" si="13"/>
        <v>临街宽度及深度</v>
      </c>
      <c r="AA40" s="1814">
        <f t="shared" si="3"/>
        <v>1</v>
      </c>
      <c r="AB40" s="1814">
        <f t="shared" si="4"/>
        <v>1</v>
      </c>
      <c r="AC40" s="1814">
        <f t="shared" si="5"/>
        <v>1</v>
      </c>
    </row>
    <row r="41" spans="1:29" s="117" customFormat="1" ht="15">
      <c r="A41" s="473"/>
      <c r="B41" s="422" t="s">
        <v>2753</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73"/>
      <c r="Q41" s="1813" t="str">
        <f t="shared" si="14"/>
        <v>宗地开发程度</v>
      </c>
      <c r="R41" s="770" t="s">
        <v>17</v>
      </c>
      <c r="S41" s="771">
        <f t="shared" si="10"/>
        <v>100</v>
      </c>
      <c r="T41" s="770" t="s">
        <v>17</v>
      </c>
      <c r="U41" s="771">
        <f t="shared" si="11"/>
        <v>100</v>
      </c>
      <c r="V41" s="770" t="s">
        <v>17</v>
      </c>
      <c r="W41" s="771">
        <f t="shared" si="12"/>
        <v>100</v>
      </c>
      <c r="X41" s="772"/>
      <c r="Y41" s="3273"/>
      <c r="Z41" s="55" t="str">
        <f t="shared" si="13"/>
        <v>宗地开发程度</v>
      </c>
      <c r="AA41" s="773">
        <f t="shared" si="3"/>
        <v>1</v>
      </c>
      <c r="AB41" s="773">
        <f t="shared" si="4"/>
        <v>1</v>
      </c>
      <c r="AC41" s="773">
        <f t="shared" si="5"/>
        <v>1</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3" t="s">
        <v>2564</v>
      </c>
      <c r="Q42" s="1813" t="str">
        <f t="shared" si="14"/>
        <v>工程地质条件</v>
      </c>
      <c r="R42" s="774" t="s">
        <v>17</v>
      </c>
      <c r="S42" s="775">
        <f t="shared" si="10"/>
        <v>100</v>
      </c>
      <c r="T42" s="774" t="s">
        <v>17</v>
      </c>
      <c r="U42" s="775">
        <f t="shared" si="11"/>
        <v>100</v>
      </c>
      <c r="V42" s="774" t="s">
        <v>17</v>
      </c>
      <c r="W42" s="775">
        <f t="shared" si="12"/>
        <v>100</v>
      </c>
      <c r="X42" s="1816"/>
      <c r="Y42" s="327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3"/>
      <c r="Q43" s="1813">
        <f t="shared" si="14"/>
        <v>111</v>
      </c>
      <c r="R43" s="774" t="s">
        <v>17</v>
      </c>
      <c r="S43" s="775">
        <f t="shared" si="10"/>
        <v>100</v>
      </c>
      <c r="T43" s="774" t="s">
        <v>17</v>
      </c>
      <c r="U43" s="775">
        <f t="shared" si="11"/>
        <v>100</v>
      </c>
      <c r="V43" s="774" t="s">
        <v>17</v>
      </c>
      <c r="W43" s="775">
        <f t="shared" si="12"/>
        <v>100</v>
      </c>
      <c r="X43" s="1816"/>
      <c r="Y43" s="32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3"/>
      <c r="Q44" s="1813">
        <f t="shared" si="14"/>
        <v>111</v>
      </c>
      <c r="R44" s="774" t="s">
        <v>17</v>
      </c>
      <c r="S44" s="775">
        <f t="shared" si="10"/>
        <v>100</v>
      </c>
      <c r="T44" s="774" t="s">
        <v>17</v>
      </c>
      <c r="U44" s="775">
        <f t="shared" si="11"/>
        <v>100</v>
      </c>
      <c r="V44" s="774" t="s">
        <v>17</v>
      </c>
      <c r="W44" s="775">
        <f t="shared" si="12"/>
        <v>100</v>
      </c>
      <c r="X44" s="1816"/>
      <c r="Y44" s="327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3"/>
      <c r="Q45" s="1813">
        <f t="shared" si="14"/>
        <v>111</v>
      </c>
      <c r="R45" s="777" t="s">
        <v>17</v>
      </c>
      <c r="S45" s="778">
        <f t="shared" si="10"/>
        <v>100</v>
      </c>
      <c r="T45" s="777" t="s">
        <v>17</v>
      </c>
      <c r="U45" s="778">
        <f t="shared" si="11"/>
        <v>100</v>
      </c>
      <c r="V45" s="777" t="s">
        <v>17</v>
      </c>
      <c r="W45" s="778">
        <f t="shared" si="12"/>
        <v>100</v>
      </c>
      <c r="X45" s="779"/>
      <c r="Y45" s="3273"/>
      <c r="Z45" s="780">
        <f t="shared" si="13"/>
        <v>111</v>
      </c>
      <c r="AA45" s="1814">
        <f t="shared" si="3"/>
        <v>1</v>
      </c>
      <c r="AB45" s="1814">
        <f t="shared" si="4"/>
        <v>1</v>
      </c>
      <c r="AC45" s="1814">
        <f t="shared" si="5"/>
        <v>1</v>
      </c>
    </row>
    <row r="46" spans="1:29" ht="15">
      <c r="A46" s="479" t="s">
        <v>2719</v>
      </c>
      <c r="B46" s="2709" t="s">
        <v>2755</v>
      </c>
      <c r="C46" s="682" t="s">
        <v>1</v>
      </c>
      <c r="D46" s="481"/>
      <c r="E46" s="482"/>
      <c r="F46" s="483"/>
      <c r="G46" s="484"/>
      <c r="H46" s="485"/>
      <c r="I46" s="482"/>
      <c r="J46" s="485"/>
      <c r="K46" s="783"/>
      <c r="L46" s="1146"/>
      <c r="M46" s="1147"/>
      <c r="N46" s="1134"/>
      <c r="O46" s="1147"/>
      <c r="P46" s="3266" t="str">
        <f>A46</f>
        <v>成交单价</v>
      </c>
      <c r="Q46" s="3266"/>
      <c r="R46" s="3261">
        <f>E46</f>
        <v>0</v>
      </c>
      <c r="S46" s="3261"/>
      <c r="T46" s="3261">
        <f>G46</f>
        <v>0</v>
      </c>
      <c r="U46" s="3261"/>
      <c r="V46" s="3261">
        <f>I46</f>
        <v>0</v>
      </c>
      <c r="W46" s="326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66" t="str">
        <f>A47</f>
        <v>比较价值（元/平方米）</v>
      </c>
      <c r="Q47" s="3266"/>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263" t="str">
        <f>A48</f>
        <v>估价对象XX用房的比较价值（楼面单价，元/平方米）</v>
      </c>
      <c r="Q48" s="3264"/>
      <c r="R48" s="3294" t="e">
        <f>ROUND(AVERAGE(R47:V47),0)</f>
        <v>#DIV/0!</v>
      </c>
      <c r="S48" s="3294"/>
      <c r="T48" s="3294"/>
      <c r="U48" s="3294"/>
      <c r="V48" s="3294"/>
      <c r="W48" s="329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10" t="s">
        <v>2759</v>
      </c>
      <c r="D55" s="2711" t="s">
        <v>2760</v>
      </c>
      <c r="E55" s="686" t="s">
        <v>2761</v>
      </c>
      <c r="F55" s="1110" t="s">
        <v>2762</v>
      </c>
      <c r="G55" s="3249" t="s">
        <v>2763</v>
      </c>
      <c r="H55" s="3295"/>
      <c r="I55" s="144" t="s">
        <v>2764</v>
      </c>
      <c r="J55" s="2712">
        <f>项目基本情况!F35</f>
        <v>0</v>
      </c>
      <c r="K55" s="2713" t="s">
        <v>2765</v>
      </c>
      <c r="L55" s="1109"/>
      <c r="M55" s="1147"/>
      <c r="N55" s="1147"/>
      <c r="O55" s="1147"/>
    </row>
    <row r="56" spans="1:15" s="692" customFormat="1">
      <c r="A56" s="688" t="s">
        <v>2766</v>
      </c>
      <c r="B56" s="689" t="e">
        <f>C48</f>
        <v>#DIV/0!</v>
      </c>
      <c r="C56" s="690">
        <v>1</v>
      </c>
      <c r="D56" s="1166">
        <v>1</v>
      </c>
      <c r="E56" s="690">
        <f>'数据-汇总表'!E8+'数据-汇总表'!E9</f>
        <v>7293.6999999999989</v>
      </c>
      <c r="F56" s="1106" t="e">
        <f t="shared" ref="F56:F65" si="15">ROUND(B56*E56/10000,0)</f>
        <v>#DIV/0!</v>
      </c>
      <c r="G56" s="3248"/>
      <c r="H56" s="3266"/>
      <c r="I56" s="1111">
        <v>1</v>
      </c>
      <c r="J56" s="1114">
        <v>1</v>
      </c>
      <c r="K56" s="1148"/>
      <c r="L56" s="944"/>
      <c r="M56" s="944"/>
      <c r="N56" s="944"/>
      <c r="O56" s="944"/>
    </row>
    <row r="57" spans="1:15" s="692" customFormat="1">
      <c r="A57" s="693" t="s">
        <v>2767</v>
      </c>
      <c r="B57" s="262" t="e">
        <f>ROUND($C$48*C57*D57,0)</f>
        <v>#DIV/0!</v>
      </c>
      <c r="C57" s="200">
        <f t="shared" ref="C57:C65" si="16">IF($C$55="北京市系数",I57,J57)</f>
        <v>0</v>
      </c>
      <c r="D57" s="1167">
        <v>0.25</v>
      </c>
      <c r="E57" s="694"/>
      <c r="F57" s="1106" t="e">
        <f t="shared" si="15"/>
        <v>#DIV/0!</v>
      </c>
      <c r="G57" s="3296"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7">ROUND($C$48*C58*D58,0)</f>
        <v>#DIV/0!</v>
      </c>
      <c r="C58" s="200">
        <f t="shared" si="16"/>
        <v>0</v>
      </c>
      <c r="D58" s="1167">
        <v>0.25</v>
      </c>
      <c r="E58" s="694"/>
      <c r="F58" s="1106" t="e">
        <f t="shared" si="15"/>
        <v>#DIV/0!</v>
      </c>
      <c r="G58" s="3296"/>
      <c r="H58" s="1107">
        <f>项目基本情况!B37</f>
        <v>0</v>
      </c>
      <c r="I58" s="1111">
        <f>SUMIF(修正!A45:A56,H58,修正!C45:C56)</f>
        <v>0</v>
      </c>
      <c r="J58" s="1115"/>
      <c r="K58" s="1148"/>
      <c r="L58" s="944"/>
      <c r="M58" s="944"/>
      <c r="N58" s="944"/>
      <c r="O58" s="944"/>
    </row>
    <row r="59" spans="1:15" s="692" customFormat="1">
      <c r="A59" s="693" t="s">
        <v>2770</v>
      </c>
      <c r="B59" s="262" t="e">
        <f t="shared" si="17"/>
        <v>#DIV/0!</v>
      </c>
      <c r="C59" s="200">
        <f t="shared" si="16"/>
        <v>0</v>
      </c>
      <c r="D59" s="1167">
        <v>0.25</v>
      </c>
      <c r="E59" s="694"/>
      <c r="F59" s="1106" t="e">
        <f t="shared" si="15"/>
        <v>#DIV/0!</v>
      </c>
      <c r="G59" s="3296"/>
      <c r="H59" s="1107">
        <f>项目基本情况!B37</f>
        <v>0</v>
      </c>
      <c r="I59" s="1111">
        <f>SUMIF(修正!A45:A56,H59,修正!D45:D56)</f>
        <v>0</v>
      </c>
      <c r="J59" s="1115"/>
      <c r="K59" s="1147"/>
      <c r="L59" s="944"/>
      <c r="M59" s="944"/>
      <c r="N59" s="944"/>
      <c r="O59" s="944"/>
    </row>
    <row r="60" spans="1:15" s="692" customFormat="1">
      <c r="A60" s="693" t="s">
        <v>2771</v>
      </c>
      <c r="B60" s="262" t="e">
        <f t="shared" si="17"/>
        <v>#DIV/0!</v>
      </c>
      <c r="C60" s="200">
        <f t="shared" si="16"/>
        <v>0</v>
      </c>
      <c r="D60" s="1167">
        <v>0.25</v>
      </c>
      <c r="E60" s="694"/>
      <c r="F60" s="1106" t="e">
        <f t="shared" si="15"/>
        <v>#DIV/0!</v>
      </c>
      <c r="G60" s="3296"/>
      <c r="H60" s="1107">
        <f>项目基本情况!B37</f>
        <v>0</v>
      </c>
      <c r="I60" s="1111">
        <f>SUMIF(修正!A45:A56,H60,修正!E45:E56)</f>
        <v>0</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4"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v>
      </c>
      <c r="D64" s="1167">
        <v>0.25</v>
      </c>
      <c r="E64" s="261">
        <f>'数据-汇总表'!E14</f>
        <v>0</v>
      </c>
      <c r="F64" s="1106" t="e">
        <f t="shared" si="15"/>
        <v>#DIV/0!</v>
      </c>
      <c r="G64" s="2714"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5"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7293.6999999999989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2781</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9" t="s">
        <v>2645</v>
      </c>
      <c r="D4" s="3250"/>
      <c r="E4" s="3251" t="s">
        <v>2646</v>
      </c>
      <c r="F4" s="3252"/>
      <c r="G4" s="3249" t="s">
        <v>2647</v>
      </c>
      <c r="H4" s="3250"/>
      <c r="I4" s="3249" t="s">
        <v>2648</v>
      </c>
      <c r="J4" s="3250"/>
      <c r="K4" s="610" t="s">
        <v>2649</v>
      </c>
      <c r="L4" s="1133"/>
      <c r="M4" s="1134"/>
      <c r="N4" s="1134"/>
      <c r="O4" s="1134"/>
      <c r="P4" s="3253" t="s">
        <v>2650</v>
      </c>
      <c r="Q4" s="3254"/>
      <c r="R4" s="3236" t="s">
        <v>2646</v>
      </c>
      <c r="S4" s="3237"/>
      <c r="T4" s="3236" t="s">
        <v>2647</v>
      </c>
      <c r="U4" s="3237"/>
      <c r="V4" s="3261" t="s">
        <v>2648</v>
      </c>
      <c r="W4" s="3261"/>
      <c r="X4" s="1816"/>
      <c r="Y4" s="3236" t="s">
        <v>2650</v>
      </c>
      <c r="Z4" s="3237"/>
      <c r="AA4" s="3231" t="s">
        <v>2646</v>
      </c>
      <c r="AB4" s="3232" t="s">
        <v>2647</v>
      </c>
      <c r="AC4" s="3231" t="s">
        <v>2648</v>
      </c>
    </row>
    <row r="5" spans="1:29" ht="15">
      <c r="A5" s="404"/>
      <c r="B5" s="405"/>
      <c r="C5" s="3242" t="s">
        <v>2541</v>
      </c>
      <c r="D5" s="3243"/>
      <c r="E5" s="3240" t="s">
        <v>2542</v>
      </c>
      <c r="F5" s="3241"/>
      <c r="G5" s="3242" t="s">
        <v>2543</v>
      </c>
      <c r="H5" s="3243"/>
      <c r="I5" s="3242" t="s">
        <v>2544</v>
      </c>
      <c r="J5" s="3243"/>
      <c r="K5" s="610"/>
      <c r="L5" s="1133"/>
      <c r="M5" s="1134"/>
      <c r="N5" s="1134"/>
      <c r="O5" s="1134"/>
      <c r="P5" s="3255"/>
      <c r="Q5" s="3256"/>
      <c r="R5" s="3238"/>
      <c r="S5" s="3239"/>
      <c r="T5" s="3238"/>
      <c r="U5" s="3239"/>
      <c r="V5" s="3261"/>
      <c r="W5" s="3261"/>
      <c r="X5" s="1816"/>
      <c r="Y5" s="3238"/>
      <c r="Z5" s="3239"/>
      <c r="AA5" s="3232"/>
      <c r="AB5" s="3232"/>
      <c r="AC5" s="3232"/>
    </row>
    <row r="6" spans="1:29" ht="15.75" thickBot="1">
      <c r="A6" s="406"/>
      <c r="B6" s="407"/>
      <c r="C6" s="3297" t="s">
        <v>2796</v>
      </c>
      <c r="D6" s="3298"/>
      <c r="E6" s="3299" t="s">
        <v>2796</v>
      </c>
      <c r="F6" s="3300"/>
      <c r="G6" s="3297" t="s">
        <v>2796</v>
      </c>
      <c r="H6" s="3298"/>
      <c r="I6" s="3297" t="s">
        <v>2796</v>
      </c>
      <c r="J6" s="3298"/>
      <c r="K6" s="610" t="s">
        <v>2546</v>
      </c>
      <c r="L6" s="1133"/>
      <c r="M6" s="1134"/>
      <c r="N6" s="1134"/>
      <c r="O6" s="1134"/>
      <c r="P6" s="3257"/>
      <c r="Q6" s="3258"/>
      <c r="R6" s="3238"/>
      <c r="S6" s="3239"/>
      <c r="T6" s="3259"/>
      <c r="U6" s="3260"/>
      <c r="V6" s="3261"/>
      <c r="W6" s="3261"/>
      <c r="X6" s="1816"/>
      <c r="Y6" s="3259"/>
      <c r="Z6" s="3260"/>
      <c r="AA6" s="3233"/>
      <c r="AB6" s="3233"/>
      <c r="AC6" s="3233"/>
    </row>
    <row r="7" spans="1:29" s="117" customFormat="1" ht="15.75" thickBot="1">
      <c r="A7" s="408" t="s">
        <v>2547</v>
      </c>
      <c r="B7" s="409"/>
      <c r="C7" s="410">
        <f>'数据-取费表'!B2</f>
        <v>43224</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34" t="s">
        <v>2548</v>
      </c>
      <c r="Q7" s="3262"/>
      <c r="R7" s="770" t="s">
        <v>17</v>
      </c>
      <c r="S7" s="771">
        <f t="shared" ref="S7:S15" si="0">F7</f>
        <v>0</v>
      </c>
      <c r="T7" s="770" t="s">
        <v>17</v>
      </c>
      <c r="U7" s="771">
        <f t="shared" ref="U7:U15" si="1">H7</f>
        <v>0</v>
      </c>
      <c r="V7" s="770" t="s">
        <v>17</v>
      </c>
      <c r="W7" s="771">
        <f t="shared" ref="W7:W15" si="2">J7</f>
        <v>0</v>
      </c>
      <c r="X7" s="772"/>
      <c r="Y7" s="3234" t="s">
        <v>2548</v>
      </c>
      <c r="Z7" s="323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4" t="s">
        <v>2551</v>
      </c>
      <c r="Q8" s="3235"/>
      <c r="R8" s="770" t="s">
        <v>17</v>
      </c>
      <c r="S8" s="771">
        <f t="shared" si="0"/>
        <v>0</v>
      </c>
      <c r="T8" s="770" t="s">
        <v>17</v>
      </c>
      <c r="U8" s="771">
        <f t="shared" si="1"/>
        <v>0</v>
      </c>
      <c r="V8" s="770" t="s">
        <v>17</v>
      </c>
      <c r="W8" s="771">
        <f t="shared" si="2"/>
        <v>0</v>
      </c>
      <c r="X8" s="772"/>
      <c r="Y8" s="3234" t="s">
        <v>2551</v>
      </c>
      <c r="Z8" s="3235"/>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66"/>
      <c r="Q10" s="1798" t="str">
        <f t="shared" si="6"/>
        <v>土地使用年限（年）</v>
      </c>
      <c r="R10" s="770" t="s">
        <v>17</v>
      </c>
      <c r="S10" s="771">
        <f t="shared" si="0"/>
        <v>114</v>
      </c>
      <c r="T10" s="770" t="s">
        <v>17</v>
      </c>
      <c r="U10" s="771">
        <f t="shared" si="1"/>
        <v>114</v>
      </c>
      <c r="V10" s="770" t="s">
        <v>17</v>
      </c>
      <c r="W10" s="771">
        <f t="shared" si="2"/>
        <v>114</v>
      </c>
      <c r="X10" s="772"/>
      <c r="Y10" s="3061"/>
      <c r="Z10" s="55" t="str">
        <f t="shared" si="7"/>
        <v>土地使用年限（年）</v>
      </c>
      <c r="AA10" s="773">
        <f t="shared" si="3"/>
        <v>0.8771929824561403</v>
      </c>
      <c r="AB10" s="773">
        <f t="shared" si="4"/>
        <v>0.8771929824561403</v>
      </c>
      <c r="AC10" s="773">
        <f t="shared" si="5"/>
        <v>0.8771929824561403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57">
      <c r="A15" s="440" t="s">
        <v>2558</v>
      </c>
      <c r="B15" s="629" t="s">
        <v>2797</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9"/>
      <c r="Q19" s="1813" t="str">
        <f t="shared" ref="Q19:Q33" si="8">B19</f>
        <v>区域土地利用方向</v>
      </c>
      <c r="R19" s="774" t="s">
        <v>17</v>
      </c>
      <c r="S19" s="775">
        <f>F19</f>
        <v>100</v>
      </c>
      <c r="T19" s="774" t="s">
        <v>17</v>
      </c>
      <c r="U19" s="775">
        <f>H19</f>
        <v>100</v>
      </c>
      <c r="V19" s="774" t="s">
        <v>17</v>
      </c>
      <c r="W19" s="775">
        <f>J19</f>
        <v>100</v>
      </c>
      <c r="X19" s="1816"/>
      <c r="Y19" s="326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9"/>
      <c r="Q20" s="1813"/>
      <c r="R20" s="774"/>
      <c r="S20" s="775"/>
      <c r="T20" s="774"/>
      <c r="U20" s="775"/>
      <c r="V20" s="774"/>
      <c r="W20" s="775"/>
      <c r="X20" s="1816"/>
      <c r="Y20" s="3269"/>
      <c r="Z20" s="1817"/>
      <c r="AA20" s="1814"/>
      <c r="AB20" s="1814"/>
      <c r="AC20" s="1814"/>
    </row>
    <row r="21" spans="1:29" ht="71.25">
      <c r="A21" s="404"/>
      <c r="B21" s="631" t="s">
        <v>2798</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9"/>
      <c r="Q21" s="1813" t="str">
        <f t="shared" si="8"/>
        <v>环境状况</v>
      </c>
      <c r="R21" s="774" t="s">
        <v>17</v>
      </c>
      <c r="S21" s="775">
        <f>F21</f>
        <v>100</v>
      </c>
      <c r="T21" s="774" t="s">
        <v>17</v>
      </c>
      <c r="U21" s="775">
        <f>H21</f>
        <v>100</v>
      </c>
      <c r="V21" s="774" t="s">
        <v>17</v>
      </c>
      <c r="W21" s="775">
        <f>J21</f>
        <v>100</v>
      </c>
      <c r="X21" s="1816"/>
      <c r="Y21" s="326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9"/>
      <c r="Q23" s="1798" t="str">
        <f t="shared" si="8"/>
        <v>公共配套设施</v>
      </c>
      <c r="R23" s="770" t="s">
        <v>17</v>
      </c>
      <c r="S23" s="771">
        <f>F23</f>
        <v>100</v>
      </c>
      <c r="T23" s="770" t="s">
        <v>17</v>
      </c>
      <c r="U23" s="771">
        <f>H23</f>
        <v>100</v>
      </c>
      <c r="V23" s="770" t="s">
        <v>17</v>
      </c>
      <c r="W23" s="771">
        <f>J23</f>
        <v>100</v>
      </c>
      <c r="X23" s="772"/>
      <c r="Y23" s="326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9"/>
      <c r="Q24" s="1798"/>
      <c r="R24" s="770"/>
      <c r="S24" s="771"/>
      <c r="T24" s="770"/>
      <c r="U24" s="771"/>
      <c r="V24" s="770"/>
      <c r="W24" s="771"/>
      <c r="X24" s="772"/>
      <c r="Y24" s="3269"/>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9"/>
      <c r="Q25" s="1798"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9"/>
      <c r="Q26" s="1798"/>
      <c r="R26" s="770"/>
      <c r="S26" s="771"/>
      <c r="T26" s="770"/>
      <c r="U26" s="771"/>
      <c r="V26" s="770"/>
      <c r="W26" s="771"/>
      <c r="X26" s="772"/>
      <c r="Y26" s="326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9"/>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9"/>
      <c r="Q28" s="1813" t="str">
        <f t="shared" si="8"/>
        <v>毗邻道路的类型与等级</v>
      </c>
      <c r="R28" s="774" t="s">
        <v>17</v>
      </c>
      <c r="S28" s="775">
        <f t="shared" si="10"/>
        <v>100</v>
      </c>
      <c r="T28" s="774" t="s">
        <v>17</v>
      </c>
      <c r="U28" s="775">
        <f t="shared" si="11"/>
        <v>100</v>
      </c>
      <c r="V28" s="774" t="s">
        <v>17</v>
      </c>
      <c r="W28" s="775">
        <f t="shared" si="12"/>
        <v>100</v>
      </c>
      <c r="X28" s="1816"/>
      <c r="Y28" s="326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9"/>
      <c r="Q29" s="1813"/>
      <c r="R29" s="774"/>
      <c r="S29" s="775"/>
      <c r="T29" s="774"/>
      <c r="U29" s="775"/>
      <c r="V29" s="774"/>
      <c r="W29" s="775"/>
      <c r="X29" s="1816"/>
      <c r="Y29" s="326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9"/>
      <c r="Q30" s="1813" t="str">
        <f t="shared" si="8"/>
        <v>土地级别</v>
      </c>
      <c r="R30" s="774" t="s">
        <v>17</v>
      </c>
      <c r="S30" s="775">
        <f t="shared" si="10"/>
        <v>100</v>
      </c>
      <c r="T30" s="774" t="s">
        <v>17</v>
      </c>
      <c r="U30" s="775">
        <f t="shared" si="11"/>
        <v>100</v>
      </c>
      <c r="V30" s="774" t="s">
        <v>17</v>
      </c>
      <c r="W30" s="775">
        <f t="shared" si="12"/>
        <v>100</v>
      </c>
      <c r="X30" s="1816"/>
      <c r="Y30" s="326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9"/>
      <c r="Q31" s="1813">
        <f t="shared" si="8"/>
        <v>111</v>
      </c>
      <c r="R31" s="774" t="s">
        <v>17</v>
      </c>
      <c r="S31" s="775">
        <f t="shared" si="10"/>
        <v>100</v>
      </c>
      <c r="T31" s="774" t="s">
        <v>17</v>
      </c>
      <c r="U31" s="775">
        <f t="shared" si="11"/>
        <v>100</v>
      </c>
      <c r="V31" s="774" t="s">
        <v>17</v>
      </c>
      <c r="W31" s="775">
        <f t="shared" si="12"/>
        <v>100</v>
      </c>
      <c r="X31" s="1816"/>
      <c r="Y31" s="326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2" t="s">
        <v>2564</v>
      </c>
      <c r="Q32" s="1813">
        <f t="shared" si="8"/>
        <v>111</v>
      </c>
      <c r="R32" s="774" t="s">
        <v>17</v>
      </c>
      <c r="S32" s="775">
        <f t="shared" si="10"/>
        <v>100</v>
      </c>
      <c r="T32" s="774" t="s">
        <v>17</v>
      </c>
      <c r="U32" s="775">
        <f t="shared" si="11"/>
        <v>100</v>
      </c>
      <c r="V32" s="774" t="s">
        <v>17</v>
      </c>
      <c r="W32" s="775">
        <f t="shared" si="12"/>
        <v>100</v>
      </c>
      <c r="X32" s="1816"/>
      <c r="Y32" s="3273"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3"/>
      <c r="Q33" s="1813">
        <f t="shared" si="8"/>
        <v>111</v>
      </c>
      <c r="R33" s="777" t="s">
        <v>17</v>
      </c>
      <c r="S33" s="778">
        <f t="shared" si="10"/>
        <v>100</v>
      </c>
      <c r="T33" s="777" t="s">
        <v>17</v>
      </c>
      <c r="U33" s="778">
        <f t="shared" si="11"/>
        <v>100</v>
      </c>
      <c r="V33" s="777" t="s">
        <v>17</v>
      </c>
      <c r="W33" s="778">
        <f t="shared" si="12"/>
        <v>100</v>
      </c>
      <c r="X33" s="779"/>
      <c r="Y33" s="327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3"/>
      <c r="Q34" s="1813" t="str">
        <f>B34</f>
        <v>宗地面积</v>
      </c>
      <c r="R34" s="774" t="s">
        <v>17</v>
      </c>
      <c r="S34" s="775" t="e">
        <f t="shared" si="10"/>
        <v>#N/A</v>
      </c>
      <c r="T34" s="774" t="s">
        <v>17</v>
      </c>
      <c r="U34" s="775" t="e">
        <f t="shared" si="11"/>
        <v>#N/A</v>
      </c>
      <c r="V34" s="774" t="s">
        <v>17</v>
      </c>
      <c r="W34" s="775" t="e">
        <f t="shared" si="12"/>
        <v>#N/A</v>
      </c>
      <c r="X34" s="1816"/>
      <c r="Y34" s="3273"/>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3"/>
      <c r="Q35" s="1813" t="str">
        <f t="shared" ref="Q35:Q40" si="14">B35</f>
        <v>宗地形状</v>
      </c>
      <c r="R35" s="774" t="s">
        <v>17</v>
      </c>
      <c r="S35" s="775">
        <f t="shared" si="10"/>
        <v>100</v>
      </c>
      <c r="T35" s="774" t="s">
        <v>17</v>
      </c>
      <c r="U35" s="775">
        <f t="shared" si="11"/>
        <v>100</v>
      </c>
      <c r="V35" s="774" t="s">
        <v>17</v>
      </c>
      <c r="W35" s="775">
        <f t="shared" si="12"/>
        <v>100</v>
      </c>
      <c r="X35" s="1816"/>
      <c r="Y35" s="3273"/>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3"/>
      <c r="Q36" s="1813" t="str">
        <f t="shared" si="14"/>
        <v>宗地开发程度</v>
      </c>
      <c r="R36" s="770" t="s">
        <v>17</v>
      </c>
      <c r="S36" s="771">
        <f t="shared" si="10"/>
        <v>100</v>
      </c>
      <c r="T36" s="770" t="s">
        <v>17</v>
      </c>
      <c r="U36" s="771">
        <f t="shared" si="11"/>
        <v>100</v>
      </c>
      <c r="V36" s="770" t="s">
        <v>17</v>
      </c>
      <c r="W36" s="771">
        <f t="shared" si="12"/>
        <v>100</v>
      </c>
      <c r="X36" s="772"/>
      <c r="Y36" s="3273"/>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3" t="s">
        <v>2564</v>
      </c>
      <c r="Q37" s="1813" t="str">
        <f t="shared" si="14"/>
        <v>工程地质条件</v>
      </c>
      <c r="R37" s="774" t="s">
        <v>17</v>
      </c>
      <c r="S37" s="775">
        <f t="shared" si="10"/>
        <v>100</v>
      </c>
      <c r="T37" s="774" t="s">
        <v>17</v>
      </c>
      <c r="U37" s="775">
        <f t="shared" si="11"/>
        <v>100</v>
      </c>
      <c r="V37" s="774" t="s">
        <v>17</v>
      </c>
      <c r="W37" s="775">
        <f t="shared" si="12"/>
        <v>100</v>
      </c>
      <c r="X37" s="1816"/>
      <c r="Y37" s="327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3"/>
      <c r="Q38" s="1813">
        <f t="shared" si="14"/>
        <v>111</v>
      </c>
      <c r="R38" s="774" t="s">
        <v>17</v>
      </c>
      <c r="S38" s="775">
        <f t="shared" si="10"/>
        <v>100</v>
      </c>
      <c r="T38" s="774" t="s">
        <v>17</v>
      </c>
      <c r="U38" s="775">
        <f t="shared" si="11"/>
        <v>100</v>
      </c>
      <c r="V38" s="774" t="s">
        <v>17</v>
      </c>
      <c r="W38" s="775">
        <f t="shared" si="12"/>
        <v>100</v>
      </c>
      <c r="X38" s="1816"/>
      <c r="Y38" s="32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3"/>
      <c r="Q39" s="1813">
        <f t="shared" si="14"/>
        <v>111</v>
      </c>
      <c r="R39" s="774" t="s">
        <v>17</v>
      </c>
      <c r="S39" s="775">
        <f t="shared" si="10"/>
        <v>100</v>
      </c>
      <c r="T39" s="774" t="s">
        <v>17</v>
      </c>
      <c r="U39" s="775">
        <f t="shared" si="11"/>
        <v>100</v>
      </c>
      <c r="V39" s="774" t="s">
        <v>17</v>
      </c>
      <c r="W39" s="775">
        <f t="shared" si="12"/>
        <v>100</v>
      </c>
      <c r="X39" s="1816"/>
      <c r="Y39" s="327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3"/>
      <c r="Q40" s="1813">
        <f t="shared" si="14"/>
        <v>111</v>
      </c>
      <c r="R40" s="777" t="s">
        <v>17</v>
      </c>
      <c r="S40" s="778">
        <f t="shared" si="10"/>
        <v>100</v>
      </c>
      <c r="T40" s="777" t="s">
        <v>17</v>
      </c>
      <c r="U40" s="778">
        <f t="shared" si="11"/>
        <v>100</v>
      </c>
      <c r="V40" s="777" t="s">
        <v>17</v>
      </c>
      <c r="W40" s="778">
        <f t="shared" si="12"/>
        <v>100</v>
      </c>
      <c r="X40" s="779"/>
      <c r="Y40" s="3273"/>
      <c r="Z40" s="780">
        <f t="shared" si="13"/>
        <v>111</v>
      </c>
      <c r="AA40" s="1814">
        <f t="shared" si="3"/>
        <v>1</v>
      </c>
      <c r="AB40" s="1814">
        <f t="shared" si="4"/>
        <v>1</v>
      </c>
      <c r="AC40" s="1814">
        <f t="shared" si="5"/>
        <v>1</v>
      </c>
    </row>
    <row r="41" spans="1:29" ht="15">
      <c r="A41" s="479" t="s">
        <v>2719</v>
      </c>
      <c r="B41" s="2709" t="s">
        <v>2799</v>
      </c>
      <c r="C41" s="682" t="s">
        <v>1</v>
      </c>
      <c r="D41" s="481"/>
      <c r="E41" s="482"/>
      <c r="F41" s="483"/>
      <c r="G41" s="484"/>
      <c r="H41" s="485"/>
      <c r="I41" s="482"/>
      <c r="J41" s="485"/>
      <c r="K41" s="783"/>
      <c r="L41" s="1146"/>
      <c r="M41" s="1134"/>
      <c r="N41" s="1134"/>
      <c r="O41" s="1147"/>
      <c r="P41" s="3266" t="str">
        <f>A41</f>
        <v>成交单价</v>
      </c>
      <c r="Q41" s="3266"/>
      <c r="R41" s="3261">
        <f>E41</f>
        <v>0</v>
      </c>
      <c r="S41" s="3261"/>
      <c r="T41" s="3261">
        <f>G41</f>
        <v>0</v>
      </c>
      <c r="U41" s="3261"/>
      <c r="V41" s="3261">
        <f>I41</f>
        <v>0</v>
      </c>
      <c r="W41" s="326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6" t="str">
        <f>A42</f>
        <v>比较价值（元/平方米）</v>
      </c>
      <c r="Q42" s="3266"/>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294" t="e">
        <f>ROUND(AVERAGE(R42:V42),0)</f>
        <v>#DIV/0!</v>
      </c>
      <c r="S43" s="3294"/>
      <c r="T43" s="3294"/>
      <c r="U43" s="3294"/>
      <c r="V43" s="3294"/>
      <c r="W43" s="329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10" t="s">
        <v>2759</v>
      </c>
      <c r="D50" s="2711" t="s">
        <v>2760</v>
      </c>
      <c r="E50" s="686" t="s">
        <v>2761</v>
      </c>
      <c r="F50" s="687" t="s">
        <v>2762</v>
      </c>
      <c r="G50" s="3249" t="s">
        <v>2763</v>
      </c>
      <c r="H50" s="3295"/>
      <c r="I50" s="1817" t="s">
        <v>2800</v>
      </c>
      <c r="J50" s="1817">
        <f>项目基本情况!F35</f>
        <v>0</v>
      </c>
      <c r="K50" s="2713" t="s">
        <v>2765</v>
      </c>
      <c r="L50" s="1109"/>
      <c r="M50" s="1147"/>
      <c r="N50" s="1147"/>
      <c r="O50" s="1147"/>
    </row>
    <row r="51" spans="1:17" s="692" customFormat="1">
      <c r="A51" s="688" t="s">
        <v>2766</v>
      </c>
      <c r="B51" s="689" t="e">
        <f>C43</f>
        <v>#DIV/0!</v>
      </c>
      <c r="C51" s="690">
        <v>1</v>
      </c>
      <c r="D51" s="1166">
        <v>1</v>
      </c>
      <c r="E51" s="690">
        <f>'数据-汇总表'!E8+'数据-汇总表'!E9</f>
        <v>7293.6999999999989</v>
      </c>
      <c r="F51" s="691" t="e">
        <f t="shared" ref="F51:F60" si="15">ROUND(B51*E51/10000,0)</f>
        <v>#DIV/0!</v>
      </c>
      <c r="G51" s="3248"/>
      <c r="H51" s="326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96"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96"/>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96"/>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96"/>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4"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4"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5"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8515.35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2781</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2801</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1.5984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3002</v>
      </c>
    </row>
    <row r="2" spans="1:5" ht="15.75">
      <c r="A2" s="2915" t="s">
        <v>2994</v>
      </c>
      <c r="B2" s="2916">
        <f ca="1">SUMIF(B6:B13,"&lt;&gt;#ref!",B6:B13)</f>
        <v>2481</v>
      </c>
      <c r="C2" s="2915" t="s">
        <v>2995</v>
      </c>
      <c r="D2" s="2915" t="s">
        <v>2996</v>
      </c>
      <c r="E2" s="2916" t="e">
        <f ca="1">SUM(E6:E13)</f>
        <v>#REF!</v>
      </c>
    </row>
    <row r="3" spans="1:5" ht="15.75">
      <c r="A3" s="2915" t="s">
        <v>2997</v>
      </c>
      <c r="B3" s="2916" t="e">
        <f ca="1">ROUND(B2*10000/E2,0)</f>
        <v>#REF!</v>
      </c>
      <c r="C3" s="2915" t="s">
        <v>3003</v>
      </c>
      <c r="D3" s="2917"/>
      <c r="E3" s="2917"/>
    </row>
    <row r="4" spans="1:5" ht="15.75">
      <c r="A4" s="2918"/>
      <c r="B4" s="2917"/>
      <c r="C4" s="2917"/>
      <c r="D4" s="2917"/>
      <c r="E4" s="2917"/>
    </row>
    <row r="5" spans="1:5" ht="28.5">
      <c r="A5" s="2919" t="s">
        <v>2998</v>
      </c>
      <c r="B5" s="2915" t="s">
        <v>2999</v>
      </c>
      <c r="C5" s="2916"/>
      <c r="D5" s="2917"/>
      <c r="E5" s="2915" t="s">
        <v>3000</v>
      </c>
    </row>
    <row r="6" spans="1:5" ht="15.75">
      <c r="A6" s="2920" t="s">
        <v>3001</v>
      </c>
      <c r="B6" s="2916">
        <f ca="1">SUMIF(INDIRECT("'"&amp;A6&amp;"'"&amp;"!A:A"),"总价",INDIRECT("'"&amp;A6&amp;"'"&amp;"!B:B"))</f>
        <v>2481</v>
      </c>
      <c r="C6" s="2915" t="s">
        <v>2995</v>
      </c>
      <c r="D6" s="2917"/>
      <c r="E6" s="2580">
        <f ca="1">SUMIF(INDIRECT("'"&amp;A6&amp;"'"&amp;"!C:C"),"建筑面积",INDIRECT("'"&amp;A6&amp;"'"&amp;"!D:D"))</f>
        <v>7293.7000000000007</v>
      </c>
    </row>
    <row r="7" spans="1:5" ht="15.75">
      <c r="A7" s="2920"/>
      <c r="B7" s="2916" t="e">
        <f ca="1">SUMIF(INDIRECT("'"&amp;A7&amp;"'"&amp;"!A:A"),"总价",INDIRECT("'"&amp;A7&amp;"'"&amp;"!B:B"))</f>
        <v>#REF!</v>
      </c>
      <c r="C7" s="2915" t="s">
        <v>2995</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2995</v>
      </c>
      <c r="D8" s="2917"/>
      <c r="E8" s="2580" t="e">
        <f t="shared" ca="1" si="0"/>
        <v>#REF!</v>
      </c>
    </row>
    <row r="9" spans="1:5" ht="15.75">
      <c r="A9" s="2920"/>
      <c r="B9" s="2916" t="e">
        <f t="shared" ca="1" si="1"/>
        <v>#REF!</v>
      </c>
      <c r="C9" s="2915" t="s">
        <v>2995</v>
      </c>
      <c r="D9" s="2917"/>
      <c r="E9" s="2580" t="e">
        <f t="shared" ca="1" si="0"/>
        <v>#REF!</v>
      </c>
    </row>
    <row r="10" spans="1:5" ht="15.75">
      <c r="A10" s="2920"/>
      <c r="B10" s="2916" t="e">
        <f t="shared" ca="1" si="1"/>
        <v>#REF!</v>
      </c>
      <c r="C10" s="2915" t="s">
        <v>2995</v>
      </c>
      <c r="D10" s="2917"/>
      <c r="E10" s="2580" t="e">
        <f t="shared" ca="1" si="0"/>
        <v>#REF!</v>
      </c>
    </row>
    <row r="11" spans="1:5" ht="15.75">
      <c r="A11" s="2920"/>
      <c r="B11" s="2916" t="e">
        <f t="shared" ca="1" si="1"/>
        <v>#REF!</v>
      </c>
      <c r="C11" s="2915" t="s">
        <v>2995</v>
      </c>
      <c r="D11" s="2917"/>
      <c r="E11" s="2580" t="e">
        <f t="shared" ca="1" si="0"/>
        <v>#REF!</v>
      </c>
    </row>
    <row r="12" spans="1:5" ht="15.75">
      <c r="A12" s="2920"/>
      <c r="B12" s="2916" t="e">
        <f t="shared" ca="1" si="1"/>
        <v>#REF!</v>
      </c>
      <c r="C12" s="2915" t="s">
        <v>2995</v>
      </c>
      <c r="D12" s="2917"/>
      <c r="E12" s="2580" t="e">
        <f t="shared" ca="1" si="0"/>
        <v>#REF!</v>
      </c>
    </row>
    <row r="13" spans="1:5" ht="15.75">
      <c r="A13" s="2920"/>
      <c r="B13" s="2916" t="e">
        <f t="shared" ca="1" si="1"/>
        <v>#REF!</v>
      </c>
      <c r="C13" s="2915" t="s">
        <v>2995</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7" t="s">
        <v>1150</v>
      </c>
      <c r="C1" s="3307"/>
      <c r="D1" s="3307"/>
      <c r="E1" s="3307"/>
      <c r="F1" s="3307"/>
      <c r="G1" s="3303" t="s">
        <v>1151</v>
      </c>
      <c r="H1" s="3303"/>
      <c r="I1" s="3303"/>
      <c r="J1" s="3303"/>
      <c r="K1" s="3303"/>
      <c r="L1" s="3303"/>
      <c r="N1" s="3303" t="s">
        <v>1152</v>
      </c>
      <c r="O1" s="3303"/>
      <c r="P1" s="3303"/>
      <c r="Q1" s="3303"/>
      <c r="R1" s="1449"/>
      <c r="S1" s="3303" t="s">
        <v>1153</v>
      </c>
      <c r="T1" s="3303"/>
      <c r="U1" s="3303"/>
      <c r="V1" s="3303"/>
      <c r="X1" s="3302" t="s">
        <v>1154</v>
      </c>
      <c r="Y1" s="3303"/>
      <c r="Z1" s="3303"/>
      <c r="AA1" s="3303"/>
      <c r="AB1" s="3303"/>
      <c r="AD1" s="3302" t="s">
        <v>1155</v>
      </c>
      <c r="AE1" s="3303"/>
      <c r="AF1" s="3303"/>
      <c r="AG1" s="3303"/>
      <c r="AH1" s="330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3037</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1.4274</v>
      </c>
      <c r="Y3" s="2941">
        <f>ROUND(SUMPRODUCT(PRODUCT(1+O3:O$21)),4)</f>
        <v>1.2685</v>
      </c>
      <c r="Z3" s="2941">
        <f t="shared" ref="Z3:Z19" si="0">Y3</f>
        <v>1.2685</v>
      </c>
      <c r="AA3" s="2941">
        <f>ROUND(SUMPRODUCT(PRODUCT(1+P3:P$21)),4)</f>
        <v>1.4825999999999999</v>
      </c>
      <c r="AB3" s="2941">
        <f>ROUND(SUMPRODUCT(PRODUCT(1+Q3:Q$21)),4)</f>
        <v>1.2309000000000001</v>
      </c>
      <c r="AD3" s="2942">
        <f>ROUND(AVERAGE(I3:I$22)/100,4)</f>
        <v>2.1899999999999999E-2</v>
      </c>
      <c r="AE3" s="2942">
        <f>ROUND(AVERAGE(J3:J$22)/100,4)</f>
        <v>1.47E-2</v>
      </c>
      <c r="AF3" s="2942">
        <f t="shared" ref="AF3:AF20" si="1">AE3</f>
        <v>1.47E-2</v>
      </c>
      <c r="AG3" s="2942">
        <f>ROUND(AVERAGE(K3:K$22)/100,4)</f>
        <v>2.4299999999999999E-2</v>
      </c>
      <c r="AH3" s="2942">
        <f>ROUND(AVERAGE(L3:L$22)/100,4)</f>
        <v>1.2500000000000001E-2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4">
        <v>2018</v>
      </c>
      <c r="H5" s="1733">
        <v>2</v>
      </c>
      <c r="I5" s="2929">
        <v>0</v>
      </c>
      <c r="J5" s="2929">
        <v>0</v>
      </c>
      <c r="K5" s="2929">
        <v>0</v>
      </c>
      <c r="L5" s="2929">
        <v>0</v>
      </c>
      <c r="N5" s="1470">
        <f t="shared" ref="N5" si="7">I5/100</f>
        <v>0</v>
      </c>
      <c r="O5" s="1470">
        <f t="shared" ref="O5" si="8">J5/100</f>
        <v>0</v>
      </c>
      <c r="P5" s="1470">
        <f t="shared" ref="P5" si="9">K5/100</f>
        <v>0</v>
      </c>
      <c r="Q5" s="1470">
        <f t="shared" ref="Q5" si="10">L5/100</f>
        <v>0</v>
      </c>
      <c r="R5" s="1735"/>
      <c r="S5" s="1736"/>
      <c r="T5" s="1735"/>
      <c r="U5" s="1735"/>
      <c r="V5" s="1735"/>
      <c r="W5" s="2933" t="s">
        <v>3038</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3036</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5">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3033</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31">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3034</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7"/>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6"/>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7"/>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08">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305"/>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305"/>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06"/>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304">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305"/>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305"/>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06"/>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304">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305"/>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305"/>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06"/>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09">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10"/>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10"/>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11"/>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304">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305"/>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305"/>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06"/>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304">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305">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305">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06">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304">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305">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305">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06">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304">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305">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305">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06">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304">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305">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305">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06">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304">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305">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305">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06">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304">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305">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305">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06">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304">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305">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305">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06">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304">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305">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305">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06">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30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305">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305">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0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30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305">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305">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06">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4"/>
      <c r="B4" s="2999" t="s">
        <v>1629</v>
      </c>
      <c r="C4" s="2999"/>
      <c r="D4" s="2999"/>
      <c r="E4" s="1964"/>
    </row>
    <row r="5" spans="1:5" ht="16.5" thickTop="1">
      <c r="A5" s="1962"/>
      <c r="B5" s="2997" t="s">
        <v>1621</v>
      </c>
      <c r="C5" s="1965" t="s">
        <v>1622</v>
      </c>
      <c r="D5" s="1043">
        <f ca="1">结果表!H101</f>
        <v>6158</v>
      </c>
      <c r="E5" s="1962"/>
    </row>
    <row r="6" spans="1:5" ht="15.75">
      <c r="A6" s="1962"/>
      <c r="B6" s="2997"/>
      <c r="C6" s="1965" t="s">
        <v>1623</v>
      </c>
      <c r="D6" s="1043" t="str">
        <f ca="1">NUMBERSTRING(INT(D5*10000),2)&amp;"元整"</f>
        <v>陆仟壹佰伍拾捌万元整</v>
      </c>
      <c r="E6" s="1962"/>
    </row>
    <row r="7" spans="1:5" ht="15.75">
      <c r="A7" s="1962"/>
      <c r="B7" s="3002"/>
      <c r="C7" s="1966" t="s">
        <v>1624</v>
      </c>
      <c r="D7" s="1044">
        <f ca="1">结果表!H102</f>
        <v>8443</v>
      </c>
      <c r="E7" s="1962"/>
    </row>
    <row r="8" spans="1:5" ht="15.75">
      <c r="A8" s="1962"/>
      <c r="B8" s="3003" t="str">
        <f>结果表!E103</f>
        <v>2.估价师知悉的法定优先受偿款</v>
      </c>
      <c r="C8" s="1967" t="s">
        <v>1625</v>
      </c>
      <c r="D8" s="1044">
        <f>结果表!H103</f>
        <v>0</v>
      </c>
      <c r="E8" s="1962"/>
    </row>
    <row r="9" spans="1:5" ht="15.75">
      <c r="A9" s="1962"/>
      <c r="B9" s="3005"/>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6" t="str">
        <f>结果表!E107</f>
        <v>——</v>
      </c>
      <c r="C13" s="1970" t="s">
        <v>1622</v>
      </c>
      <c r="D13" s="1046" t="str">
        <f>结果表!H107</f>
        <v>——</v>
      </c>
      <c r="E13" s="1962"/>
    </row>
    <row r="14" spans="1:5" ht="15.75">
      <c r="A14" s="1962"/>
      <c r="B14" s="2997"/>
      <c r="C14" s="1965" t="s">
        <v>1623</v>
      </c>
      <c r="D14" s="1043" t="e">
        <f>NUMBERSTRING(INT(D13*10000),2)&amp;"元整"</f>
        <v>#VALUE!</v>
      </c>
      <c r="E14" s="1962"/>
    </row>
    <row r="15" spans="1:5" ht="15">
      <c r="A15" s="1962"/>
      <c r="B15" s="3002"/>
      <c r="C15" s="1966" t="s">
        <v>1633</v>
      </c>
      <c r="D15" s="1055" t="e">
        <f>结果表!H108</f>
        <v>#VALUE!</v>
      </c>
      <c r="E15" s="1962"/>
    </row>
    <row r="16" spans="1:5" ht="15">
      <c r="A16" s="1962"/>
      <c r="B16" s="3003" t="str">
        <f>结果表!E109</f>
        <v>3.抵押担保权已注销时的房地产抵押价值</v>
      </c>
      <c r="C16" s="1970" t="s">
        <v>1634</v>
      </c>
      <c r="D16" s="1971">
        <f ca="1">结果表!H109</f>
        <v>6158</v>
      </c>
      <c r="E16" s="1962"/>
    </row>
    <row r="17" spans="1:5" ht="15.75">
      <c r="A17" s="1962"/>
      <c r="B17" s="3004"/>
      <c r="C17" s="1965" t="s">
        <v>1635</v>
      </c>
      <c r="D17" s="1043" t="str">
        <f ca="1">NUMBERSTRING(INT(D16*10000),2)&amp;"元整"</f>
        <v>陆仟壹佰伍拾捌万元整</v>
      </c>
      <c r="E17" s="1962"/>
    </row>
    <row r="18" spans="1:5" ht="15">
      <c r="A18" s="1962"/>
      <c r="B18" s="3005"/>
      <c r="C18" s="1966" t="s">
        <v>1624</v>
      </c>
      <c r="D18" s="1055">
        <f ca="1">结果表!H110</f>
        <v>8443</v>
      </c>
      <c r="E18" s="1962"/>
    </row>
    <row r="19" spans="1:5" ht="15.75">
      <c r="A19" s="1962"/>
      <c r="B19" s="2996" t="str">
        <f>结果表!E111</f>
        <v>——</v>
      </c>
      <c r="C19" s="1970" t="s">
        <v>1622</v>
      </c>
      <c r="D19" s="1044" t="str">
        <f>结果表!H111</f>
        <v>——</v>
      </c>
      <c r="E19" s="1962"/>
    </row>
    <row r="20" spans="1:5" ht="15.75">
      <c r="A20" s="1962"/>
      <c r="B20" s="2997"/>
      <c r="C20" s="1965" t="s">
        <v>1635</v>
      </c>
      <c r="D20" s="1043" t="e">
        <f>NUMBERSTRING(INT(D19*10000),2)&amp;"元整"</f>
        <v>#VALUE!</v>
      </c>
      <c r="E20" s="1962"/>
    </row>
    <row r="21" spans="1:5" ht="15.75" thickBot="1">
      <c r="A21" s="1962"/>
      <c r="B21" s="2998"/>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3" t="s">
        <v>3005</v>
      </c>
      <c r="D1" s="3314"/>
      <c r="E1" s="3314"/>
      <c r="F1" s="3314"/>
      <c r="G1" s="3314"/>
      <c r="H1" s="3314"/>
      <c r="I1" s="3314"/>
      <c r="J1" s="3314"/>
      <c r="K1" s="3314"/>
      <c r="L1" s="3314"/>
      <c r="M1" s="3314"/>
      <c r="N1" s="3314"/>
      <c r="O1" s="3314"/>
      <c r="P1" s="3314"/>
      <c r="Q1" s="3314"/>
      <c r="R1" s="3314"/>
      <c r="S1" s="3315"/>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4" t="s">
        <v>3018</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96" t="s">
        <v>33</v>
      </c>
      <c r="D22" s="3097"/>
      <c r="E22" s="3097"/>
      <c r="F22" s="3097"/>
      <c r="G22" s="3097"/>
      <c r="H22" s="3097"/>
      <c r="I22" s="3097"/>
      <c r="J22" s="3097"/>
      <c r="K22" s="3097"/>
      <c r="L22" s="3097"/>
      <c r="M22" s="3097"/>
      <c r="N22" s="3097"/>
      <c r="O22" s="3097"/>
      <c r="P22" s="3097"/>
      <c r="Q22" s="331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29842</v>
      </c>
      <c r="C2" s="2" t="s">
        <v>133</v>
      </c>
      <c r="D2" s="243"/>
      <c r="E2" s="243"/>
      <c r="F2" s="243"/>
      <c r="G2" s="243"/>
    </row>
    <row r="3" spans="1:7" s="244" customFormat="1" ht="18" customHeight="1" thickBot="1">
      <c r="A3" s="247" t="s">
        <v>85</v>
      </c>
      <c r="B3" s="248">
        <f ca="1">ROUND(B2*10000/'数据-汇总表'!E3,0)</f>
        <v>40915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146</v>
      </c>
      <c r="D10" s="1035">
        <f>'数据-汇总表'!E6</f>
        <v>7293.6999999999989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146</v>
      </c>
      <c r="D19" s="1039">
        <f>'数据-汇总表'!E3</f>
        <v>7293.6999999999989</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3207</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3207</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1823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1605</v>
      </c>
      <c r="D34" s="261"/>
      <c r="E34" s="264"/>
      <c r="F34" s="301">
        <f>IF('数据-取费表'!B24=0,1,'数据-取费表'!N16)</f>
        <v>1</v>
      </c>
      <c r="G34" s="263" t="s">
        <v>116</v>
      </c>
    </row>
    <row r="35" spans="1:7" ht="13.5" customHeight="1">
      <c r="A35" s="954" t="s">
        <v>796</v>
      </c>
      <c r="B35" s="259" t="s">
        <v>60</v>
      </c>
      <c r="C35" s="264">
        <f>ROUND(C34*F35,0)</f>
        <v>48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146</v>
      </c>
      <c r="D37" s="261">
        <f>'数据-汇总表'!E3</f>
        <v>7293.6999999999989</v>
      </c>
      <c r="E37" s="293">
        <f>'数据-取费表'!B35</f>
        <v>200</v>
      </c>
      <c r="F37" s="303"/>
      <c r="G37" s="305" t="s">
        <v>119</v>
      </c>
    </row>
    <row r="38" spans="1:7" ht="13.5" customHeight="1">
      <c r="A38" s="954" t="s">
        <v>799</v>
      </c>
      <c r="B38" s="259" t="s">
        <v>63</v>
      </c>
      <c r="C38" s="264">
        <f>ROUND(C34*F38,0)</f>
        <v>24</v>
      </c>
      <c r="D38" s="264"/>
      <c r="E38" s="264"/>
      <c r="F38" s="303">
        <f>'数据-取费表'!B36</f>
        <v>1.4999999999999999E-2</v>
      </c>
      <c r="G38" s="263" t="s">
        <v>117</v>
      </c>
    </row>
    <row r="39" spans="1:7" s="258" customFormat="1" ht="13.5" customHeight="1">
      <c r="A39" s="951" t="s">
        <v>783</v>
      </c>
      <c r="B39" s="254" t="s">
        <v>104</v>
      </c>
      <c r="C39" s="276">
        <f>ROUND(C33*F20,0)</f>
        <v>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90</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87</v>
      </c>
      <c r="D42" s="282"/>
      <c r="E42" s="282"/>
      <c r="F42" s="283"/>
      <c r="G42" s="3181" t="s">
        <v>121</v>
      </c>
    </row>
    <row r="43" spans="1:7" ht="13.5" customHeight="1">
      <c r="A43" s="954" t="s">
        <v>792</v>
      </c>
      <c r="B43" s="259" t="s">
        <v>1064</v>
      </c>
      <c r="C43" s="282">
        <f ca="1">ROUND(IF('数据-取费表'!B22&lt;=1,C39*F22*'数据-取费表'!B21/2,C39*(POWER((1+F22),'数据-取费表'!B21/2)-1)),0)</f>
        <v>3</v>
      </c>
      <c r="D43" s="282"/>
      <c r="E43" s="282"/>
      <c r="F43" s="283"/>
      <c r="G43" s="3182"/>
    </row>
    <row r="44" spans="1:7" ht="13.5" customHeight="1">
      <c r="A44" s="954" t="s">
        <v>793</v>
      </c>
      <c r="B44" s="259" t="s">
        <v>1066</v>
      </c>
      <c r="C44" s="282">
        <f ca="1">ROUND(IF('数据-取费表'!B22&lt;=1,C40*F22*'数据-取费表'!B21/2,C40*(POWER((1+F22),'数据-取费表'!B21/2)-1)),4)</f>
        <v>1E-3</v>
      </c>
      <c r="D44" s="282"/>
      <c r="E44" s="282"/>
      <c r="F44" s="283"/>
      <c r="G44" s="3183"/>
    </row>
    <row r="45" spans="1:7" s="258" customFormat="1" ht="13.5" customHeight="1">
      <c r="A45" s="951" t="s">
        <v>786</v>
      </c>
      <c r="B45" s="288" t="s">
        <v>112</v>
      </c>
      <c r="C45" s="289">
        <f>C46</f>
        <v>282</v>
      </c>
      <c r="D45" s="279">
        <f>C47</f>
        <v>3.0000000000000001E-3</v>
      </c>
      <c r="E45" s="280" t="s">
        <v>129</v>
      </c>
      <c r="F45" s="290"/>
      <c r="G45" s="291" t="s">
        <v>1072</v>
      </c>
    </row>
    <row r="46" spans="1:7" s="258" customFormat="1" ht="13.5" customHeight="1">
      <c r="A46" s="954" t="s">
        <v>794</v>
      </c>
      <c r="B46" s="292" t="s">
        <v>1065</v>
      </c>
      <c r="C46" s="293">
        <f>ROUND((C33+C39)*F27,0)</f>
        <v>282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2439</v>
      </c>
      <c r="D49" s="276"/>
      <c r="E49" s="276"/>
      <c r="F49" s="308"/>
      <c r="G49" s="278" t="s">
        <v>1073</v>
      </c>
    </row>
    <row r="50" spans="1:7" s="302" customFormat="1" ht="24">
      <c r="A50" s="951" t="s">
        <v>789</v>
      </c>
      <c r="B50" s="254" t="s">
        <v>124</v>
      </c>
      <c r="C50" s="276"/>
      <c r="D50" s="276"/>
      <c r="E50" s="276"/>
      <c r="F50" s="308">
        <f>IF('数据-取费表'!B24=0,'数据-取费表'!N16,1)</f>
        <v>0.4</v>
      </c>
      <c r="G50" s="291" t="s">
        <v>125</v>
      </c>
    </row>
    <row r="51" spans="1:7" ht="16.5" customHeight="1">
      <c r="A51" s="951" t="s">
        <v>790</v>
      </c>
      <c r="B51" s="254" t="s">
        <v>132</v>
      </c>
      <c r="C51" s="276">
        <f ca="1">ROUND(C49*F50,0)</f>
        <v>976</v>
      </c>
      <c r="D51" s="276"/>
      <c r="E51" s="276"/>
      <c r="F51" s="308"/>
      <c r="G51" s="278" t="s">
        <v>64</v>
      </c>
    </row>
    <row r="52" spans="1:7" s="252" customFormat="1" ht="16.5" thickBot="1">
      <c r="A52" s="309" t="s">
        <v>65</v>
      </c>
      <c r="B52" s="310"/>
      <c r="C52" s="311">
        <f ca="1">C31+C51</f>
        <v>29842</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6" t="s">
        <v>156</v>
      </c>
      <c r="B1" s="3316"/>
      <c r="C1" s="3316"/>
      <c r="D1" s="3316"/>
      <c r="E1" s="3316"/>
      <c r="F1" s="33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7" t="s">
        <v>169</v>
      </c>
      <c r="B2" s="3317"/>
      <c r="C2" s="3317"/>
      <c r="D2" s="3317"/>
      <c r="E2" s="3317"/>
      <c r="F2" s="33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6" t="s">
        <v>871</v>
      </c>
      <c r="B1" s="331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J19" sqref="J19"/>
    </sheetView>
  </sheetViews>
  <sheetFormatPr defaultRowHeight="13.5"/>
  <sheetData>
    <row r="1" spans="1:14">
      <c r="A1" s="2969" t="s">
        <v>3099</v>
      </c>
      <c r="B1" s="2969" t="s">
        <v>3100</v>
      </c>
      <c r="C1" s="2970" t="s">
        <v>3101</v>
      </c>
      <c r="D1" s="2969" t="s">
        <v>3102</v>
      </c>
      <c r="E1" s="2969" t="s">
        <v>3103</v>
      </c>
      <c r="F1" s="2969" t="s">
        <v>3104</v>
      </c>
      <c r="G1" s="2971" t="s">
        <v>3105</v>
      </c>
      <c r="H1" s="2971" t="s">
        <v>1354</v>
      </c>
      <c r="I1" s="2972" t="s">
        <v>3106</v>
      </c>
      <c r="J1" s="2972" t="s">
        <v>3107</v>
      </c>
      <c r="K1" s="2973" t="s">
        <v>3108</v>
      </c>
      <c r="L1" s="2973" t="s">
        <v>3107</v>
      </c>
      <c r="M1" s="2969" t="s">
        <v>3109</v>
      </c>
      <c r="N1" s="1638" t="s">
        <v>3110</v>
      </c>
    </row>
    <row r="2" spans="1:14">
      <c r="A2" s="2969">
        <v>1</v>
      </c>
      <c r="B2" s="2969">
        <v>22.5</v>
      </c>
      <c r="C2" s="2970">
        <v>1</v>
      </c>
      <c r="D2" s="2969" t="s">
        <v>3111</v>
      </c>
      <c r="E2" s="2969">
        <v>80</v>
      </c>
      <c r="F2" s="2969" t="s">
        <v>3112</v>
      </c>
      <c r="G2" s="2971">
        <f>B2</f>
        <v>22.5</v>
      </c>
      <c r="H2" s="2971">
        <v>1.6</v>
      </c>
      <c r="I2" s="2972"/>
      <c r="J2" s="2972"/>
      <c r="K2" s="2973"/>
      <c r="L2" s="2973"/>
      <c r="M2" s="2969" t="s">
        <v>3113</v>
      </c>
      <c r="N2" s="1638" t="s">
        <v>3113</v>
      </c>
    </row>
    <row r="3" spans="1:14">
      <c r="A3" s="2969">
        <v>2</v>
      </c>
      <c r="B3" s="2969">
        <v>445.7</v>
      </c>
      <c r="C3" s="2970">
        <v>1</v>
      </c>
      <c r="D3" s="2969" t="s">
        <v>3114</v>
      </c>
      <c r="E3" s="2969">
        <v>60</v>
      </c>
      <c r="F3" s="2969" t="s">
        <v>3115</v>
      </c>
      <c r="G3" s="2971">
        <f>B3</f>
        <v>445.7</v>
      </c>
      <c r="H3" s="2971">
        <v>1.6</v>
      </c>
      <c r="I3" s="2972"/>
      <c r="J3" s="2972"/>
      <c r="K3" s="2973"/>
      <c r="L3" s="2973"/>
      <c r="M3" s="2969" t="s">
        <v>3116</v>
      </c>
      <c r="N3" s="1638" t="s">
        <v>3116</v>
      </c>
    </row>
    <row r="4" spans="1:14" hidden="1">
      <c r="A4" s="2969">
        <v>3</v>
      </c>
      <c r="B4" s="2969">
        <v>95.7</v>
      </c>
      <c r="C4" s="2970">
        <v>1</v>
      </c>
      <c r="D4" s="2969" t="s">
        <v>3117</v>
      </c>
      <c r="E4" s="2969">
        <v>60</v>
      </c>
      <c r="F4" s="2969" t="s">
        <v>3118</v>
      </c>
      <c r="G4" s="2971" t="s">
        <v>3119</v>
      </c>
      <c r="H4" s="2971" t="s">
        <v>3060</v>
      </c>
      <c r="I4" s="2972"/>
      <c r="J4" s="2972"/>
      <c r="K4" s="2973" t="s">
        <v>3060</v>
      </c>
      <c r="L4" s="2973"/>
      <c r="M4" s="2969" t="s">
        <v>3120</v>
      </c>
      <c r="N4" s="1638" t="s">
        <v>3116</v>
      </c>
    </row>
    <row r="5" spans="1:14">
      <c r="A5" s="2969">
        <v>4</v>
      </c>
      <c r="B5" s="2969">
        <v>677.4</v>
      </c>
      <c r="C5" s="2970" t="s">
        <v>3121</v>
      </c>
      <c r="D5" s="2969" t="s">
        <v>3122</v>
      </c>
      <c r="E5" s="2969">
        <v>90</v>
      </c>
      <c r="F5" s="2969"/>
      <c r="G5" s="2971">
        <f>B5</f>
        <v>677.4</v>
      </c>
      <c r="H5" s="2971">
        <v>1.6</v>
      </c>
      <c r="I5" s="2972"/>
      <c r="J5" s="2972"/>
      <c r="K5" s="2973"/>
      <c r="L5" s="2973"/>
      <c r="M5" s="2969" t="s">
        <v>3123</v>
      </c>
      <c r="N5" s="1638" t="s">
        <v>3123</v>
      </c>
    </row>
    <row r="6" spans="1:14">
      <c r="A6" s="2969">
        <v>5</v>
      </c>
      <c r="B6" s="2969">
        <v>283.8</v>
      </c>
      <c r="C6" s="2970" t="s">
        <v>3124</v>
      </c>
      <c r="D6" s="2969" t="s">
        <v>3125</v>
      </c>
      <c r="E6" s="2969">
        <v>80</v>
      </c>
      <c r="F6" s="2969"/>
      <c r="G6" s="2971">
        <f>B6</f>
        <v>283.8</v>
      </c>
      <c r="H6" s="2971">
        <v>1.6</v>
      </c>
      <c r="I6" s="2972"/>
      <c r="J6" s="2972"/>
      <c r="K6" s="2973"/>
      <c r="L6" s="2973"/>
      <c r="M6" s="2969" t="s">
        <v>3123</v>
      </c>
      <c r="N6" s="1638" t="s">
        <v>3123</v>
      </c>
    </row>
    <row r="7" spans="1:14">
      <c r="A7" s="2969">
        <v>6</v>
      </c>
      <c r="B7" s="2969">
        <v>40.1</v>
      </c>
      <c r="C7" s="2970" t="s">
        <v>3126</v>
      </c>
      <c r="D7" s="2969" t="s">
        <v>3125</v>
      </c>
      <c r="E7" s="2969">
        <v>80</v>
      </c>
      <c r="F7" s="2969" t="s">
        <v>3127</v>
      </c>
      <c r="G7" s="2971"/>
      <c r="H7" s="2971"/>
      <c r="I7" s="2972"/>
      <c r="J7" s="2972"/>
      <c r="K7" s="2973">
        <f>B7</f>
        <v>40.1</v>
      </c>
      <c r="L7" s="2973">
        <v>1.1399999999999999</v>
      </c>
      <c r="M7" s="2969" t="s">
        <v>3128</v>
      </c>
      <c r="N7" s="1638" t="s">
        <v>3128</v>
      </c>
    </row>
    <row r="8" spans="1:14">
      <c r="A8" s="2969">
        <v>7</v>
      </c>
      <c r="B8" s="2969">
        <v>36.299999999999997</v>
      </c>
      <c r="C8" s="2970" t="s">
        <v>3129</v>
      </c>
      <c r="D8" s="2969" t="s">
        <v>3130</v>
      </c>
      <c r="E8" s="2969">
        <v>80</v>
      </c>
      <c r="F8" s="2969" t="s">
        <v>3131</v>
      </c>
      <c r="G8" s="2971">
        <f>B8</f>
        <v>36.299999999999997</v>
      </c>
      <c r="H8" s="2971">
        <v>1.6</v>
      </c>
      <c r="I8" s="2972"/>
      <c r="J8" s="2972"/>
      <c r="K8" s="2973"/>
      <c r="L8" s="2973"/>
      <c r="M8" s="2969" t="s">
        <v>3128</v>
      </c>
      <c r="N8" s="1638" t="s">
        <v>3128</v>
      </c>
    </row>
    <row r="9" spans="1:14">
      <c r="A9" s="2969">
        <v>8</v>
      </c>
      <c r="B9" s="2969">
        <v>74.8</v>
      </c>
      <c r="C9" s="2970" t="s">
        <v>3129</v>
      </c>
      <c r="D9" s="2969" t="s">
        <v>3130</v>
      </c>
      <c r="E9" s="2969">
        <v>80</v>
      </c>
      <c r="F9" s="2969" t="s">
        <v>3131</v>
      </c>
      <c r="G9" s="2971">
        <f>B9</f>
        <v>74.8</v>
      </c>
      <c r="H9" s="2971">
        <v>1.6</v>
      </c>
      <c r="I9" s="2972"/>
      <c r="J9" s="2972"/>
      <c r="K9" s="2973"/>
      <c r="L9" s="2973"/>
      <c r="M9" s="2969" t="s">
        <v>3128</v>
      </c>
      <c r="N9" s="1638" t="s">
        <v>3128</v>
      </c>
    </row>
    <row r="10" spans="1:14">
      <c r="A10" s="2969">
        <v>9</v>
      </c>
      <c r="B10" s="2969">
        <v>186.7</v>
      </c>
      <c r="C10" s="2970" t="s">
        <v>3129</v>
      </c>
      <c r="D10" s="2969" t="s">
        <v>3130</v>
      </c>
      <c r="E10" s="2969">
        <v>80</v>
      </c>
      <c r="F10" s="2969" t="s">
        <v>3131</v>
      </c>
      <c r="G10" s="2971"/>
      <c r="H10" s="2971"/>
      <c r="I10" s="2972"/>
      <c r="J10" s="2972"/>
      <c r="K10" s="2973">
        <f>B10</f>
        <v>186.7</v>
      </c>
      <c r="L10" s="2973">
        <v>1.1399999999999999</v>
      </c>
      <c r="M10" s="2969" t="s">
        <v>3132</v>
      </c>
      <c r="N10" s="1638" t="s">
        <v>3132</v>
      </c>
    </row>
    <row r="11" spans="1:14">
      <c r="A11" s="2969">
        <v>10</v>
      </c>
      <c r="B11" s="2969">
        <v>2031.6</v>
      </c>
      <c r="C11" s="2970" t="s">
        <v>3133</v>
      </c>
      <c r="D11" s="2969" t="s">
        <v>3134</v>
      </c>
      <c r="E11" s="2969">
        <v>80</v>
      </c>
      <c r="F11" s="2969"/>
      <c r="G11" s="2974"/>
      <c r="H11" s="2971"/>
      <c r="I11" s="2972"/>
      <c r="J11" s="2972"/>
      <c r="K11" s="2973">
        <f>B11</f>
        <v>2031.6</v>
      </c>
      <c r="L11" s="2973">
        <v>1.1399999999999999</v>
      </c>
      <c r="M11" s="2969" t="s">
        <v>3128</v>
      </c>
      <c r="N11" s="1638" t="s">
        <v>3128</v>
      </c>
    </row>
    <row r="12" spans="1:14">
      <c r="A12" s="2975">
        <v>11</v>
      </c>
      <c r="B12" s="2975">
        <v>41.2</v>
      </c>
      <c r="C12" s="2976" t="s">
        <v>3129</v>
      </c>
      <c r="D12" s="2975" t="s">
        <v>3130</v>
      </c>
      <c r="E12" s="2975">
        <v>80</v>
      </c>
      <c r="F12" s="2975" t="s">
        <v>3135</v>
      </c>
      <c r="G12" s="2977">
        <f>B12</f>
        <v>41.2</v>
      </c>
      <c r="H12" s="2977">
        <v>1.6</v>
      </c>
      <c r="I12" s="2978"/>
      <c r="J12" s="2978"/>
      <c r="K12" s="2979"/>
      <c r="L12" s="2979"/>
      <c r="M12" s="2980" t="s">
        <v>3128</v>
      </c>
      <c r="N12" s="1638" t="s">
        <v>3128</v>
      </c>
    </row>
    <row r="13" spans="1:14">
      <c r="A13" s="2969">
        <v>12</v>
      </c>
      <c r="B13" s="2969">
        <v>82.4</v>
      </c>
      <c r="C13" s="2970" t="s">
        <v>3129</v>
      </c>
      <c r="D13" s="2969" t="s">
        <v>3130</v>
      </c>
      <c r="E13" s="2969">
        <v>80</v>
      </c>
      <c r="F13" s="2969" t="s">
        <v>3135</v>
      </c>
      <c r="G13" s="2971"/>
      <c r="H13" s="2971"/>
      <c r="I13" s="2972"/>
      <c r="J13" s="2972"/>
      <c r="K13" s="2973">
        <f>B13</f>
        <v>82.4</v>
      </c>
      <c r="L13" s="2973">
        <v>1.1399999999999999</v>
      </c>
      <c r="M13" s="2969" t="s">
        <v>3128</v>
      </c>
      <c r="N13" s="1638" t="s">
        <v>3128</v>
      </c>
    </row>
    <row r="14" spans="1:14">
      <c r="A14" s="2969">
        <v>13</v>
      </c>
      <c r="B14" s="2969">
        <v>44.4</v>
      </c>
      <c r="C14" s="2970" t="s">
        <v>3129</v>
      </c>
      <c r="D14" s="2969" t="s">
        <v>3130</v>
      </c>
      <c r="E14" s="2969">
        <v>80</v>
      </c>
      <c r="F14" s="2969" t="s">
        <v>3135</v>
      </c>
      <c r="G14" s="2971" t="s">
        <v>3136</v>
      </c>
      <c r="H14" s="2971"/>
      <c r="I14" s="2972" t="s">
        <v>3060</v>
      </c>
      <c r="J14" s="2972"/>
      <c r="K14" s="2973" t="s">
        <v>3060</v>
      </c>
      <c r="L14" s="2973"/>
      <c r="M14" s="2969" t="s">
        <v>3137</v>
      </c>
      <c r="N14" s="1638" t="s">
        <v>3128</v>
      </c>
    </row>
    <row r="15" spans="1:14">
      <c r="A15" s="2969">
        <v>14</v>
      </c>
      <c r="B15" s="2969">
        <v>846.6</v>
      </c>
      <c r="C15" s="2970" t="s">
        <v>3138</v>
      </c>
      <c r="D15" s="2969" t="s">
        <v>3130</v>
      </c>
      <c r="E15" s="2969">
        <v>80</v>
      </c>
      <c r="F15" s="2969"/>
      <c r="G15" s="2971"/>
      <c r="H15" s="2971"/>
      <c r="I15" s="2972"/>
      <c r="J15" s="2972"/>
      <c r="K15" s="2973">
        <f>B15</f>
        <v>846.6</v>
      </c>
      <c r="L15" s="2973">
        <v>1.1399999999999999</v>
      </c>
      <c r="M15" s="2969" t="s">
        <v>3128</v>
      </c>
      <c r="N15" s="1638" t="s">
        <v>3128</v>
      </c>
    </row>
    <row r="16" spans="1:14">
      <c r="A16" s="2981">
        <v>15</v>
      </c>
      <c r="B16" s="2981">
        <v>473.9</v>
      </c>
      <c r="C16" s="2982" t="s">
        <v>3129</v>
      </c>
      <c r="D16" s="2981" t="s">
        <v>3139</v>
      </c>
      <c r="E16" s="2981">
        <v>60</v>
      </c>
      <c r="F16" s="2981" t="s">
        <v>3140</v>
      </c>
      <c r="G16" s="2983">
        <f>B16</f>
        <v>473.9</v>
      </c>
      <c r="H16" s="2983">
        <v>1.6</v>
      </c>
      <c r="I16" s="2983"/>
      <c r="J16" s="2983"/>
      <c r="K16" s="2983"/>
      <c r="L16" s="2983"/>
      <c r="M16" s="2981" t="s">
        <v>3128</v>
      </c>
      <c r="N16" s="2984" t="s">
        <v>3137</v>
      </c>
    </row>
    <row r="17" spans="1:14">
      <c r="A17" s="2981">
        <v>16</v>
      </c>
      <c r="B17" s="2981">
        <v>97.6</v>
      </c>
      <c r="C17" s="2982" t="s">
        <v>3129</v>
      </c>
      <c r="D17" s="2981" t="s">
        <v>3139</v>
      </c>
      <c r="E17" s="2981">
        <v>60</v>
      </c>
      <c r="F17" s="2981" t="s">
        <v>3135</v>
      </c>
      <c r="G17" s="2983">
        <f>B17</f>
        <v>97.6</v>
      </c>
      <c r="H17" s="2983">
        <v>1.6</v>
      </c>
      <c r="I17" s="2983"/>
      <c r="J17" s="2983"/>
      <c r="K17" s="2983"/>
      <c r="L17" s="2983"/>
      <c r="M17" s="2983" t="s">
        <v>3132</v>
      </c>
      <c r="N17" s="2984" t="s">
        <v>3141</v>
      </c>
    </row>
    <row r="18" spans="1:14">
      <c r="A18" s="2981">
        <v>17</v>
      </c>
      <c r="B18" s="2981">
        <v>117.7</v>
      </c>
      <c r="C18" s="2982" t="s">
        <v>3142</v>
      </c>
      <c r="D18" s="2981" t="s">
        <v>3143</v>
      </c>
      <c r="E18" s="2981">
        <v>90</v>
      </c>
      <c r="F18" s="2981" t="s">
        <v>3144</v>
      </c>
      <c r="G18" s="2983">
        <f>B18</f>
        <v>117.7</v>
      </c>
      <c r="H18" s="2983">
        <v>1.6</v>
      </c>
      <c r="I18" s="2983"/>
      <c r="J18" s="2983"/>
      <c r="K18" s="2983"/>
      <c r="L18" s="2983"/>
      <c r="M18" s="2983" t="s">
        <v>3128</v>
      </c>
      <c r="N18" s="2984" t="s">
        <v>3137</v>
      </c>
    </row>
    <row r="19" spans="1:14">
      <c r="A19" s="2975">
        <v>18</v>
      </c>
      <c r="B19" s="2975">
        <v>2309.6</v>
      </c>
      <c r="C19" s="2976" t="s">
        <v>3145</v>
      </c>
      <c r="D19" s="2975" t="s">
        <v>3130</v>
      </c>
      <c r="E19" s="2975">
        <v>80</v>
      </c>
      <c r="F19" s="2975" t="s">
        <v>3135</v>
      </c>
      <c r="G19" s="2977">
        <v>502.6</v>
      </c>
      <c r="H19" s="2977">
        <v>1.6</v>
      </c>
      <c r="I19" s="2978">
        <v>1807</v>
      </c>
      <c r="J19" s="2978">
        <v>2.2000000000000002</v>
      </c>
      <c r="K19" s="2979"/>
      <c r="L19" s="2979"/>
      <c r="M19" s="2980" t="s">
        <v>3128</v>
      </c>
      <c r="N19" s="2985" t="s">
        <v>3128</v>
      </c>
    </row>
    <row r="20" spans="1:14">
      <c r="A20" s="2986" t="s">
        <v>3146</v>
      </c>
      <c r="B20" s="2969">
        <v>74.900000000000006</v>
      </c>
      <c r="C20" s="2970"/>
      <c r="D20" s="2969"/>
      <c r="E20" s="2969"/>
      <c r="F20" s="2969"/>
      <c r="G20" s="2971">
        <v>74.900000000000006</v>
      </c>
      <c r="H20" s="2971">
        <v>1.6</v>
      </c>
      <c r="I20" s="2972"/>
      <c r="J20" s="2972"/>
      <c r="K20" s="2973"/>
      <c r="L20" s="2973"/>
      <c r="M20" s="2969" t="s">
        <v>3128</v>
      </c>
      <c r="N20" s="1638" t="s">
        <v>3128</v>
      </c>
    </row>
    <row r="21" spans="1:14">
      <c r="A21" s="1638" t="s">
        <v>3147</v>
      </c>
      <c r="B21" s="1638"/>
      <c r="C21" s="2987"/>
      <c r="D21" s="1638"/>
      <c r="E21" s="1638"/>
      <c r="F21" s="1638"/>
      <c r="G21" s="2988">
        <v>44620</v>
      </c>
      <c r="H21" s="2989"/>
      <c r="I21" s="2990">
        <v>44620</v>
      </c>
      <c r="J21" s="2991"/>
      <c r="K21" s="2992">
        <v>44620</v>
      </c>
      <c r="L21" s="2993"/>
      <c r="M21" s="1638"/>
      <c r="N21" s="1638"/>
    </row>
    <row r="22" spans="1:14">
      <c r="A22" s="1638" t="s">
        <v>3148</v>
      </c>
      <c r="B22" s="1638"/>
      <c r="C22" s="2987"/>
      <c r="D22" s="1638"/>
      <c r="E22" s="1638"/>
      <c r="F22" s="1638"/>
      <c r="G22" s="2989">
        <f>SUM(G2:G14)+G19+G20</f>
        <v>2159.1999999999998</v>
      </c>
      <c r="H22" s="2989"/>
      <c r="I22" s="2991">
        <v>1807</v>
      </c>
      <c r="J22" s="2991"/>
      <c r="K22" s="2993">
        <f>SUM(K7:K15)</f>
        <v>3187.4</v>
      </c>
      <c r="L22" s="2993"/>
      <c r="M22" s="1638"/>
      <c r="N22" s="1638"/>
    </row>
    <row r="23" spans="1:14">
      <c r="A23" s="2994" t="s">
        <v>3149</v>
      </c>
      <c r="B23" s="2994"/>
      <c r="C23" s="2994"/>
      <c r="D23" s="2994"/>
      <c r="E23" s="2994"/>
      <c r="F23" s="2994"/>
      <c r="G23" s="2994">
        <f>SUM(G22:K22)</f>
        <v>7153.6</v>
      </c>
      <c r="H23" s="2994"/>
      <c r="I23" s="2994"/>
      <c r="J23" s="2994"/>
      <c r="K23" s="2994"/>
      <c r="L23" s="2994"/>
      <c r="M23" s="2994"/>
      <c r="N23" s="2994"/>
    </row>
    <row r="24" spans="1:14">
      <c r="A24" s="2994" t="s">
        <v>3150</v>
      </c>
      <c r="B24" s="2994"/>
      <c r="C24" s="2994"/>
      <c r="D24" s="2994"/>
      <c r="E24" s="2994"/>
      <c r="F24" s="2994"/>
      <c r="G24" s="2994">
        <f>B4+B14</f>
        <v>140.1</v>
      </c>
      <c r="H24" s="2994"/>
      <c r="I24" s="2994"/>
      <c r="J24" s="2994"/>
      <c r="K24" s="2994"/>
      <c r="L24" s="2994"/>
      <c r="M24" s="2994"/>
      <c r="N24" s="2994"/>
    </row>
    <row r="25" spans="1:14">
      <c r="A25" s="1638" t="s">
        <v>3151</v>
      </c>
      <c r="B25" s="1638"/>
      <c r="C25" s="1638"/>
      <c r="D25" s="1638"/>
      <c r="E25" s="1638"/>
      <c r="F25" s="1638"/>
      <c r="G25" s="1638">
        <f>SUM(B2:B15)+B19+B20</f>
        <v>7293.6999999999989</v>
      </c>
      <c r="H25" s="1638"/>
      <c r="I25" s="1638"/>
      <c r="J25" s="1638"/>
      <c r="K25" s="1638"/>
      <c r="L25" s="1638"/>
      <c r="M25" s="1638"/>
      <c r="N25" s="1638"/>
    </row>
    <row r="26" spans="1:14">
      <c r="A26" s="1638"/>
      <c r="B26" s="1638"/>
      <c r="C26" s="1638"/>
      <c r="D26" s="1638"/>
      <c r="E26" s="1638"/>
      <c r="F26" s="1638"/>
      <c r="G26" s="1638"/>
      <c r="H26" s="1638"/>
      <c r="I26" s="1638"/>
      <c r="J26" s="1638"/>
      <c r="K26" s="1638"/>
      <c r="L26" s="1638"/>
      <c r="M26" s="1638"/>
      <c r="N26" s="1638"/>
    </row>
    <row r="27" spans="1:14">
      <c r="A27" s="2994" t="s">
        <v>3152</v>
      </c>
      <c r="B27" s="2994"/>
      <c r="C27" s="2994"/>
      <c r="D27" s="2994"/>
      <c r="E27" s="2994"/>
      <c r="F27" s="2994"/>
      <c r="G27" s="2994">
        <f>ROUND((1.6*G22/G23+2.2*I19/G23+1.14*K22/G23),2)</f>
        <v>1.55</v>
      </c>
      <c r="H27" s="2994"/>
      <c r="I27" s="2994"/>
      <c r="J27" s="2994"/>
      <c r="K27" s="2994"/>
      <c r="L27" s="2994"/>
      <c r="M27" s="2994"/>
      <c r="N27" s="2994"/>
    </row>
    <row r="28" spans="1:14">
      <c r="A28" s="1638"/>
      <c r="B28" s="1638" t="s">
        <v>3153</v>
      </c>
      <c r="C28" s="1638">
        <v>2014</v>
      </c>
      <c r="D28" s="1638">
        <v>2015</v>
      </c>
      <c r="E28" s="1638">
        <v>2016</v>
      </c>
      <c r="F28" s="1638">
        <v>2017</v>
      </c>
      <c r="G28" s="1638">
        <v>2018</v>
      </c>
      <c r="H28" s="1638">
        <v>2019</v>
      </c>
      <c r="I28" s="1638">
        <v>2020</v>
      </c>
      <c r="J28" s="1638">
        <v>2021</v>
      </c>
      <c r="K28" s="1638">
        <v>2022</v>
      </c>
      <c r="L28" s="1638"/>
      <c r="M28" s="1638"/>
      <c r="N28" s="1638"/>
    </row>
    <row r="29" spans="1:14">
      <c r="A29" s="1638"/>
      <c r="B29" s="1638"/>
      <c r="C29" s="1638">
        <v>1.1000000000000001</v>
      </c>
      <c r="D29" s="1638">
        <v>1.1000000000000001</v>
      </c>
      <c r="E29" s="1638">
        <v>1.1000000000000001</v>
      </c>
      <c r="F29" s="1638">
        <v>1.1000000000000001</v>
      </c>
      <c r="G29" s="1638">
        <v>1.18</v>
      </c>
      <c r="H29" s="1638">
        <v>1.18</v>
      </c>
      <c r="I29" s="1638">
        <v>1.18</v>
      </c>
      <c r="J29" s="1638">
        <v>1.18</v>
      </c>
      <c r="K29" s="1638">
        <v>1.18</v>
      </c>
      <c r="L29" s="1638"/>
      <c r="M29" s="1638"/>
      <c r="N29" s="1638"/>
    </row>
    <row r="30" spans="1:14">
      <c r="A30" s="1638"/>
      <c r="B30" s="1638"/>
      <c r="C30" s="1638"/>
      <c r="D30" s="1638"/>
      <c r="E30" s="1638"/>
      <c r="F30" s="1638"/>
      <c r="G30" s="1638"/>
      <c r="H30" s="1638"/>
      <c r="I30" s="1638"/>
      <c r="J30" s="1638"/>
      <c r="K30" s="1638"/>
      <c r="L30" s="1638"/>
      <c r="M30" s="1638"/>
      <c r="N30" s="1638"/>
    </row>
    <row r="31" spans="1:14">
      <c r="A31" s="1638"/>
      <c r="B31" s="1638" t="s">
        <v>3154</v>
      </c>
      <c r="C31" s="1638"/>
      <c r="D31" s="1638">
        <f>ROUND((C29+D29+E29+F29+G29+H29+I29+J29+K29)/9,2)</f>
        <v>1.1399999999999999</v>
      </c>
      <c r="E31" s="1638"/>
      <c r="F31" s="1638"/>
      <c r="G31" s="1638"/>
      <c r="H31" s="1638"/>
      <c r="I31" s="1638"/>
      <c r="J31" s="1638"/>
      <c r="K31" s="1638"/>
      <c r="L31" s="1638"/>
      <c r="M31" s="1638"/>
      <c r="N31" s="1638"/>
    </row>
    <row r="32" spans="1:14">
      <c r="A32" s="1638"/>
      <c r="B32" s="1638"/>
      <c r="C32" s="1638"/>
      <c r="D32" s="1638"/>
      <c r="E32" s="1638"/>
      <c r="F32" s="1638"/>
      <c r="G32" s="1638"/>
      <c r="H32" s="1638"/>
      <c r="I32" s="1638"/>
      <c r="J32" s="1638"/>
      <c r="K32" s="1638"/>
      <c r="L32" s="1638"/>
      <c r="M32" s="1638"/>
      <c r="N32" s="1638"/>
    </row>
    <row r="33" spans="1:14">
      <c r="A33" s="1638"/>
      <c r="B33" s="1638"/>
      <c r="C33" s="1638"/>
      <c r="D33" s="1638"/>
      <c r="E33" s="1638"/>
      <c r="F33" s="1638"/>
      <c r="G33" s="1638"/>
      <c r="H33" s="1638"/>
      <c r="I33" s="1638"/>
      <c r="J33" s="1638"/>
      <c r="K33" s="1638"/>
      <c r="L33" s="1638"/>
      <c r="M33" s="1638"/>
      <c r="N33" s="1638"/>
    </row>
    <row r="34" spans="1:14">
      <c r="A34" s="1638"/>
      <c r="B34" s="1638"/>
      <c r="C34" s="1638"/>
      <c r="D34" s="1638"/>
      <c r="E34" s="1638"/>
      <c r="F34" s="1638"/>
      <c r="G34" s="1638"/>
      <c r="H34" s="1638"/>
      <c r="I34" s="1638"/>
      <c r="J34" s="1638"/>
      <c r="K34" s="1638"/>
      <c r="L34" s="1638"/>
      <c r="M34" s="1638"/>
      <c r="N34" s="1638"/>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1640</v>
      </c>
      <c r="B2" s="3007" t="s">
        <v>1641</v>
      </c>
      <c r="C2" s="3007" t="s">
        <v>1642</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47" t="s">
        <v>1637</v>
      </c>
      <c r="E3" s="1047" t="s">
        <v>1643</v>
      </c>
      <c r="F3" s="1047" t="s">
        <v>1637</v>
      </c>
      <c r="G3" s="1047" t="s">
        <v>1638</v>
      </c>
      <c r="H3" s="1047" t="s">
        <v>1637</v>
      </c>
      <c r="I3" s="1047" t="s">
        <v>1638</v>
      </c>
    </row>
    <row r="4" spans="1:9" ht="30">
      <c r="A4" s="1976" t="str">
        <f>项目基本情况!S2</f>
        <v>北京市丰台区刘庄子119号1幢等18幢楼房地产</v>
      </c>
      <c r="B4" s="1047">
        <f>项目基本情况!C17</f>
        <v>7293.6999999999989</v>
      </c>
      <c r="C4" s="1047">
        <f>项目基本情况!C18</f>
        <v>8515.35</v>
      </c>
      <c r="D4" s="1047">
        <f ca="1">结果表!D118</f>
        <v>5111</v>
      </c>
      <c r="E4" s="1047">
        <f ca="1">结果表!E118</f>
        <v>7008</v>
      </c>
      <c r="F4" s="1047">
        <f ca="1">结果表!F118</f>
        <v>1047</v>
      </c>
      <c r="G4" s="1047">
        <f ca="1">结果表!G118</f>
        <v>1435</v>
      </c>
      <c r="H4" s="1047">
        <f ca="1">结果表!H118</f>
        <v>6158</v>
      </c>
      <c r="I4" s="1047">
        <f ca="1">结果表!I118</f>
        <v>8443</v>
      </c>
    </row>
    <row r="5" spans="1:9" ht="30" customHeight="1">
      <c r="A5" s="3008" t="s">
        <v>1639</v>
      </c>
      <c r="B5" s="3008"/>
      <c r="C5" s="3008"/>
      <c r="D5" s="3009" t="str">
        <f ca="1">结果表!D119</f>
        <v>伍仟壹佰壹拾壹万元整</v>
      </c>
      <c r="E5" s="3009"/>
      <c r="F5" s="3009" t="str">
        <f ca="1">结果表!F119</f>
        <v>壹仟零肆拾柒万元整</v>
      </c>
      <c r="G5" s="3009"/>
      <c r="H5" s="3009" t="str">
        <f ca="1">结果表!H119</f>
        <v>陆仟壹佰伍拾捌万元整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1639</v>
      </c>
      <c r="B7" s="3008"/>
      <c r="C7" s="3008"/>
      <c r="D7" s="3011" t="str">
        <f>结果表!D121</f>
        <v>零元整</v>
      </c>
      <c r="E7" s="3012"/>
      <c r="F7" s="3012"/>
      <c r="G7" s="3012"/>
      <c r="H7" s="3012"/>
      <c r="I7" s="3013"/>
    </row>
    <row r="8" spans="1:9" ht="15.75">
      <c r="A8" s="3010" t="str">
        <f>结果表!A122</f>
        <v/>
      </c>
      <c r="B8" s="3010"/>
      <c r="C8" s="3010"/>
      <c r="D8" s="3010" t="str">
        <f>结果表!D122</f>
        <v>——</v>
      </c>
      <c r="E8" s="3010"/>
      <c r="F8" s="3010"/>
      <c r="G8" s="3010"/>
      <c r="H8" s="3010"/>
      <c r="I8" s="3010"/>
    </row>
    <row r="9" spans="1:9" ht="15">
      <c r="A9" s="3008" t="s">
        <v>1639</v>
      </c>
      <c r="B9" s="3008"/>
      <c r="C9" s="3008"/>
      <c r="D9" s="3009" t="e">
        <f>结果表!D123</f>
        <v>#VALUE!</v>
      </c>
      <c r="E9" s="3009"/>
      <c r="F9" s="3009"/>
      <c r="G9" s="3009"/>
      <c r="H9" s="3009"/>
      <c r="I9" s="3009"/>
    </row>
    <row r="10" spans="1:9" ht="15.75">
      <c r="A10" s="3010" t="str">
        <f>结果表!A124</f>
        <v>抵押担保权已注销时的房地产抵押价值</v>
      </c>
      <c r="B10" s="3010"/>
      <c r="C10" s="3010"/>
      <c r="D10" s="3010">
        <f ca="1">结果表!D124</f>
        <v>6158</v>
      </c>
      <c r="E10" s="3010"/>
      <c r="F10" s="3010"/>
      <c r="G10" s="3010"/>
      <c r="H10" s="3010"/>
      <c r="I10" s="3010"/>
    </row>
    <row r="11" spans="1:9" ht="15">
      <c r="A11" s="3008" t="s">
        <v>1639</v>
      </c>
      <c r="B11" s="3008"/>
      <c r="C11" s="3008"/>
      <c r="D11" s="3009" t="str">
        <f ca="1">结果表!D125</f>
        <v>陆仟壹佰伍拾捌万元整</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1639</v>
      </c>
      <c r="B13" s="3014"/>
      <c r="C13" s="3014"/>
      <c r="D13" s="3015" t="e">
        <f>结果表!D127</f>
        <v>#VALUE!</v>
      </c>
      <c r="E13" s="3015"/>
      <c r="F13" s="3015"/>
      <c r="G13" s="3015"/>
      <c r="H13" s="3015"/>
      <c r="I13" s="3015"/>
    </row>
    <row r="14" spans="1:9" ht="15" thickTop="1">
      <c r="A14" s="3016" t="s">
        <v>1644</v>
      </c>
      <c r="B14" s="3016"/>
      <c r="C14" s="3016"/>
      <c r="D14" s="3016"/>
      <c r="E14" s="3016"/>
      <c r="F14" s="3016"/>
      <c r="G14" s="3016"/>
      <c r="H14" s="3016"/>
      <c r="I14" s="301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7" t="s">
        <v>1661</v>
      </c>
      <c r="B1" s="3017"/>
      <c r="C1" s="3017"/>
      <c r="D1" s="3017"/>
    </row>
    <row r="2" spans="1:4" ht="18">
      <c r="A2" s="3018" t="s">
        <v>1645</v>
      </c>
      <c r="B2" s="3018"/>
      <c r="C2" s="3018"/>
      <c r="D2" s="3018"/>
    </row>
    <row r="3" spans="1:4" ht="18.75">
      <c r="A3" s="1980" t="s">
        <v>1646</v>
      </c>
      <c r="B3" s="1980" t="s">
        <v>1647</v>
      </c>
      <c r="C3" s="1980" t="s">
        <v>1648</v>
      </c>
      <c r="D3" s="1980" t="s">
        <v>1649</v>
      </c>
    </row>
    <row r="4" spans="1:4" ht="56.25" customHeight="1">
      <c r="A4" s="1981" t="str">
        <f>项目基本情况!B4</f>
        <v>刘梅</v>
      </c>
      <c r="B4" s="1982">
        <f ca="1">项目基本情况!C4</f>
        <v>1120140022</v>
      </c>
      <c r="C4" s="1983"/>
      <c r="D4" s="1984" t="s">
        <v>1650</v>
      </c>
    </row>
    <row r="5" spans="1:4" ht="56.25" customHeight="1">
      <c r="A5" s="1981" t="str">
        <f>项目基本情况!D4</f>
        <v>吴薇</v>
      </c>
      <c r="B5" s="1982">
        <f ca="1">项目基本情况!E4</f>
        <v>1419970001</v>
      </c>
      <c r="C5" s="1985"/>
      <c r="D5" s="1984" t="s">
        <v>1650</v>
      </c>
    </row>
    <row r="6" spans="1:4" ht="18">
      <c r="A6" s="3018" t="s">
        <v>1651</v>
      </c>
      <c r="B6" s="3018"/>
      <c r="C6" s="3018"/>
      <c r="D6" s="3018"/>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19" t="s">
        <v>1654</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（1）根据估价对象《不动产权证书》原件，截至价值时点，估价对象抵押权未见登记。</v>
      </c>
      <c r="B15" s="3020"/>
      <c r="C15" s="3020"/>
      <c r="D15" s="3020"/>
    </row>
    <row r="16" spans="1:4" ht="30" customHeight="1">
      <c r="A16" s="3023" t="s">
        <v>1655</v>
      </c>
      <c r="B16" s="3023"/>
      <c r="C16" s="3023"/>
      <c r="D16" s="3023"/>
    </row>
    <row r="17" spans="1:4" ht="144" customHeight="1">
      <c r="A17" s="3023" t="s">
        <v>1656</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1657</v>
      </c>
      <c r="B22" s="3025"/>
      <c r="C22" s="3025"/>
      <c r="D22" s="3025"/>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31" t="s">
        <v>1668</v>
      </c>
      <c r="B15" s="3026" t="s">
        <v>136</v>
      </c>
      <c r="C15" s="3027"/>
    </row>
    <row r="16" spans="1:7" ht="13.5">
      <c r="A16" s="3032"/>
      <c r="B16" s="3026" t="s">
        <v>69</v>
      </c>
      <c r="C16" s="3027"/>
    </row>
    <row r="17" spans="1:3" ht="13.5">
      <c r="A17" s="3032"/>
      <c r="B17" s="3029" t="s">
        <v>1669</v>
      </c>
      <c r="C17" s="2003" t="s">
        <v>1668</v>
      </c>
    </row>
    <row r="18" spans="1:3" ht="13.5">
      <c r="A18" s="3032"/>
      <c r="B18" s="3029"/>
      <c r="C18" s="2003" t="s">
        <v>1670</v>
      </c>
    </row>
    <row r="19" spans="1:3" ht="13.5">
      <c r="A19" s="3032"/>
      <c r="B19" s="3029"/>
      <c r="C19" s="2003" t="s">
        <v>1671</v>
      </c>
    </row>
    <row r="20" spans="1:3" ht="13.5">
      <c r="A20" s="3033"/>
      <c r="B20" s="3028" t="s">
        <v>1672</v>
      </c>
      <c r="C20" s="3027"/>
    </row>
    <row r="21" spans="1:3" ht="13.5">
      <c r="A21" s="2004" t="s">
        <v>1673</v>
      </c>
      <c r="B21" s="2005"/>
      <c r="C21" s="2006"/>
    </row>
    <row r="22" spans="1:3" ht="13.5">
      <c r="A22" s="3030" t="s">
        <v>1674</v>
      </c>
      <c r="B22" s="3028" t="s">
        <v>1675</v>
      </c>
      <c r="C22" s="3027"/>
    </row>
    <row r="23" spans="1:3" ht="13.5">
      <c r="A23" s="3030"/>
      <c r="B23" s="3028" t="s">
        <v>1676</v>
      </c>
      <c r="C23" s="3027"/>
    </row>
    <row r="24" spans="1:3" ht="13.5">
      <c r="A24" s="3030"/>
      <c r="B24" s="3028" t="s">
        <v>1677</v>
      </c>
      <c r="C24" s="3027"/>
    </row>
    <row r="25" spans="1:3" ht="13.5">
      <c r="A25" s="3030"/>
      <c r="B25" s="3029" t="s">
        <v>1678</v>
      </c>
      <c r="C25" s="2003" t="s">
        <v>1679</v>
      </c>
    </row>
    <row r="26" spans="1:3" ht="13.5">
      <c r="A26" s="3030"/>
      <c r="B26" s="3029"/>
      <c r="C26" s="2003" t="s">
        <v>1680</v>
      </c>
    </row>
    <row r="27" spans="1:3" ht="13.5">
      <c r="A27" s="3030"/>
      <c r="B27" s="3029"/>
      <c r="C27" s="2003" t="s">
        <v>1681</v>
      </c>
    </row>
    <row r="28" spans="1:3" ht="13.5">
      <c r="A28" s="3030"/>
      <c r="B28" s="3029"/>
      <c r="C28" s="2003" t="s">
        <v>1682</v>
      </c>
    </row>
    <row r="29" spans="1:3" ht="13.5">
      <c r="A29" s="3030"/>
      <c r="B29" s="3029"/>
      <c r="C29" s="2003" t="s">
        <v>1683</v>
      </c>
    </row>
    <row r="30" spans="1:3" ht="13.5">
      <c r="A30" s="3030"/>
      <c r="B30" s="3029"/>
      <c r="C30" s="2003" t="s">
        <v>1684</v>
      </c>
    </row>
    <row r="31" spans="1:3" ht="13.5">
      <c r="A31" s="3030"/>
      <c r="B31" s="3029"/>
      <c r="C31" s="2003" t="s">
        <v>1685</v>
      </c>
    </row>
    <row r="32" spans="1:3" ht="13.5">
      <c r="A32" s="3030"/>
      <c r="B32" s="3029"/>
      <c r="C32" s="2003" t="s">
        <v>1686</v>
      </c>
    </row>
    <row r="33" spans="1:3" ht="13.5">
      <c r="A33" s="3030"/>
      <c r="B33" s="3029"/>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43230</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34" t="s">
        <v>846</v>
      </c>
      <c r="B25" s="3034"/>
      <c r="C25" s="3034"/>
      <c r="D25" s="3034"/>
      <c r="E25" s="3034"/>
      <c r="F25" s="3034"/>
      <c r="G25" s="3034"/>
    </row>
    <row r="26" spans="1:7" s="1028" customFormat="1" ht="24" customHeight="1">
      <c r="A26" s="3035" t="s">
        <v>847</v>
      </c>
      <c r="B26" s="3035"/>
      <c r="C26" s="3036"/>
      <c r="D26" s="3037" t="s">
        <v>848</v>
      </c>
      <c r="E26" s="3035"/>
      <c r="F26" s="3035"/>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7" priority="55">
      <formula>AND($C28-TODAY()&lt;30,TODAY()&lt;$C28)</formula>
    </cfRule>
  </conditionalFormatting>
  <conditionalFormatting sqref="C28 F4">
    <cfRule type="cellIs" dxfId="196" priority="57" stopIfTrue="1" operator="lessThan">
      <formula>$B$2</formula>
    </cfRule>
  </conditionalFormatting>
  <conditionalFormatting sqref="C5">
    <cfRule type="expression" dxfId="195" priority="52">
      <formula>AND($C5-TODAY()&lt;30,TODAY()&lt;$C5)</formula>
    </cfRule>
  </conditionalFormatting>
  <conditionalFormatting sqref="C5 F5">
    <cfRule type="cellIs" dxfId="194" priority="53" stopIfTrue="1" operator="lessThan">
      <formula>$B$2</formula>
    </cfRule>
  </conditionalFormatting>
  <conditionalFormatting sqref="F6 F8 F10">
    <cfRule type="cellIs" dxfId="193" priority="51" stopIfTrue="1" operator="lessThan">
      <formula>$B$2</formula>
    </cfRule>
  </conditionalFormatting>
  <conditionalFormatting sqref="C4:C23">
    <cfRule type="expression" dxfId="192" priority="49">
      <formula>AND($C4-TODAY()&lt;30,TODAY()&lt;$C4)</formula>
    </cfRule>
  </conditionalFormatting>
  <conditionalFormatting sqref="F7 F9 F11 C4:C23">
    <cfRule type="cellIs" dxfId="191" priority="50" stopIfTrue="1" operator="lessThan">
      <formula>$B$2</formula>
    </cfRule>
  </conditionalFormatting>
  <conditionalFormatting sqref="C12">
    <cfRule type="expression" dxfId="190" priority="47">
      <formula>AND($C12-TODAY()&lt;30,TODAY()&lt;$C12)</formula>
    </cfRule>
  </conditionalFormatting>
  <conditionalFormatting sqref="C12">
    <cfRule type="cellIs" dxfId="189" priority="48" stopIfTrue="1" operator="lessThan">
      <formula>$B$2</formula>
    </cfRule>
  </conditionalFormatting>
  <conditionalFormatting sqref="C14">
    <cfRule type="expression" dxfId="188" priority="43">
      <formula>AND($C14-TODAY()&lt;30,TODAY()&lt;$C14)</formula>
    </cfRule>
  </conditionalFormatting>
  <conditionalFormatting sqref="C14">
    <cfRule type="cellIs" dxfId="187" priority="44" stopIfTrue="1" operator="lessThan">
      <formula>$B$2</formula>
    </cfRule>
  </conditionalFormatting>
  <conditionalFormatting sqref="C16">
    <cfRule type="expression" dxfId="186" priority="41">
      <formula>AND($C16-TODAY()&lt;30,TODAY()&lt;$C16)</formula>
    </cfRule>
  </conditionalFormatting>
  <conditionalFormatting sqref="C16">
    <cfRule type="cellIs" dxfId="185" priority="42" stopIfTrue="1" operator="lessThan">
      <formula>$B$2</formula>
    </cfRule>
  </conditionalFormatting>
  <conditionalFormatting sqref="C18">
    <cfRule type="expression" dxfId="184" priority="39">
      <formula>AND($C18-TODAY()&lt;30,TODAY()&lt;$C18)</formula>
    </cfRule>
  </conditionalFormatting>
  <conditionalFormatting sqref="C18">
    <cfRule type="cellIs" dxfId="183" priority="40" stopIfTrue="1" operator="lessThan">
      <formula>$B$2</formula>
    </cfRule>
  </conditionalFormatting>
  <conditionalFormatting sqref="C20">
    <cfRule type="expression" dxfId="182" priority="37">
      <formula>AND($C20-TODAY()&lt;30,TODAY()&lt;$C20)</formula>
    </cfRule>
  </conditionalFormatting>
  <conditionalFormatting sqref="C20">
    <cfRule type="cellIs" dxfId="181" priority="38" stopIfTrue="1" operator="lessThan">
      <formula>$B$2</formula>
    </cfRule>
  </conditionalFormatting>
  <conditionalFormatting sqref="C22">
    <cfRule type="expression" dxfId="180" priority="35">
      <formula>AND($C22-TODAY()&lt;30,TODAY()&lt;$C22)</formula>
    </cfRule>
  </conditionalFormatting>
  <conditionalFormatting sqref="C22">
    <cfRule type="cellIs" dxfId="179" priority="36" stopIfTrue="1" operator="lessThan">
      <formula>$B$2</formula>
    </cfRule>
  </conditionalFormatting>
  <conditionalFormatting sqref="C15">
    <cfRule type="expression" dxfId="178" priority="33">
      <formula>AND($C15-TODAY()&lt;30,TODAY()&lt;$C15)</formula>
    </cfRule>
  </conditionalFormatting>
  <conditionalFormatting sqref="C15">
    <cfRule type="cellIs" dxfId="177" priority="34" stopIfTrue="1" operator="lessThan">
      <formula>$B$2</formula>
    </cfRule>
  </conditionalFormatting>
  <conditionalFormatting sqref="C17">
    <cfRule type="expression" dxfId="176" priority="31">
      <formula>AND($C17-TODAY()&lt;30,TODAY()&lt;$C17)</formula>
    </cfRule>
  </conditionalFormatting>
  <conditionalFormatting sqref="C17">
    <cfRule type="cellIs" dxfId="175" priority="32" stopIfTrue="1" operator="lessThan">
      <formula>$B$2</formula>
    </cfRule>
  </conditionalFormatting>
  <conditionalFormatting sqref="C19">
    <cfRule type="expression" dxfId="174" priority="29">
      <formula>AND($C19-TODAY()&lt;30,TODAY()&lt;$C19)</formula>
    </cfRule>
  </conditionalFormatting>
  <conditionalFormatting sqref="C19">
    <cfRule type="cellIs" dxfId="173" priority="30" stopIfTrue="1" operator="lessThan">
      <formula>$B$2</formula>
    </cfRule>
  </conditionalFormatting>
  <conditionalFormatting sqref="C21">
    <cfRule type="expression" dxfId="172" priority="27">
      <formula>AND($C21-TODAY()&lt;30,TODAY()&lt;$C21)</formula>
    </cfRule>
  </conditionalFormatting>
  <conditionalFormatting sqref="C21">
    <cfRule type="cellIs" dxfId="171" priority="28" stopIfTrue="1" operator="lessThan">
      <formula>$B$2</formula>
    </cfRule>
  </conditionalFormatting>
  <conditionalFormatting sqref="C23">
    <cfRule type="expression" dxfId="170" priority="25">
      <formula>AND($C23-TODAY()&lt;30,TODAY()&lt;$C23)</formula>
    </cfRule>
  </conditionalFormatting>
  <conditionalFormatting sqref="C23">
    <cfRule type="cellIs" dxfId="169" priority="26" stopIfTrue="1" operator="lessThan">
      <formula>$B$2</formula>
    </cfRule>
  </conditionalFormatting>
  <conditionalFormatting sqref="F16">
    <cfRule type="cellIs" dxfId="168" priority="23" stopIfTrue="1" operator="lessThan">
      <formula>$B$2</formula>
    </cfRule>
  </conditionalFormatting>
  <conditionalFormatting sqref="F18">
    <cfRule type="cellIs" dxfId="167" priority="22" stopIfTrue="1" operator="lessThan">
      <formula>$B$2</formula>
    </cfRule>
  </conditionalFormatting>
  <conditionalFormatting sqref="F22">
    <cfRule type="cellIs" dxfId="166" priority="21" stopIfTrue="1" operator="lessThan">
      <formula>$B$2</formula>
    </cfRule>
  </conditionalFormatting>
  <conditionalFormatting sqref="F21">
    <cfRule type="cellIs" dxfId="165" priority="20" stopIfTrue="1" operator="lessThan">
      <formula>$B$2</formula>
    </cfRule>
  </conditionalFormatting>
  <conditionalFormatting sqref="F17">
    <cfRule type="cellIs" dxfId="164" priority="19" stopIfTrue="1" operator="lessThan">
      <formula>$B$2</formula>
    </cfRule>
  </conditionalFormatting>
  <conditionalFormatting sqref="B4:B14 E4:E14 B16:B23 E16:E23">
    <cfRule type="cellIs" dxfId="163" priority="18" stopIfTrue="1" operator="equal">
      <formula>"已过期"</formula>
    </cfRule>
  </conditionalFormatting>
  <conditionalFormatting sqref="A24:F24">
    <cfRule type="cellIs" dxfId="162" priority="14" stopIfTrue="1" operator="equal">
      <formula>"已过期"</formula>
    </cfRule>
  </conditionalFormatting>
  <conditionalFormatting sqref="F28">
    <cfRule type="expression" dxfId="161" priority="12">
      <formula>AND($E28-TODAY()&lt;30,TODAY()&lt;$E28)</formula>
    </cfRule>
  </conditionalFormatting>
  <conditionalFormatting sqref="F28">
    <cfRule type="cellIs" dxfId="160" priority="13" stopIfTrue="1" operator="lessThan">
      <formula>$B$2</formula>
    </cfRule>
  </conditionalFormatting>
  <conditionalFormatting sqref="F29">
    <cfRule type="expression" dxfId="159" priority="8" stopIfTrue="1">
      <formula>AND($E29-TODAY()&lt;30,TODAY()&lt;$E29)</formula>
    </cfRule>
  </conditionalFormatting>
  <conditionalFormatting sqref="F29">
    <cfRule type="cellIs" dxfId="158" priority="9" stopIfTrue="1" operator="lessThan">
      <formula>$B$2</formula>
    </cfRule>
  </conditionalFormatting>
  <conditionalFormatting sqref="B15">
    <cfRule type="cellIs" dxfId="157" priority="6" stopIfTrue="1" operator="equal">
      <formula>"已过期"</formula>
    </cfRule>
  </conditionalFormatting>
  <conditionalFormatting sqref="A15">
    <cfRule type="cellIs" dxfId="156" priority="5" stopIfTrue="1" operator="equal">
      <formula>"已过期"</formula>
    </cfRule>
  </conditionalFormatting>
  <conditionalFormatting sqref="C15">
    <cfRule type="expression" dxfId="155" priority="4">
      <formula>AND($C15-TODAY()&lt;30,TODAY()&lt;$C15)</formula>
    </cfRule>
  </conditionalFormatting>
  <conditionalFormatting sqref="E15">
    <cfRule type="cellIs" dxfId="154" priority="3" stopIfTrue="1" operator="equal">
      <formula>"已过期"</formula>
    </cfRule>
  </conditionalFormatting>
  <conditionalFormatting sqref="D15">
    <cfRule type="cellIs" dxfId="153" priority="2" stopIfTrue="1" operator="equal">
      <formula>"已过期"</formula>
    </cfRule>
  </conditionalFormatting>
  <conditionalFormatting sqref="F13">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收益法(出租)</vt:lpstr>
      <vt:lpstr>收益法（未出租）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2018-05-10T02:49:55Z</dcterms:modified>
</cp:coreProperties>
</file>